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5_Bordeaux\2024 LES ESCAUNELLES - TS -22 244 744\"/>
    </mc:Choice>
  </mc:AlternateContent>
  <xr:revisionPtr revIDLastSave="0" documentId="13_ncr:1_{AB8F1539-7B96-4682-A60C-C88198B9ED9B}" xr6:coauthVersionLast="47" xr6:coauthVersionMax="47" xr10:uidLastSave="{00000000-0000-0000-0000-000000000000}"/>
  <bookViews>
    <workbookView xWindow="-108" yWindow="-108" windowWidth="23256" windowHeight="1257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9" i="1" l="1"/>
  <c r="D199" i="1" s="1"/>
  <c r="D198" i="1"/>
  <c r="D197" i="1"/>
  <c r="D196" i="1"/>
  <c r="D195" i="1"/>
  <c r="D194" i="1"/>
  <c r="D193" i="1"/>
  <c r="D180" i="1"/>
  <c r="B180" i="1"/>
  <c r="D179" i="1"/>
  <c r="B179" i="1"/>
  <c r="D178" i="1"/>
  <c r="B178" i="1"/>
  <c r="D177" i="1"/>
  <c r="B177" i="1"/>
  <c r="D176" i="1"/>
  <c r="B176" i="1"/>
  <c r="D175" i="1"/>
  <c r="B175" i="1"/>
  <c r="D174" i="1"/>
  <c r="B174" i="1"/>
  <c r="D173" i="1"/>
  <c r="B173" i="1"/>
  <c r="D172" i="1"/>
  <c r="B172" i="1"/>
  <c r="D171" i="1"/>
  <c r="B171" i="1"/>
  <c r="D170" i="1"/>
  <c r="B170" i="1"/>
  <c r="D169" i="1"/>
  <c r="B169" i="1"/>
  <c r="D168" i="1"/>
  <c r="B168" i="1"/>
  <c r="D167" i="1"/>
  <c r="B167" i="1"/>
  <c r="B166" i="1"/>
  <c r="B147" i="1"/>
  <c r="D147" i="1" s="1"/>
  <c r="D146" i="1"/>
  <c r="D145" i="1"/>
  <c r="D144" i="1"/>
  <c r="D143" i="1"/>
  <c r="D142" i="1"/>
  <c r="D141" i="1"/>
  <c r="B121" i="1"/>
  <c r="B120" i="1"/>
  <c r="B119" i="1"/>
  <c r="B118" i="1"/>
  <c r="B117" i="1"/>
  <c r="B116" i="1"/>
  <c r="B115" i="1"/>
  <c r="B114" i="1"/>
  <c r="D276" i="1"/>
  <c r="B276" i="1"/>
  <c r="D275" i="1"/>
  <c r="B275" i="1"/>
  <c r="D274" i="1"/>
  <c r="B274" i="1"/>
  <c r="D273" i="1"/>
  <c r="B273" i="1"/>
  <c r="D272" i="1"/>
  <c r="B272" i="1"/>
  <c r="D271" i="1"/>
  <c r="B271" i="1"/>
  <c r="D270" i="1"/>
  <c r="B270" i="1"/>
  <c r="D95" i="1"/>
  <c r="B95" i="1"/>
  <c r="D94" i="1"/>
  <c r="B94" i="1"/>
  <c r="D93" i="1"/>
  <c r="B93" i="1"/>
  <c r="D92" i="1"/>
  <c r="B92" i="1"/>
  <c r="D91" i="1"/>
  <c r="B91" i="1"/>
  <c r="D90" i="1"/>
  <c r="B90" i="1"/>
  <c r="D89" i="1"/>
  <c r="B89" i="1"/>
  <c r="B88" i="1"/>
  <c r="D252" i="1"/>
  <c r="B252" i="1"/>
  <c r="D251" i="1"/>
  <c r="B251" i="1"/>
  <c r="D250" i="1"/>
  <c r="B250" i="1"/>
  <c r="D249" i="1"/>
  <c r="B249" i="1"/>
  <c r="D248" i="1"/>
  <c r="B248" i="1"/>
  <c r="D247" i="1"/>
  <c r="B247" i="1"/>
  <c r="D246" i="1"/>
  <c r="B246" i="1"/>
  <c r="D245" i="1"/>
  <c r="B245" i="1"/>
  <c r="B244" i="1"/>
  <c r="D71" i="1"/>
  <c r="B71" i="1"/>
  <c r="D70" i="1"/>
  <c r="B70" i="1"/>
  <c r="D69" i="1"/>
  <c r="B69" i="1"/>
  <c r="D68" i="1"/>
  <c r="B68" i="1"/>
  <c r="D67" i="1"/>
  <c r="B67" i="1"/>
  <c r="D66" i="1"/>
  <c r="B66" i="1"/>
  <c r="D65" i="1"/>
  <c r="B65" i="1"/>
  <c r="D64" i="1"/>
  <c r="B64" i="1"/>
  <c r="D63" i="1"/>
  <c r="B63" i="1"/>
  <c r="B62" i="1"/>
  <c r="D43" i="1"/>
  <c r="B43" i="1"/>
  <c r="D42" i="1"/>
  <c r="B42" i="1"/>
  <c r="D41" i="1"/>
  <c r="B41" i="1"/>
  <c r="D40" i="1"/>
  <c r="B40" i="1"/>
  <c r="D39" i="1"/>
  <c r="B39" i="1"/>
  <c r="D38" i="1"/>
  <c r="B38" i="1"/>
  <c r="D37" i="1"/>
  <c r="B37" i="1"/>
  <c r="B36" i="1"/>
  <c r="D232" i="1"/>
  <c r="B232" i="1"/>
  <c r="D231" i="1"/>
  <c r="B231" i="1"/>
  <c r="D230" i="1"/>
  <c r="B230" i="1"/>
  <c r="D229" i="1"/>
  <c r="B229" i="1"/>
  <c r="D228" i="1"/>
  <c r="B228" i="1"/>
  <c r="D227" i="1"/>
  <c r="B227" i="1"/>
  <c r="D226" i="1"/>
  <c r="B226" i="1"/>
  <c r="D225" i="1"/>
  <c r="B225" i="1"/>
  <c r="D224" i="1"/>
  <c r="B224" i="1"/>
  <c r="D223" i="1"/>
  <c r="B223" i="1"/>
  <c r="D222" i="1"/>
  <c r="B222" i="1"/>
  <c r="D221" i="1"/>
  <c r="B221" i="1"/>
  <c r="D220" i="1"/>
  <c r="B220" i="1"/>
  <c r="D219" i="1"/>
  <c r="B219" i="1"/>
  <c r="B218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FR4" i="2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B14" i="2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EV18" i="2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FS20" i="2"/>
  <c r="EC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W21" i="2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EA22" i="2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EX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FS28" i="2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A38" i="2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C46" i="2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C78" i="2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EV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C85" i="2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H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W124" i="2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B130" i="2"/>
  <c r="EX130" i="2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H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EA146" i="2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C150" i="2"/>
  <c r="EV150" i="2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EB154" i="2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J154" i="2" l="1"/>
  <c r="HH155" i="2"/>
  <c r="HG155" i="2"/>
  <c r="EA155" i="2"/>
  <c r="AC154" i="2"/>
  <c r="EY154" i="2"/>
  <c r="ED154" i="2"/>
  <c r="DI154" i="2"/>
  <c r="EW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HH156" i="2"/>
  <c r="HG156" i="2"/>
  <c r="FS156" i="2"/>
  <c r="EY155" i="2"/>
  <c r="AB156" i="2"/>
  <c r="EX156" i="2"/>
  <c r="EB156" i="2"/>
  <c r="DH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HH157" i="2"/>
  <c r="EX157" i="2"/>
  <c r="EC157" i="2"/>
  <c r="EA157" i="2"/>
  <c r="CN156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HH158" i="2"/>
  <c r="EC158" i="2"/>
  <c r="EV158" i="2"/>
  <c r="EW158" i="2"/>
  <c r="ED157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EC159" i="2"/>
  <c r="HI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C160" i="2"/>
  <c r="HI160" i="2"/>
  <c r="FS160" i="2"/>
  <c r="ED159" i="2"/>
  <c r="EY159" i="2"/>
  <c r="D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G161" i="2" l="1"/>
  <c r="HH161" i="2"/>
  <c r="ED160" i="2"/>
  <c r="EA161" i="2"/>
  <c r="AB161" i="2"/>
  <c r="EB161" i="2"/>
  <c r="EX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Y161" i="2"/>
  <c r="EW162" i="2"/>
  <c r="ED161" i="2"/>
  <c r="EC162" i="2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H163" i="2" l="1"/>
  <c r="HG163" i="2"/>
  <c r="ED162" i="2"/>
  <c r="EY162" i="2"/>
  <c r="EB163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HH164" i="2" l="1"/>
  <c r="HG164" i="2"/>
  <c r="FS164" i="2"/>
  <c r="DI163" i="2"/>
  <c r="EY163" i="2"/>
  <c r="ED163" i="2"/>
  <c r="DH164" i="2"/>
  <c r="EA164" i="2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A165" i="2"/>
  <c r="EX165" i="2"/>
  <c r="EB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FR167" i="2"/>
  <c r="HI167" i="2"/>
  <c r="EY166" i="2"/>
  <c r="EX167" i="2"/>
  <c r="EA167" i="2"/>
  <c r="DG167" i="2"/>
  <c r="EB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DI167" i="2"/>
  <c r="DG168" i="2"/>
  <c r="EC168" i="2"/>
  <c r="EW168" i="2"/>
  <c r="EB168" i="2"/>
  <c r="EV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Y168" i="2"/>
  <c r="EX169" i="2"/>
  <c r="EA169" i="2"/>
  <c r="EB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HI172" i="2"/>
  <c r="EY171" i="2"/>
  <c r="ED171" i="2"/>
  <c r="EA172" i="2"/>
  <c r="EW172" i="2"/>
  <c r="EV172" i="2"/>
  <c r="HG172" i="2"/>
  <c r="EC172" i="2"/>
  <c r="ED172" i="2" s="1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X173" i="2"/>
  <c r="EW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Y173" i="2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HI175" i="2" l="1"/>
  <c r="EA175" i="2"/>
  <c r="ED174" i="2"/>
  <c r="EB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FQ177" i="2"/>
  <c r="FS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A178" i="2"/>
  <c r="EW178" i="2"/>
  <c r="ED177" i="2"/>
  <c r="EB178" i="2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A179" i="2" l="1"/>
  <c r="EB179" i="2"/>
  <c r="ED178" i="2"/>
  <c r="DF179" i="2"/>
  <c r="EV179" i="2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HG180" i="2"/>
  <c r="EY179" i="2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W181" i="2"/>
  <c r="ED180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FS183" i="2"/>
  <c r="EY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I185" i="2" l="1"/>
  <c r="EY184" i="2"/>
  <c r="ED184" i="2"/>
  <c r="EA185" i="2"/>
  <c r="EW185" i="2"/>
  <c r="EB185" i="2"/>
  <c r="EV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EB186" i="2"/>
  <c r="HH186" i="2"/>
  <c r="HG186" i="2"/>
  <c r="FR186" i="2"/>
  <c r="ED185" i="2"/>
  <c r="EW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ED187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HH189" i="2"/>
  <c r="EY188" i="2"/>
  <c r="EV189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J189" i="2" l="1"/>
  <c r="HH190" i="2"/>
  <c r="HG190" i="2"/>
  <c r="ED189" i="2"/>
  <c r="EY189" i="2"/>
  <c r="EV190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ED190" i="2"/>
  <c r="EW191" i="2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G192" i="2" l="1"/>
  <c r="HI192" i="2"/>
  <c r="EY191" i="2"/>
  <c r="EW192" i="2"/>
  <c r="EV192" i="2"/>
  <c r="EC192" i="2"/>
  <c r="EB192" i="2"/>
  <c r="EA192" i="2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FQ193" i="2" l="1"/>
  <c r="HI193" i="2"/>
  <c r="ED192" i="2"/>
  <c r="EY192" i="2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G194" i="2" l="1"/>
  <c r="EB194" i="2"/>
  <c r="EA194" i="2"/>
  <c r="ED193" i="2"/>
  <c r="CN193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HG195" i="2" l="1"/>
  <c r="ED194" i="2"/>
  <c r="EY194" i="2"/>
  <c r="EB195" i="2"/>
  <c r="EX195" i="2"/>
  <c r="DH195" i="2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Y195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G197" i="2" l="1"/>
  <c r="FS197" i="2"/>
  <c r="EA197" i="2"/>
  <c r="EW197" i="2"/>
  <c r="EY196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FS199" i="2" l="1"/>
  <c r="EY198" i="2"/>
  <c r="EV199" i="2"/>
  <c r="EB199" i="2"/>
  <c r="EA199" i="2"/>
  <c r="EW199" i="2"/>
  <c r="HH199" i="2"/>
  <c r="HG199" i="2"/>
  <c r="HJ199" i="2" s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HJ200" i="2" l="1"/>
  <c r="HH201" i="2"/>
  <c r="HG201" i="2"/>
  <c r="EY200" i="2"/>
  <c r="DI200" i="2"/>
  <c r="ED200" i="2"/>
  <c r="EA201" i="2"/>
  <c r="FS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D201" i="2" l="1"/>
  <c r="HG202" i="2"/>
  <c r="HI202" i="2"/>
  <c r="FR202" i="2"/>
  <c r="EW202" i="2"/>
  <c r="EY201" i="2"/>
  <c r="EX202" i="2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79" i="2" a="1"/>
  <c r="FY79" i="2" s="1"/>
  <c r="FY50" i="2" a="1"/>
  <c r="FY50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82" i="2" a="1"/>
  <c r="BC82" i="2" s="1"/>
  <c r="BC126" i="2" a="1"/>
  <c r="BC126" i="2" s="1"/>
  <c r="BC181" i="2" a="1"/>
  <c r="BC181" i="2" s="1"/>
  <c r="BC117" i="2" a="1"/>
  <c r="BC117" i="2" s="1"/>
  <c r="GT115" i="2" a="1"/>
  <c r="GT115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29" i="2" a="1"/>
  <c r="EI29" i="2" s="1"/>
  <c r="EI150" i="2" a="1"/>
  <c r="EI150" i="2" s="1"/>
  <c r="EI162" i="2" a="1"/>
  <c r="EI162" i="2" s="1"/>
  <c r="EI178" i="2" a="1"/>
  <c r="EI178" i="2" s="1"/>
  <c r="EI142" i="2" a="1"/>
  <c r="EI142" i="2" s="1"/>
  <c r="DN186" i="2" a="1"/>
  <c r="DN186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DN123" i="2" a="1"/>
  <c r="DN123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AX200" i="2"/>
  <c r="DN43" i="2" l="1" a="1"/>
  <c r="DN43" i="2" s="1"/>
  <c r="DN137" i="2" a="1"/>
  <c r="DN137" i="2" s="1"/>
  <c r="DN124" i="2" a="1"/>
  <c r="DN124" i="2" s="1"/>
  <c r="DN155" i="2" a="1"/>
  <c r="DN155" i="2" s="1"/>
  <c r="DN56" i="2" a="1"/>
  <c r="DN56" i="2" s="1"/>
  <c r="CS185" i="2" a="1"/>
  <c r="CS185" i="2" s="1"/>
  <c r="CS161" i="2" a="1"/>
  <c r="CS161" i="2" s="1"/>
  <c r="CS120" i="2" a="1"/>
  <c r="CS120" i="2" s="1"/>
  <c r="CS52" i="2" a="1"/>
  <c r="CS52" i="2" s="1"/>
  <c r="CS134" i="2" a="1"/>
  <c r="CS134" i="2" s="1"/>
  <c r="CS137" i="2" a="1"/>
  <c r="CS137" i="2" s="1"/>
  <c r="CS24" i="2" a="1"/>
  <c r="CS24" i="2" s="1"/>
  <c r="CS114" i="2" a="1"/>
  <c r="CS114" i="2" s="1"/>
  <c r="CS116" i="2" a="1"/>
  <c r="CS116" i="2" s="1"/>
  <c r="GT181" i="2" a="1"/>
  <c r="GT181" i="2" s="1"/>
  <c r="HH203" i="2"/>
  <c r="GT184" i="2" a="1"/>
  <c r="GT184" i="2" s="1"/>
  <c r="HG203" i="2"/>
  <c r="FY47" i="2" a="1"/>
  <c r="FY47" i="2" s="1"/>
  <c r="FY22" i="2" a="1"/>
  <c r="FY22" i="2" s="1"/>
  <c r="FY90" i="2" a="1"/>
  <c r="FY90" i="2" s="1"/>
  <c r="FY57" i="2" a="1"/>
  <c r="FY57" i="2" s="1"/>
  <c r="FY54" i="2" a="1"/>
  <c r="FY54" i="2" s="1"/>
  <c r="FY109" i="2" a="1"/>
  <c r="FY109" i="2" s="1"/>
  <c r="EI106" i="2" a="1"/>
  <c r="EI106" i="2" s="1"/>
  <c r="EY202" i="2"/>
  <c r="EI195" i="2" a="1"/>
  <c r="EI195" i="2" s="1"/>
  <c r="EI153" i="2" a="1"/>
  <c r="EI153" i="2" s="1"/>
  <c r="EI166" i="2" a="1"/>
  <c r="EI166" i="2" s="1"/>
  <c r="EI198" i="2" a="1"/>
  <c r="EI198" i="2" s="1"/>
  <c r="EI145" i="2" a="1"/>
  <c r="EI145" i="2" s="1"/>
  <c r="BC114" i="2" a="1"/>
  <c r="BC114" i="2" s="1"/>
  <c r="BC47" i="2" a="1"/>
  <c r="BC47" i="2" s="1"/>
  <c r="BC65" i="2" a="1"/>
  <c r="BC65" i="2" s="1"/>
  <c r="CS129" i="2" a="1"/>
  <c r="CS129" i="2" s="1"/>
  <c r="CS66" i="2" a="1"/>
  <c r="CS66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EY203" i="2"/>
  <c r="ED203" i="2"/>
  <c r="DI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CY24" i="2" l="1"/>
  <c r="CY6" i="2"/>
  <c r="CY41" i="2"/>
  <c r="CY70" i="2"/>
  <c r="CY129" i="2"/>
  <c r="CY173" i="2"/>
  <c r="CY169" i="2"/>
  <c r="CY27" i="2"/>
  <c r="CY190" i="2"/>
  <c r="CY130" i="2"/>
  <c r="CY156" i="2"/>
  <c r="CY104" i="2"/>
  <c r="CY88" i="2"/>
  <c r="CY109" i="2"/>
  <c r="CY29" i="2"/>
  <c r="CY31" i="2"/>
  <c r="CY121" i="2"/>
  <c r="CY153" i="2"/>
  <c r="CY102" i="2"/>
  <c r="CY132" i="2"/>
  <c r="CY159" i="2"/>
  <c r="CY69" i="2"/>
  <c r="CY93" i="2"/>
  <c r="CY191" i="2"/>
  <c r="CY5" i="2"/>
  <c r="CY22" i="2"/>
  <c r="CY47" i="2"/>
  <c r="CY152" i="2"/>
  <c r="CY40" i="2"/>
  <c r="CY97" i="2"/>
  <c r="CY80" i="2"/>
  <c r="CY42" i="2"/>
  <c r="CY163" i="2"/>
  <c r="CY195" i="2"/>
  <c r="CY198" i="2"/>
  <c r="CY36" i="2"/>
  <c r="CY64" i="2"/>
  <c r="CY94" i="2"/>
  <c r="CY193" i="2"/>
  <c r="CY197" i="2"/>
  <c r="CY13" i="2"/>
  <c r="CY183" i="2"/>
  <c r="CY181" i="2"/>
  <c r="CY63" i="2"/>
  <c r="CY162" i="2"/>
  <c r="CY28" i="2"/>
  <c r="CY12" i="2"/>
  <c r="CY103" i="2"/>
  <c r="CY16" i="2"/>
  <c r="CY9" i="2"/>
  <c r="CY77" i="2"/>
  <c r="CY119" i="2"/>
  <c r="CY52" i="2"/>
  <c r="CY98" i="2"/>
  <c r="CY177" i="2"/>
  <c r="CY160" i="2"/>
  <c r="CY118" i="2"/>
  <c r="CY56" i="2"/>
  <c r="CY81" i="2"/>
  <c r="CY194" i="2"/>
  <c r="CY172" i="2"/>
  <c r="CY44" i="2"/>
  <c r="CY161" i="2"/>
  <c r="CY49" i="2"/>
  <c r="CY178" i="2"/>
  <c r="CY37" i="2"/>
  <c r="CY26" i="2"/>
  <c r="CY180" i="2"/>
  <c r="CY158" i="2"/>
  <c r="CY78" i="2"/>
  <c r="CY110" i="2"/>
  <c r="CY202" i="2"/>
  <c r="CY174" i="2"/>
  <c r="CY127" i="2"/>
  <c r="CY164" i="2"/>
  <c r="CY73" i="2"/>
  <c r="CY62" i="2"/>
  <c r="CY120" i="2"/>
  <c r="CY168" i="2"/>
  <c r="CY128" i="2"/>
  <c r="CY122" i="2"/>
  <c r="CY84" i="2"/>
  <c r="CY82" i="2"/>
  <c r="CY146" i="2"/>
  <c r="CY76" i="2"/>
  <c r="CY131" i="2"/>
  <c r="CY86" i="2"/>
  <c r="CY34" i="2"/>
  <c r="CY157" i="2"/>
  <c r="CY149" i="2"/>
  <c r="CY85" i="2"/>
  <c r="CY45" i="2"/>
  <c r="CY116" i="2"/>
  <c r="CY66" i="2"/>
  <c r="CY71" i="2"/>
  <c r="CY39" i="2"/>
  <c r="CY167" i="2"/>
  <c r="CY18" i="2"/>
  <c r="CY58" i="2"/>
  <c r="CY117" i="2"/>
  <c r="CY201" i="2"/>
  <c r="CY57" i="2"/>
  <c r="CY92" i="2"/>
  <c r="CY53" i="2"/>
  <c r="CY165" i="2"/>
  <c r="CY30" i="2"/>
  <c r="CY46" i="2"/>
  <c r="CY166" i="2"/>
  <c r="CY141" i="2"/>
  <c r="CY125" i="2"/>
  <c r="CY186" i="2"/>
  <c r="CY15" i="2"/>
  <c r="CY101" i="2"/>
  <c r="CY170" i="2"/>
  <c r="CY105" i="2"/>
  <c r="CY196" i="2"/>
  <c r="CY72" i="2"/>
  <c r="CY43" i="2"/>
  <c r="CY147" i="2"/>
  <c r="CY140" i="2"/>
  <c r="CY155" i="2"/>
  <c r="CY50" i="2"/>
  <c r="CY124" i="2"/>
  <c r="CY17" i="2"/>
  <c r="CY96" i="2"/>
  <c r="CY176" i="2"/>
  <c r="CY179" i="2"/>
  <c r="CY192" i="2"/>
  <c r="CY3" i="2"/>
  <c r="C10" i="4" s="1"/>
  <c r="E10" i="4" s="1"/>
  <c r="F10" i="4" s="1"/>
  <c r="G10" i="4" s="1"/>
  <c r="L10" i="4" s="1"/>
  <c r="CY55" i="2"/>
  <c r="CY35" i="2"/>
  <c r="CY203" i="2"/>
  <c r="CY188" i="2"/>
  <c r="CY91" i="2"/>
  <c r="CY21" i="2"/>
  <c r="CY106" i="2"/>
  <c r="CY151" i="2"/>
  <c r="CY48" i="2"/>
  <c r="CY199" i="2"/>
  <c r="CY107" i="2"/>
  <c r="CY11" i="2"/>
  <c r="CY100" i="2"/>
  <c r="CY113" i="2"/>
  <c r="CY54" i="2"/>
  <c r="CY150" i="2"/>
  <c r="CY25" i="2"/>
  <c r="CY200" i="2"/>
  <c r="CY75" i="2"/>
  <c r="CY23" i="2"/>
  <c r="CY108" i="2"/>
  <c r="CY99" i="2"/>
  <c r="CY32" i="2"/>
  <c r="CY184" i="2"/>
  <c r="CY112" i="2"/>
  <c r="CY7" i="2"/>
  <c r="CY4" i="2"/>
  <c r="CY114" i="2"/>
  <c r="CY111" i="2"/>
  <c r="CY65" i="2"/>
  <c r="CY133" i="2"/>
  <c r="CY83" i="2"/>
  <c r="CY79" i="2"/>
  <c r="CY74" i="2"/>
  <c r="CY135" i="2"/>
  <c r="CY67" i="2"/>
  <c r="CY144" i="2"/>
  <c r="CY126" i="2"/>
  <c r="CY61" i="2"/>
  <c r="CY148" i="2"/>
  <c r="CY19" i="2"/>
  <c r="CY59" i="2"/>
  <c r="CY136" i="2"/>
  <c r="CY89" i="2"/>
  <c r="CY115" i="2"/>
  <c r="CY33" i="2"/>
  <c r="CY8" i="2"/>
  <c r="CY189" i="2"/>
  <c r="CY185" i="2"/>
  <c r="CY143" i="2"/>
  <c r="CY14" i="2"/>
  <c r="CY68" i="2"/>
  <c r="CY51" i="2"/>
  <c r="CY38" i="2"/>
  <c r="CY175" i="2"/>
  <c r="CY154" i="2"/>
  <c r="CY187" i="2"/>
  <c r="CY137" i="2"/>
  <c r="CY87" i="2"/>
  <c r="CY171" i="2"/>
  <c r="CY10" i="2"/>
  <c r="CY123" i="2"/>
  <c r="CY182" i="2"/>
  <c r="CY134" i="2"/>
  <c r="CY90" i="2"/>
  <c r="CY95" i="2"/>
  <c r="CY145" i="2"/>
  <c r="CY142" i="2"/>
  <c r="CY60" i="2"/>
  <c r="CY20" i="2"/>
  <c r="CY139" i="2"/>
  <c r="CY138" i="2"/>
  <c r="FE166" i="2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<sst xmlns="http://schemas.openxmlformats.org/spreadsheetml/2006/main" count="1183" uniqueCount="326">
  <si>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</si>
  <si>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</si>
  <si>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</si>
  <si>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</si>
  <si>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</si>
  <si>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</si>
  <si>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</si>
  <si>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</si>
  <si>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</si>
  <si>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</si>
  <si>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</si>
  <si>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</si>
  <si>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</si>
  <si>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</si>
  <si>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</si>
  <si>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</si>
  <si>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</si>
  <si>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</si>
  <si>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</si>
  <si>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</si>
  <si>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</si>
  <si>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</si>
  <si>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</si>
  <si>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</si>
  <si>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</si>
  <si>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</si>
  <si>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</si>
  <si>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</si>
  <si>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</si>
  <si>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</si>
  <si>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</si>
  <si>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</si>
  <si>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</si>
  <si>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</si>
  <si>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</si>
  <si>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</si>
  <si>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</si>
  <si>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</si>
  <si>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</si>
  <si>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</si>
  <si>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</si>
  <si>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</si>
  <si>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</si>
  <si>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</si>
  <si>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</si>
  <si>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</si>
  <si>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</si>
  <si>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</si>
  <si>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</si>
  <si>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</si>
  <si>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</si>
  <si>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</si>
  <si>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</si>
  <si>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</si>
  <si>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</si>
  <si>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</si>
  <si>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</si>
  <si>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</si>
  <si>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</si>
  <si>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</si>
  <si>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</si>
  <si>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</si>
  <si>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</si>
  <si>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</si>
  <si>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</si>
  <si>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</si>
  <si>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</si>
  <si>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</si>
  <si>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</si>
  <si>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</si>
  <si>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</si>
  <si>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</si>
  <si>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</si>
  <si>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</si>
  <si>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</si>
  <si>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</si>
  <si>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</si>
  <si>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</si>
  <si>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</si>
  <si>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</si>
  <si>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</si>
  <si>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</si>
  <si>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</si>
  <si>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</si>
  <si>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</si>
  <si>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</si>
  <si>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</si>
  <si>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</si>
  <si>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</si>
  <si>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</si>
  <si>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</si>
  <si>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</si>
  <si>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</si>
  <si>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</si>
  <si>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</si>
  <si>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</si>
  <si>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</si>
  <si>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</si>
  <si>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</si>
  <si>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</si>
  <si>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</si>
  <si>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</si>
  <si>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</si>
  <si>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</si>
  <si>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</si>
  <si>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</si>
  <si>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</si>
  <si>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</si>
  <si>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</si>
  <si>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</si>
  <si>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</si>
  <si>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</si>
  <si>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</si>
  <si>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</si>
  <si>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</si>
  <si>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</si>
  <si>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</si>
  <si>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</si>
  <si>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</si>
  <si>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</si>
  <si>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</si>
  <si>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</si>
  <si>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</si>
  <si>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</si>
  <si>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</si>
  <si>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</si>
  <si>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</si>
  <si>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</si>
  <si>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</si>
  <si>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</si>
  <si>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</si>
  <si>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</si>
  <si>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</si>
  <si>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</si>
  <si>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</si>
  <si>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</si>
  <si>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</si>
  <si>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</si>
  <si>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</si>
  <si>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</si>
  <si>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</si>
  <si>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</si>
  <si>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</si>
  <si>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</si>
  <si>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</si>
  <si>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</si>
  <si>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</si>
  <si>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</si>
  <si>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</si>
  <si>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</si>
  <si>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</si>
  <si>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</si>
  <si>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</si>
  <si>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</si>
  <si>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</si>
  <si>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</si>
  <si>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</si>
  <si>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</si>
  <si>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</si>
  <si>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</si>
  <si>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</si>
  <si>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</si>
  <si>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</si>
  <si>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</si>
  <si>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</si>
  <si>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</si>
  <si>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</si>
  <si>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</si>
  <si>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</si>
  <si>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</si>
  <si>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</si>
  <si>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</si>
  <si>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</si>
  <si>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</si>
  <si>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</si>
  <si>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</si>
  <si>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</si>
  <si>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</si>
  <si>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</si>
  <si>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</si>
  <si>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</si>
  <si>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</si>
  <si>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</si>
  <si>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</si>
  <si>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</si>
  <si>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</si>
  <si>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</si>
  <si>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</si>
  <si>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</si>
  <si>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</si>
  <si>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</si>
  <si>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</si>
  <si>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</si>
  <si>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</si>
  <si>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</si>
  <si>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</si>
  <si>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</si>
  <si>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</si>
  <si>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</si>
  <si>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</si>
  <si>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</si>
  <si>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</si>
  <si>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</si>
  <si>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</si>
  <si>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</si>
  <si>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</si>
  <si>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</si>
  <si>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</si>
  <si>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</si>
  <si>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</si>
  <si>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</si>
  <si>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</si>
  <si>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</si>
  <si>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</si>
  <si>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</si>
  <si>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</si>
  <si>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</si>
  <si>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</si>
  <si>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</si>
  <si>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</si>
  <si>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</si>
  <si>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</si>
  <si>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</si>
  <si>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</si>
  <si>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</si>
  <si>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</si>
  <si>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</si>
  <si>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</si>
  <si>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</si>
  <si>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</si>
  <si>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</si>
  <si>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</si>
  <si>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</si>
  <si>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</si>
  <si>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</si>
  <si>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</si>
  <si>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</si>
  <si>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</si>
  <si>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</si>
  <si>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</si>
  <si>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</si>
  <si>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</si>
  <si>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</si>
  <si>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</si>
  <si>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</si>
  <si>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</si>
  <si>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</si>
  <si>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</si>
  <si>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</si>
  <si>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</si>
  <si>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</si>
  <si>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</si>
  <si>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</si>
  <si>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</si>
  <si>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</si>
  <si>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</si>
  <si>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</si>
  <si>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</si>
  <si>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</si>
  <si>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</si>
  <si>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</si>
  <si>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</si>
  <si>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</si>
  <si>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</si>
  <si>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</si>
  <si>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</si>
  <si>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</si>
  <si>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</si>
  <si>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</si>
  <si>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</si>
  <si>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</si>
  <si>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</si>
  <si>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</si>
  <si>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</si>
  <si>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</si>
  <si>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</si>
  <si>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</si>
  <si>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</si>
  <si>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</si>
  <si>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</si>
  <si>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</si>
  <si>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</si>
  <si>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</si>
  <si>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</si>
  <si>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</si>
  <si>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</si>
  <si>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</si>
  <si>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</si>
  <si>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</si>
  <si>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</si>
  <si>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</si>
  <si>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</si>
  <si>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</si>
  <si>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</si>
  <si>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</si>
  <si>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</si>
  <si>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</si>
  <si>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</si>
  <si>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</si>
  <si>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</si>
  <si>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</si>
  <si>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</si>
  <si>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</si>
  <si>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</si>
  <si>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</si>
  <si>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</si>
  <si>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</si>
  <si>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</si>
  <si>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</si>
  <si>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</si>
  <si>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</si>
  <si>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</si>
  <si>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</si>
  <si>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</si>
  <si>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</si>
  <si>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</si>
  <si>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</si>
  <si>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</si>
  <si>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</si>
  <si>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</si>
  <si>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</si>
  <si>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</si>
  <si>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</si>
  <si>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</si>
  <si>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Alisier Blanc et sorbier des oiseleurs</t>
  </si>
  <si>
    <t>Parcelle 06.a fertilité 3/5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</si>
</sst>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1.9371373631158919</c:v>
                </c:pt>
                <c:pt idx="2">
                  <c:v>2.582043612011879</c:v>
                </c:pt>
                <c:pt idx="3">
                  <c:v>3.4425466249226413</c:v>
                </c:pt>
                <c:pt idx="4">
                  <c:v>4.591004491739012</c:v>
                </c:pt>
                <c:pt idx="5">
                  <c:v>6.124148648935722</c:v>
                </c:pt>
                <c:pt idx="6">
                  <c:v>8.1713216117174081</c:v>
                </c:pt>
                <c:pt idx="7">
                  <c:v>10.905507543402789</c:v>
                </c:pt>
                <c:pt idx="8">
                  <c:v>14.558105199493902</c:v>
                </c:pt>
                <c:pt idx="9">
                  <c:v>19.438716447552824</c:v>
                </c:pt>
                <c:pt idx="10">
                  <c:v>25.96165780940046</c:v>
                </c:pt>
                <c:pt idx="11">
                  <c:v>34.681485159077681</c:v>
                </c:pt>
                <c:pt idx="12">
                  <c:v>46.340603684565174</c:v>
                </c:pt>
                <c:pt idx="13">
                  <c:v>61.933084777661577</c:v>
                </c:pt>
                <c:pt idx="14">
                  <c:v>82.790220394132618</c:v>
                </c:pt>
                <c:pt idx="15">
                  <c:v>110.69523687133828</c:v>
                </c:pt>
                <c:pt idx="16">
                  <c:v>148.03712979275406</c:v>
                </c:pt>
                <c:pt idx="17">
                  <c:v>198.01699175113845</c:v>
                </c:pt>
                <c:pt idx="18">
                  <c:v>225.9481518705777</c:v>
                </c:pt>
                <c:pt idx="19">
                  <c:v>167.1629650420995</c:v>
                </c:pt>
                <c:pt idx="20">
                  <c:v>192.18884671776516</c:v>
                </c:pt>
                <c:pt idx="21">
                  <c:v>217.13883006272945</c:v>
                </c:pt>
                <c:pt idx="22">
                  <c:v>242.02286551975575</c:v>
                </c:pt>
                <c:pt idx="23">
                  <c:v>266.84868654930165</c:v>
                </c:pt>
                <c:pt idx="24">
                  <c:v>291.62246862735793</c:v>
                </c:pt>
                <c:pt idx="25">
                  <c:v>267.83973843136442</c:v>
                </c:pt>
                <c:pt idx="26">
                  <c:v>295.20984437767919</c:v>
                </c:pt>
                <c:pt idx="27">
                  <c:v>322.52334410117277</c:v>
                </c:pt>
                <c:pt idx="28">
                  <c:v>349.785701644997</c:v>
                </c:pt>
                <c:pt idx="29">
                  <c:v>377.00145984165829</c:v>
                </c:pt>
                <c:pt idx="30">
                  <c:v>404.17445231612891</c:v>
                </c:pt>
                <c:pt idx="31">
                  <c:v>353.2119291038573</c:v>
                </c:pt>
                <c:pt idx="32">
                  <c:v>380.4892939371228</c:v>
                </c:pt>
                <c:pt idx="33">
                  <c:v>407.72413216850492</c:v>
                </c:pt>
                <c:pt idx="34">
                  <c:v>434.91968079517761</c:v>
                </c:pt>
                <c:pt idx="35">
                  <c:v>462.07873925701455</c:v>
                </c:pt>
                <c:pt idx="36">
                  <c:v>489.20375134717227</c:v>
                </c:pt>
                <c:pt idx="37">
                  <c:v>433.59961838636008</c:v>
                </c:pt>
                <c:pt idx="38">
                  <c:v>460.20839311111894</c:v>
                </c:pt>
                <c:pt idx="39">
                  <c:v>486.78434108389047</c:v>
                </c:pt>
                <c:pt idx="40">
                  <c:v>513.32950438861201</c:v>
                </c:pt>
                <c:pt idx="41">
                  <c:v>539.84569689767909</c:v>
                </c:pt>
                <c:pt idx="42">
                  <c:v>566.33453995655486</c:v>
                </c:pt>
                <c:pt idx="43">
                  <c:v>505.12943761341859</c:v>
                </c:pt>
                <c:pt idx="44">
                  <c:v>530.71596265986329</c:v>
                </c:pt>
                <c:pt idx="45">
                  <c:v>556.27653997817106</c:v>
                </c:pt>
                <c:pt idx="46">
                  <c:v>581.81252811346212</c:v>
                </c:pt>
                <c:pt idx="47">
                  <c:v>607.32515676835726</c:v>
                </c:pt>
                <c:pt idx="48">
                  <c:v>632.81554402908341</c:v>
                </c:pt>
                <c:pt idx="49">
                  <c:v>561.06523629540231</c:v>
                </c:pt>
                <c:pt idx="50">
                  <c:v>585.27746751979441</c:v>
                </c:pt>
                <c:pt idx="51">
                  <c:v>609.46883490395442</c:v>
                </c:pt>
                <c:pt idx="52">
                  <c:v>633.64028211551329</c:v>
                </c:pt>
                <c:pt idx="53">
                  <c:v>657.79267504043685</c:v>
                </c:pt>
                <c:pt idx="54">
                  <c:v>681.92681087155916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2.0397714284229629</c:v>
                </c:pt>
                <c:pt idx="2">
                  <c:v>2.6830501318721502</c:v>
                </c:pt>
                <c:pt idx="3">
                  <c:v>3.5300330763175403</c:v>
                </c:pt>
                <c:pt idx="4">
                  <c:v>4.6454756176067766</c:v>
                </c:pt>
                <c:pt idx="5">
                  <c:v>6.1147922436081394</c:v>
                </c:pt>
                <c:pt idx="6">
                  <c:v>8.0506694835935235</c:v>
                </c:pt>
                <c:pt idx="7">
                  <c:v>10.601802064162893</c:v>
                </c:pt>
                <c:pt idx="8">
                  <c:v>13.96443594132149</c:v>
                </c:pt>
                <c:pt idx="9">
                  <c:v>18.397622508108167</c:v>
                </c:pt>
                <c:pt idx="10">
                  <c:v>24.243380340766453</c:v>
                </c:pt>
                <c:pt idx="11">
                  <c:v>31.953347449743802</c:v>
                </c:pt>
                <c:pt idx="12">
                  <c:v>42.124018808482084</c:v>
                </c:pt>
                <c:pt idx="13">
                  <c:v>55.543341570302402</c:v>
                </c:pt>
                <c:pt idx="14">
                  <c:v>73.252337685254929</c:v>
                </c:pt>
                <c:pt idx="15">
                  <c:v>96.626611933989992</c:v>
                </c:pt>
                <c:pt idx="16">
                  <c:v>127.4841772510066</c:v>
                </c:pt>
                <c:pt idx="17">
                  <c:v>168.22811392921565</c:v>
                </c:pt>
                <c:pt idx="18">
                  <c:v>132.88578577838067</c:v>
                </c:pt>
                <c:pt idx="19">
                  <c:v>152.3357449577359</c:v>
                </c:pt>
                <c:pt idx="20">
                  <c:v>171.72653739413659</c:v>
                </c:pt>
                <c:pt idx="21">
                  <c:v>191.06578969549196</c:v>
                </c:pt>
                <c:pt idx="22">
                  <c:v>210.3594549163457</c:v>
                </c:pt>
                <c:pt idx="23">
                  <c:v>229.61230319271121</c:v>
                </c:pt>
                <c:pt idx="24">
                  <c:v>179.18694187988618</c:v>
                </c:pt>
                <c:pt idx="25">
                  <c:v>198.69694441415049</c:v>
                </c:pt>
                <c:pt idx="26">
                  <c:v>218.16250683144037</c:v>
                </c:pt>
                <c:pt idx="27">
                  <c:v>237.58815254200749</c:v>
                </c:pt>
                <c:pt idx="28">
                  <c:v>256.9776041695244</c:v>
                </c:pt>
                <c:pt idx="29">
                  <c:v>276.33397636592611</c:v>
                </c:pt>
                <c:pt idx="30">
                  <c:v>233.44601669739703</c:v>
                </c:pt>
                <c:pt idx="31">
                  <c:v>251.84750488432181</c:v>
                </c:pt>
                <c:pt idx="32">
                  <c:v>270.21853171878513</c:v>
                </c:pt>
                <c:pt idx="33">
                  <c:v>288.56145919537863</c:v>
                </c:pt>
                <c:pt idx="34">
                  <c:v>306.87832443749215</c:v>
                </c:pt>
                <c:pt idx="35">
                  <c:v>325.17090151429107</c:v>
                </c:pt>
                <c:pt idx="36">
                  <c:v>343.44074860711908</c:v>
                </c:pt>
                <c:pt idx="37">
                  <c:v>277.64048093700978</c:v>
                </c:pt>
                <c:pt idx="38">
                  <c:v>294.48954060352384</c:v>
                </c:pt>
                <c:pt idx="39">
                  <c:v>311.31709651831665</c:v>
                </c:pt>
                <c:pt idx="40">
                  <c:v>328.12447444010144</c:v>
                </c:pt>
                <c:pt idx="41">
                  <c:v>344.91285322325461</c:v>
                </c:pt>
                <c:pt idx="42">
                  <c:v>361.6832876036994</c:v>
                </c:pt>
                <c:pt idx="43">
                  <c:v>378.43672653622252</c:v>
                </c:pt>
                <c:pt idx="44">
                  <c:v>395.17402811417611</c:v>
                </c:pt>
                <c:pt idx="45">
                  <c:v>327.7803309925909</c:v>
                </c:pt>
                <c:pt idx="46">
                  <c:v>342.65491458987913</c:v>
                </c:pt>
                <c:pt idx="47">
                  <c:v>357.51530938507517</c:v>
                </c:pt>
                <c:pt idx="48">
                  <c:v>372.362188160926</c:v>
                </c:pt>
                <c:pt idx="49">
                  <c:v>387.1961656731425</c:v>
                </c:pt>
                <c:pt idx="50">
                  <c:v>402.01780573308952</c:v>
                </c:pt>
                <c:pt idx="51">
                  <c:v>416.82762719136463</c:v>
                </c:pt>
                <c:pt idx="52">
                  <c:v>431.62610902660225</c:v>
                </c:pt>
                <c:pt idx="53">
                  <c:v>366.26587036399184</c:v>
                </c:pt>
                <c:pt idx="54">
                  <c:v>379.56512784230637</c:v>
                </c:pt>
                <c:pt idx="55">
                  <c:v>392.85424897119765</c:v>
                </c:pt>
                <c:pt idx="56">
                  <c:v>406.13362494673282</c:v>
                </c:pt>
                <c:pt idx="57">
                  <c:v>419.40361929545037</c:v>
                </c:pt>
                <c:pt idx="58">
                  <c:v>432.66457066342628</c:v>
                </c:pt>
                <c:pt idx="59">
                  <c:v>445.91679524557213</c:v>
                </c:pt>
                <c:pt idx="60">
                  <c:v>459.1605889111022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1.4559517368790669</c:v>
                </c:pt>
                <c:pt idx="2">
                  <c:v>1.729987284132541</c:v>
                </c:pt>
                <c:pt idx="3">
                  <c:v>2.0557977278009294</c:v>
                </c:pt>
                <c:pt idx="4">
                  <c:v>2.4432003726025537</c:v>
                </c:pt>
                <c:pt idx="5">
                  <c:v>2.9038803166105365</c:v>
                </c:pt>
                <c:pt idx="6">
                  <c:v>3.4517469258326074</c:v>
                </c:pt>
                <c:pt idx="7">
                  <c:v>4.1033585411030424</c:v>
                </c:pt>
                <c:pt idx="8">
                  <c:v>4.8784285125057369</c:v>
                </c:pt>
                <c:pt idx="9">
                  <c:v>5.8004281759541811</c:v>
                </c:pt>
                <c:pt idx="10">
                  <c:v>6.8973053917546716</c:v>
                </c:pt>
                <c:pt idx="11">
                  <c:v>8.2023408498340427</c:v>
                </c:pt>
                <c:pt idx="12">
                  <c:v>9.7551686228512136</c:v>
                </c:pt>
                <c:pt idx="13">
                  <c:v>11.602992550352086</c:v>
                </c:pt>
                <c:pt idx="14">
                  <c:v>13.802036124085888</c:v>
                </c:pt>
                <c:pt idx="15">
                  <c:v>16.419270807113978</c:v>
                </c:pt>
                <c:pt idx="16">
                  <c:v>19.534476384865641</c:v>
                </c:pt>
                <c:pt idx="17">
                  <c:v>23.24269728636807</c:v>
                </c:pt>
                <c:pt idx="18">
                  <c:v>27.657171152681755</c:v>
                </c:pt>
                <c:pt idx="19">
                  <c:v>32.912820654148106</c:v>
                </c:pt>
                <c:pt idx="20">
                  <c:v>39.170417130515368</c:v>
                </c:pt>
                <c:pt idx="21">
                  <c:v>46.621545600109563</c:v>
                </c:pt>
                <c:pt idx="22">
                  <c:v>55.494525714785674</c:v>
                </c:pt>
                <c:pt idx="23">
                  <c:v>66.061473113123796</c:v>
                </c:pt>
                <c:pt idx="24">
                  <c:v>78.646721284642979</c:v>
                </c:pt>
                <c:pt idx="25">
                  <c:v>93.636866624515463</c:v>
                </c:pt>
                <c:pt idx="26">
                  <c:v>111.4927501710773</c:v>
                </c:pt>
                <c:pt idx="27">
                  <c:v>132.76375017728887</c:v>
                </c:pt>
                <c:pt idx="28">
                  <c:v>158.10483208300809</c:v>
                </c:pt>
                <c:pt idx="29">
                  <c:v>188.29688890963698</c:v>
                </c:pt>
                <c:pt idx="30">
                  <c:v>224.27100831811845</c:v>
                </c:pt>
                <c:pt idx="31">
                  <c:v>240.53376204318738</c:v>
                </c:pt>
                <c:pt idx="32">
                  <c:v>256.7714919771762</c:v>
                </c:pt>
                <c:pt idx="33">
                  <c:v>272.98600338495862</c:v>
                </c:pt>
                <c:pt idx="34">
                  <c:v>289.17886949122021</c:v>
                </c:pt>
                <c:pt idx="35">
                  <c:v>305.35147290504159</c:v>
                </c:pt>
                <c:pt idx="36">
                  <c:v>321.5050378012242</c:v>
                </c:pt>
                <c:pt idx="37">
                  <c:v>337.64065529108387</c:v>
                </c:pt>
                <c:pt idx="38">
                  <c:v>353.75930368720213</c:v>
                </c:pt>
                <c:pt idx="39">
                  <c:v>369.86186488028119</c:v>
                </c:pt>
                <c:pt idx="40">
                  <c:v>385.94913771420806</c:v>
                </c:pt>
                <c:pt idx="41">
                  <c:v>402.02184901423874</c:v>
                </c:pt>
                <c:pt idx="42">
                  <c:v>418.08066275933976</c:v>
                </c:pt>
                <c:pt idx="43">
                  <c:v>253.84068765287489</c:v>
                </c:pt>
                <c:pt idx="44">
                  <c:v>269.54411534645834</c:v>
                </c:pt>
                <c:pt idx="45">
                  <c:v>285.22695568687891</c:v>
                </c:pt>
                <c:pt idx="46">
                  <c:v>300.89050001330901</c:v>
                </c:pt>
                <c:pt idx="47">
                  <c:v>316.5358942158237</c:v>
                </c:pt>
                <c:pt idx="48">
                  <c:v>332.16416164893707</c:v>
                </c:pt>
                <c:pt idx="49">
                  <c:v>347.77622150490646</c:v>
                </c:pt>
                <c:pt idx="50">
                  <c:v>267.82045439526422</c:v>
                </c:pt>
                <c:pt idx="51">
                  <c:v>282.55146979709662</c:v>
                </c:pt>
                <c:pt idx="52">
                  <c:v>297.26528301549314</c:v>
                </c:pt>
                <c:pt idx="53">
                  <c:v>311.96286547341651</c:v>
                </c:pt>
                <c:pt idx="54">
                  <c:v>326.64508957022116</c:v>
                </c:pt>
                <c:pt idx="55">
                  <c:v>341.31274286695992</c:v>
                </c:pt>
                <c:pt idx="56">
                  <c:v>355.96653970474637</c:v>
                </c:pt>
                <c:pt idx="57">
                  <c:v>297.43935110788397</c:v>
                </c:pt>
                <c:pt idx="58">
                  <c:v>311.7383572269693</c:v>
                </c:pt>
                <c:pt idx="59">
                  <c:v>326.02281510462137</c:v>
                </c:pt>
                <c:pt idx="60">
                  <c:v>340.29345196940289</c:v>
                </c:pt>
                <c:pt idx="61">
                  <c:v>354.55092906999738</c:v>
                </c:pt>
                <c:pt idx="62">
                  <c:v>368.79585012980647</c:v>
                </c:pt>
                <c:pt idx="63">
                  <c:v>383.02876842673123</c:v>
                </c:pt>
                <c:pt idx="64">
                  <c:v>325.71840229311169</c:v>
                </c:pt>
                <c:pt idx="65">
                  <c:v>339.45671552357044</c:v>
                </c:pt>
                <c:pt idx="66">
                  <c:v>353.18279929233978</c:v>
                </c:pt>
                <c:pt idx="67">
                  <c:v>366.89719586105952</c:v>
                </c:pt>
                <c:pt idx="68">
                  <c:v>380.60040364107721</c:v>
                </c:pt>
                <c:pt idx="69">
                  <c:v>394.29288222380774</c:v>
                </c:pt>
                <c:pt idx="70">
                  <c:v>407.97505667577428</c:v>
                </c:pt>
                <c:pt idx="71">
                  <c:v>421.647321227367</c:v>
                </c:pt>
                <c:pt idx="72">
                  <c:v>354.38219978506419</c:v>
                </c:pt>
                <c:pt idx="73">
                  <c:v>367.27332514561107</c:v>
                </c:pt>
                <c:pt idx="74">
                  <c:v>380.15457568105836</c:v>
                </c:pt>
                <c:pt idx="75">
                  <c:v>393.02633316528846</c:v>
                </c:pt>
                <c:pt idx="76">
                  <c:v>405.88895232312825</c:v>
                </c:pt>
                <c:pt idx="77">
                  <c:v>418.74276356136397</c:v>
                </c:pt>
                <c:pt idx="78">
                  <c:v>431.58807534691499</c:v>
                </c:pt>
                <c:pt idx="79">
                  <c:v>444.42517628710794</c:v>
                </c:pt>
                <c:pt idx="80">
                  <c:v>379.50930344710491</c:v>
                </c:pt>
                <c:pt idx="81">
                  <c:v>391.59489202964716</c:v>
                </c:pt>
                <c:pt idx="82">
                  <c:v>403.67239195063979</c:v>
                </c:pt>
                <c:pt idx="83">
                  <c:v>415.7420793489016</c:v>
                </c:pt>
                <c:pt idx="84">
                  <c:v>427.80421301983375</c:v>
                </c:pt>
                <c:pt idx="85">
                  <c:v>439.85903597336824</c:v>
                </c:pt>
                <c:pt idx="86">
                  <c:v>451.90677681221678</c:v>
                </c:pt>
                <c:pt idx="87">
                  <c:v>463.94765095548405</c:v>
                </c:pt>
                <c:pt idx="88">
                  <c:v>398.22609617089216</c:v>
                </c:pt>
                <c:pt idx="89">
                  <c:v>409.42150396683786</c:v>
                </c:pt>
                <c:pt idx="90">
                  <c:v>420.6103021791476</c:v>
                </c:pt>
                <c:pt idx="91">
                  <c:v>431.79269144575846</c:v>
                </c:pt>
                <c:pt idx="92">
                  <c:v>442.96886116304557</c:v>
                </c:pt>
                <c:pt idx="93">
                  <c:v>454.13899038945743</c:v>
                </c:pt>
                <c:pt idx="94">
                  <c:v>465.3032486556088</c:v>
                </c:pt>
                <c:pt idx="95">
                  <c:v>476.46179669257441</c:v>
                </c:pt>
                <c:pt idx="96">
                  <c:v>249.87566695731167</c:v>
                </c:pt>
                <c:pt idx="97">
                  <c:v>257.42321497634555</c:v>
                </c:pt>
                <c:pt idx="98">
                  <c:v>264.96575978377672</c:v>
                </c:pt>
                <c:pt idx="99">
                  <c:v>272.50346405734365</c:v>
                </c:pt>
                <c:pt idx="100">
                  <c:v>280.03648073000704</c:v>
                </c:pt>
                <c:pt idx="101">
                  <c:v>287.56495382593954</c:v>
                </c:pt>
                <c:pt idx="102">
                  <c:v>295.08901920431265</c:v>
                </c:pt>
                <c:pt idx="103">
                  <c:v>302.6088052231903</c:v>
                </c:pt>
                <c:pt idx="104">
                  <c:v>310.12443333392656</c:v>
                </c:pt>
                <c:pt idx="105">
                  <c:v>317.63601861488428</c:v>
                </c:pt>
                <c:pt idx="106">
                  <c:v>4.2330868906469593E-12</c:v>
                </c:pt>
                <c:pt idx="107">
                  <c:v>4.2330868906469593E-12</c:v>
                </c:pt>
                <c:pt idx="108">
                  <c:v>4.2330868906469593E-12</c:v>
                </c:pt>
                <c:pt idx="109">
                  <c:v>4.2330868906469593E-12</c:v>
                </c:pt>
                <c:pt idx="110">
                  <c:v>4.2330868906469593E-12</c:v>
                </c:pt>
                <c:pt idx="111">
                  <c:v>4.2330868906469593E-12</c:v>
                </c:pt>
                <c:pt idx="112">
                  <c:v>4.2330868906469593E-12</c:v>
                </c:pt>
                <c:pt idx="113">
                  <c:v>4.2330868906469593E-12</c:v>
                </c:pt>
                <c:pt idx="114">
                  <c:v>4.2330868906469593E-12</c:v>
                </c:pt>
                <c:pt idx="115">
                  <c:v>4.2330868906469593E-12</c:v>
                </c:pt>
                <c:pt idx="116">
                  <c:v>4.2330868906469593E-12</c:v>
                </c:pt>
                <c:pt idx="117">
                  <c:v>4.2330868906469593E-12</c:v>
                </c:pt>
                <c:pt idx="118">
                  <c:v>4.2330868906469593E-12</c:v>
                </c:pt>
                <c:pt idx="119">
                  <c:v>4.2330868906469593E-12</c:v>
                </c:pt>
                <c:pt idx="120">
                  <c:v>4.2330868906469593E-12</c:v>
                </c:pt>
                <c:pt idx="121">
                  <c:v>4.2330868906469593E-12</c:v>
                </c:pt>
                <c:pt idx="122">
                  <c:v>4.2330868906469593E-12</c:v>
                </c:pt>
                <c:pt idx="123">
                  <c:v>4.2330868906469593E-12</c:v>
                </c:pt>
                <c:pt idx="124">
                  <c:v>4.2330868906469593E-12</c:v>
                </c:pt>
                <c:pt idx="125">
                  <c:v>4.2330868906469593E-12</c:v>
                </c:pt>
                <c:pt idx="126">
                  <c:v>4.2330868906469593E-12</c:v>
                </c:pt>
                <c:pt idx="127">
                  <c:v>4.2330868906469593E-12</c:v>
                </c:pt>
                <c:pt idx="128">
                  <c:v>4.2330868906469593E-12</c:v>
                </c:pt>
                <c:pt idx="129">
                  <c:v>4.2330868906469593E-12</c:v>
                </c:pt>
                <c:pt idx="130">
                  <c:v>4.2330868906469593E-12</c:v>
                </c:pt>
                <c:pt idx="131">
                  <c:v>4.2330868906469593E-12</c:v>
                </c:pt>
                <c:pt idx="132">
                  <c:v>4.2330868906469593E-12</c:v>
                </c:pt>
                <c:pt idx="133">
                  <c:v>4.2330868906469593E-12</c:v>
                </c:pt>
                <c:pt idx="134">
                  <c:v>4.2330868906469593E-12</c:v>
                </c:pt>
                <c:pt idx="135">
                  <c:v>4.2330868906469593E-12</c:v>
                </c:pt>
                <c:pt idx="136">
                  <c:v>4.2330868906469593E-12</c:v>
                </c:pt>
                <c:pt idx="137">
                  <c:v>4.2330868906469593E-12</c:v>
                </c:pt>
                <c:pt idx="138">
                  <c:v>4.2330868906469593E-12</c:v>
                </c:pt>
                <c:pt idx="139">
                  <c:v>4.2330868906469593E-12</c:v>
                </c:pt>
                <c:pt idx="140">
                  <c:v>4.2330868906469593E-12</c:v>
                </c:pt>
                <c:pt idx="141">
                  <c:v>4.2330868906469593E-12</c:v>
                </c:pt>
                <c:pt idx="142">
                  <c:v>4.2330868906469593E-12</c:v>
                </c:pt>
                <c:pt idx="143">
                  <c:v>4.2330868906469593E-12</c:v>
                </c:pt>
                <c:pt idx="144">
                  <c:v>4.2330868906469593E-12</c:v>
                </c:pt>
                <c:pt idx="145">
                  <c:v>4.2330868906469593E-12</c:v>
                </c:pt>
                <c:pt idx="146">
                  <c:v>4.2330868906469593E-12</c:v>
                </c:pt>
                <c:pt idx="147">
                  <c:v>4.2330868906469593E-12</c:v>
                </c:pt>
                <c:pt idx="148">
                  <c:v>4.2330868906469593E-12</c:v>
                </c:pt>
                <c:pt idx="149">
                  <c:v>4.2330868906469593E-12</c:v>
                </c:pt>
                <c:pt idx="150">
                  <c:v>4.2330868906469593E-12</c:v>
                </c:pt>
                <c:pt idx="151">
                  <c:v>4.2330868906469593E-12</c:v>
                </c:pt>
                <c:pt idx="152">
                  <c:v>4.2330868906469593E-12</c:v>
                </c:pt>
                <c:pt idx="153">
                  <c:v>4.2330868906469593E-12</c:v>
                </c:pt>
                <c:pt idx="154">
                  <c:v>4.2330868906469593E-12</c:v>
                </c:pt>
                <c:pt idx="155">
                  <c:v>4.2330868906469593E-12</c:v>
                </c:pt>
                <c:pt idx="156">
                  <c:v>4.2330868906469593E-12</c:v>
                </c:pt>
                <c:pt idx="157">
                  <c:v>4.2330868906469593E-12</c:v>
                </c:pt>
                <c:pt idx="158">
                  <c:v>4.2330868906469593E-12</c:v>
                </c:pt>
                <c:pt idx="159">
                  <c:v>4.2330868906469593E-12</c:v>
                </c:pt>
                <c:pt idx="160">
                  <c:v>4.2330868906469593E-12</c:v>
                </c:pt>
                <c:pt idx="161">
                  <c:v>4.2330868906469593E-12</c:v>
                </c:pt>
                <c:pt idx="162">
                  <c:v>4.2330868906469593E-12</c:v>
                </c:pt>
                <c:pt idx="163">
                  <c:v>4.2330868906469593E-12</c:v>
                </c:pt>
                <c:pt idx="164">
                  <c:v>4.2330868906469593E-12</c:v>
                </c:pt>
                <c:pt idx="165">
                  <c:v>4.2330868906469593E-12</c:v>
                </c:pt>
                <c:pt idx="166">
                  <c:v>4.2330868906469593E-12</c:v>
                </c:pt>
                <c:pt idx="167">
                  <c:v>4.2330868906469593E-12</c:v>
                </c:pt>
                <c:pt idx="168">
                  <c:v>4.2330868906469593E-12</c:v>
                </c:pt>
                <c:pt idx="169">
                  <c:v>4.2330868906469593E-12</c:v>
                </c:pt>
                <c:pt idx="170">
                  <c:v>4.2330868906469593E-12</c:v>
                </c:pt>
                <c:pt idx="171">
                  <c:v>4.2330868906469593E-12</c:v>
                </c:pt>
                <c:pt idx="172">
                  <c:v>4.2330868906469593E-12</c:v>
                </c:pt>
                <c:pt idx="173">
                  <c:v>4.2330868906469593E-12</c:v>
                </c:pt>
                <c:pt idx="174">
                  <c:v>4.2330868906469593E-12</c:v>
                </c:pt>
                <c:pt idx="175">
                  <c:v>4.2330868906469593E-12</c:v>
                </c:pt>
                <c:pt idx="176">
                  <c:v>4.2330868906469593E-12</c:v>
                </c:pt>
                <c:pt idx="177">
                  <c:v>4.2330868906469593E-12</c:v>
                </c:pt>
                <c:pt idx="178">
                  <c:v>4.2330868906469593E-12</c:v>
                </c:pt>
                <c:pt idx="179">
                  <c:v>4.2330868906469593E-12</c:v>
                </c:pt>
                <c:pt idx="180">
                  <c:v>4.2330868906469593E-12</c:v>
                </c:pt>
                <c:pt idx="181">
                  <c:v>4.2330868906469593E-12</c:v>
                </c:pt>
                <c:pt idx="182">
                  <c:v>4.2330868906469593E-12</c:v>
                </c:pt>
                <c:pt idx="183">
                  <c:v>4.2330868906469593E-12</c:v>
                </c:pt>
                <c:pt idx="184">
                  <c:v>4.2330868906469593E-12</c:v>
                </c:pt>
                <c:pt idx="185">
                  <c:v>4.2330868906469593E-12</c:v>
                </c:pt>
                <c:pt idx="186">
                  <c:v>4.2330868906469593E-12</c:v>
                </c:pt>
                <c:pt idx="187">
                  <c:v>4.2330868906469593E-12</c:v>
                </c:pt>
                <c:pt idx="188">
                  <c:v>4.2330868906469593E-12</c:v>
                </c:pt>
                <c:pt idx="189">
                  <c:v>4.2330868906469593E-12</c:v>
                </c:pt>
                <c:pt idx="190">
                  <c:v>4.2330868906469593E-12</c:v>
                </c:pt>
                <c:pt idx="191">
                  <c:v>4.2330868906469593E-12</c:v>
                </c:pt>
                <c:pt idx="192">
                  <c:v>4.2330868906469593E-12</c:v>
                </c:pt>
                <c:pt idx="193">
                  <c:v>4.2330868906469593E-12</c:v>
                </c:pt>
                <c:pt idx="194">
                  <c:v>4.2330868906469593E-12</c:v>
                </c:pt>
                <c:pt idx="195">
                  <c:v>4.2330868906469593E-12</c:v>
                </c:pt>
                <c:pt idx="196">
                  <c:v>4.2330868906469593E-12</c:v>
                </c:pt>
                <c:pt idx="197">
                  <c:v>4.2330868906469593E-12</c:v>
                </c:pt>
                <c:pt idx="198">
                  <c:v>4.2330868906469593E-12</c:v>
                </c:pt>
                <c:pt idx="199">
                  <c:v>4.2330868906469593E-12</c:v>
                </c:pt>
                <c:pt idx="200">
                  <c:v>4.2330868906469593E-12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2.2637049036634416</c:v>
                </c:pt>
                <c:pt idx="2">
                  <c:v>3.3052061027801565</c:v>
                </c:pt>
                <c:pt idx="3">
                  <c:v>4.8280420696554494</c:v>
                </c:pt>
                <c:pt idx="4">
                  <c:v>7.0555986163794984</c:v>
                </c:pt>
                <c:pt idx="5">
                  <c:v>10.31533795439733</c:v>
                </c:pt>
                <c:pt idx="6">
                  <c:v>15.087462067497738</c:v>
                </c:pt>
                <c:pt idx="7">
                  <c:v>22.076404249918891</c:v>
                </c:pt>
                <c:pt idx="8">
                  <c:v>32.315889381594552</c:v>
                </c:pt>
                <c:pt idx="9">
                  <c:v>47.323370448485711</c:v>
                </c:pt>
                <c:pt idx="10">
                  <c:v>69.327111856198599</c:v>
                </c:pt>
                <c:pt idx="11">
                  <c:v>93.204049651801071</c:v>
                </c:pt>
                <c:pt idx="12">
                  <c:v>116.92708380106416</c:v>
                </c:pt>
                <c:pt idx="13">
                  <c:v>140.53207608209667</c:v>
                </c:pt>
                <c:pt idx="14">
                  <c:v>164.04172087831677</c:v>
                </c:pt>
                <c:pt idx="15">
                  <c:v>187.47163239017053</c:v>
                </c:pt>
                <c:pt idx="16">
                  <c:v>146.81136547798749</c:v>
                </c:pt>
                <c:pt idx="17">
                  <c:v>170.80742954677157</c:v>
                </c:pt>
                <c:pt idx="18">
                  <c:v>194.72403964150703</c:v>
                </c:pt>
                <c:pt idx="19">
                  <c:v>218.57233487459663</c:v>
                </c:pt>
                <c:pt idx="20">
                  <c:v>242.36081901854183</c:v>
                </c:pt>
                <c:pt idx="21">
                  <c:v>204.12844580912656</c:v>
                </c:pt>
                <c:pt idx="22">
                  <c:v>228.73672473315909</c:v>
                </c:pt>
                <c:pt idx="23">
                  <c:v>253.28442353945601</c:v>
                </c:pt>
                <c:pt idx="24">
                  <c:v>277.77823776243309</c:v>
                </c:pt>
                <c:pt idx="25">
                  <c:v>302.22358480953159</c:v>
                </c:pt>
                <c:pt idx="26">
                  <c:v>326.62493385865372</c:v>
                </c:pt>
                <c:pt idx="27">
                  <c:v>291.30971241322919</c:v>
                </c:pt>
                <c:pt idx="28">
                  <c:v>316.14188648171188</c:v>
                </c:pt>
                <c:pt idx="29">
                  <c:v>340.93085224982775</c:v>
                </c:pt>
                <c:pt idx="30">
                  <c:v>365.68019071952534</c:v>
                </c:pt>
                <c:pt idx="31">
                  <c:v>390.39295875481668</c:v>
                </c:pt>
                <c:pt idx="32">
                  <c:v>415.07179480856439</c:v>
                </c:pt>
                <c:pt idx="33">
                  <c:v>355.88364575491568</c:v>
                </c:pt>
                <c:pt idx="34">
                  <c:v>378.90598373659333</c:v>
                </c:pt>
                <c:pt idx="35">
                  <c:v>401.89789012628256</c:v>
                </c:pt>
                <c:pt idx="36">
                  <c:v>424.86134931148257</c:v>
                </c:pt>
                <c:pt idx="37">
                  <c:v>447.79811380133168</c:v>
                </c:pt>
                <c:pt idx="38">
                  <c:v>470.70974205309909</c:v>
                </c:pt>
                <c:pt idx="39">
                  <c:v>493.59762855037974</c:v>
                </c:pt>
                <c:pt idx="40">
                  <c:v>516.46302801285583</c:v>
                </c:pt>
                <c:pt idx="41">
                  <c:v>418.21652921659637</c:v>
                </c:pt>
                <c:pt idx="42">
                  <c:v>437.54828979657418</c:v>
                </c:pt>
                <c:pt idx="43">
                  <c:v>456.86173367611218</c:v>
                </c:pt>
                <c:pt idx="44">
                  <c:v>476.15774366224105</c:v>
                </c:pt>
                <c:pt idx="45">
                  <c:v>495.4371252185951</c:v>
                </c:pt>
                <c:pt idx="46">
                  <c:v>514.70061604899377</c:v>
                </c:pt>
                <c:pt idx="47">
                  <c:v>533.94889417211482</c:v>
                </c:pt>
                <c:pt idx="48">
                  <c:v>553.18258477172765</c:v>
                </c:pt>
                <c:pt idx="49">
                  <c:v>463.11224037370863</c:v>
                </c:pt>
                <c:pt idx="50">
                  <c:v>479.3932375320328</c:v>
                </c:pt>
                <c:pt idx="51">
                  <c:v>495.66248405140641</c:v>
                </c:pt>
                <c:pt idx="52">
                  <c:v>511.92041976382615</c:v>
                </c:pt>
                <c:pt idx="53">
                  <c:v>528.16745429901368</c:v>
                </c:pt>
                <c:pt idx="54">
                  <c:v>544.4039700427569</c:v>
                </c:pt>
                <c:pt idx="55">
                  <c:v>560.63032472410339</c:v>
                </c:pt>
                <c:pt idx="56">
                  <c:v>576.84685368758085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1.9228171101479343</c:v>
                </c:pt>
                <c:pt idx="2">
                  <c:v>2.3839762212252493</c:v>
                </c:pt>
                <c:pt idx="3">
                  <c:v>2.9561699626966398</c:v>
                </c:pt>
                <c:pt idx="4">
                  <c:v>3.6662308682624953</c:v>
                </c:pt>
                <c:pt idx="5">
                  <c:v>4.5474981006760791</c:v>
                </c:pt>
                <c:pt idx="6">
                  <c:v>5.6414002822324134</c:v>
                </c:pt>
                <c:pt idx="7">
                  <c:v>6.9994245047079717</c:v>
                </c:pt>
                <c:pt idx="8">
                  <c:v>8.6855659931576685</c:v>
                </c:pt>
                <c:pt idx="9">
                  <c:v>10.779376066926231</c:v>
                </c:pt>
                <c:pt idx="10">
                  <c:v>13.379754904830248</c:v>
                </c:pt>
                <c:pt idx="11">
                  <c:v>16.609671582214194</c:v>
                </c:pt>
                <c:pt idx="12">
                  <c:v>20.622038654014851</c:v>
                </c:pt>
                <c:pt idx="13">
                  <c:v>25.607024390178637</c:v>
                </c:pt>
                <c:pt idx="14">
                  <c:v>31.801155346095459</c:v>
                </c:pt>
                <c:pt idx="15">
                  <c:v>39.498648660803447</c:v>
                </c:pt>
                <c:pt idx="16">
                  <c:v>49.065521546616061</c:v>
                </c:pt>
                <c:pt idx="17">
                  <c:v>60.957160137116858</c:v>
                </c:pt>
                <c:pt idx="18">
                  <c:v>75.740197770787589</c:v>
                </c:pt>
                <c:pt idx="19">
                  <c:v>94.119762105118596</c:v>
                </c:pt>
                <c:pt idx="20">
                  <c:v>116.97341140922269</c:v>
                </c:pt>
                <c:pt idx="21">
                  <c:v>108.1931416441323</c:v>
                </c:pt>
                <c:pt idx="22">
                  <c:v>125.6068855785234</c:v>
                </c:pt>
                <c:pt idx="23">
                  <c:v>142.96199841867738</c:v>
                </c:pt>
                <c:pt idx="24">
                  <c:v>160.26661002786599</c:v>
                </c:pt>
                <c:pt idx="25">
                  <c:v>177.52694566934088</c:v>
                </c:pt>
                <c:pt idx="26">
                  <c:v>194.74791846795674</c:v>
                </c:pt>
                <c:pt idx="27">
                  <c:v>211.93350024727374</c:v>
                </c:pt>
                <c:pt idx="28">
                  <c:v>229.08696530373251</c:v>
                </c:pt>
                <c:pt idx="29">
                  <c:v>246.21105711862251</c:v>
                </c:pt>
                <c:pt idx="30">
                  <c:v>263.30810614969687</c:v>
                </c:pt>
                <c:pt idx="31">
                  <c:v>206.25174818981284</c:v>
                </c:pt>
                <c:pt idx="32">
                  <c:v>226.50943532106294</c:v>
                </c:pt>
                <c:pt idx="33">
                  <c:v>246.72563774429935</c:v>
                </c:pt>
                <c:pt idx="34">
                  <c:v>266.90423231001682</c:v>
                </c:pt>
                <c:pt idx="35">
                  <c:v>287.04846149927101</c:v>
                </c:pt>
                <c:pt idx="36">
                  <c:v>307.16107541724091</c:v>
                </c:pt>
                <c:pt idx="37">
                  <c:v>327.24443459088332</c:v>
                </c:pt>
                <c:pt idx="38">
                  <c:v>347.30058618137667</c:v>
                </c:pt>
                <c:pt idx="39">
                  <c:v>367.33132165621686</c:v>
                </c:pt>
                <c:pt idx="40">
                  <c:v>387.33822121677048</c:v>
                </c:pt>
                <c:pt idx="41">
                  <c:v>307.1610754172408</c:v>
                </c:pt>
                <c:pt idx="42">
                  <c:v>327.88357486428237</c:v>
                </c:pt>
                <c:pt idx="43">
                  <c:v>348.57716937355349</c:v>
                </c:pt>
                <c:pt idx="44">
                  <c:v>369.24381536730135</c:v>
                </c:pt>
                <c:pt idx="45">
                  <c:v>389.88523246274627</c:v>
                </c:pt>
                <c:pt idx="46">
                  <c:v>410.50294341321847</c:v>
                </c:pt>
                <c:pt idx="47">
                  <c:v>431.09830560423705</c:v>
                </c:pt>
                <c:pt idx="48">
                  <c:v>451.67253621627088</c:v>
                </c:pt>
                <c:pt idx="49">
                  <c:v>472.22673256386997</c:v>
                </c:pt>
                <c:pt idx="50">
                  <c:v>492.76188870967644</c:v>
                </c:pt>
                <c:pt idx="51">
                  <c:v>399.56060449432636</c:v>
                </c:pt>
                <c:pt idx="52">
                  <c:v>419.40484180194272</c:v>
                </c:pt>
                <c:pt idx="53">
                  <c:v>439.22885835221342</c:v>
                </c:pt>
                <c:pt idx="54">
                  <c:v>459.03369461888457</c:v>
                </c:pt>
                <c:pt idx="55">
                  <c:v>478.82029402342147</c:v>
                </c:pt>
                <c:pt idx="56">
                  <c:v>498.58951570604586</c:v>
                </c:pt>
                <c:pt idx="57">
                  <c:v>518.34214516637292</c:v>
                </c:pt>
                <c:pt idx="58">
                  <c:v>538.07890319826015</c:v>
                </c:pt>
                <c:pt idx="59">
                  <c:v>557.80045344608595</c:v>
                </c:pt>
                <c:pt idx="60">
                  <c:v>577.50740883732692</c:v>
                </c:pt>
                <c:pt idx="61">
                  <c:v>481.4825295865167</c:v>
                </c:pt>
                <c:pt idx="62">
                  <c:v>499.34953422631764</c:v>
                </c:pt>
                <c:pt idx="63">
                  <c:v>517.20300843460734</c:v>
                </c:pt>
                <c:pt idx="64">
                  <c:v>535.04348473955304</c:v>
                </c:pt>
                <c:pt idx="65">
                  <c:v>552.87145728238113</c:v>
                </c:pt>
                <c:pt idx="66">
                  <c:v>570.6873857583937</c:v>
                </c:pt>
                <c:pt idx="67">
                  <c:v>588.49169884050696</c:v>
                </c:pt>
                <c:pt idx="68">
                  <c:v>606.2847971671714</c:v>
                </c:pt>
                <c:pt idx="69">
                  <c:v>624.06705596150925</c:v>
                </c:pt>
                <c:pt idx="70">
                  <c:v>641.8388273366063</c:v>
                </c:pt>
                <c:pt idx="71">
                  <c:v>549.07929537769098</c:v>
                </c:pt>
                <c:pt idx="72">
                  <c:v>564.87639384426382</c:v>
                </c:pt>
                <c:pt idx="73">
                  <c:v>580.66425649016571</c:v>
                </c:pt>
                <c:pt idx="74">
                  <c:v>596.44316965824521</c:v>
                </c:pt>
                <c:pt idx="75">
                  <c:v>612.21340331456997</c:v>
                </c:pt>
                <c:pt idx="76">
                  <c:v>627.97521239147818</c:v>
                </c:pt>
                <c:pt idx="77">
                  <c:v>643.72883798886176</c:v>
                </c:pt>
                <c:pt idx="78">
                  <c:v>659.47450845181413</c:v>
                </c:pt>
                <c:pt idx="79">
                  <c:v>675.21244034007702</c:v>
                </c:pt>
                <c:pt idx="80">
                  <c:v>690.94283930246741</c:v>
                </c:pt>
                <c:pt idx="81">
                  <c:v>606.2847971671714</c:v>
                </c:pt>
                <c:pt idx="82">
                  <c:v>619.90620335950791</c:v>
                </c:pt>
                <c:pt idx="83">
                  <c:v>633.52140991484214</c:v>
                </c:pt>
                <c:pt idx="84">
                  <c:v>647.13056877940483</c:v>
                </c:pt>
                <c:pt idx="85">
                  <c:v>660.73382499079878</c:v>
                </c:pt>
                <c:pt idx="86">
                  <c:v>674.33131713084038</c:v>
                </c:pt>
                <c:pt idx="87">
                  <c:v>687.92317774000242</c:v>
                </c:pt>
                <c:pt idx="88">
                  <c:v>701.50953369741865</c:v>
                </c:pt>
                <c:pt idx="89">
                  <c:v>715.09050656993907</c:v>
                </c:pt>
                <c:pt idx="90">
                  <c:v>728.66621293330627</c:v>
                </c:pt>
                <c:pt idx="91">
                  <c:v>640.57875641162809</c:v>
                </c:pt>
                <c:pt idx="92">
                  <c:v>640.57875641162809</c:v>
                </c:pt>
                <c:pt idx="93">
                  <c:v>640.57875641162809</c:v>
                </c:pt>
                <c:pt idx="94">
                  <c:v>640.57875641162809</c:v>
                </c:pt>
                <c:pt idx="95">
                  <c:v>640.57875641162809</c:v>
                </c:pt>
                <c:pt idx="96">
                  <c:v>640.57875641162809</c:v>
                </c:pt>
                <c:pt idx="97">
                  <c:v>640.57875641162809</c:v>
                </c:pt>
                <c:pt idx="98">
                  <c:v>640.57875641162809</c:v>
                </c:pt>
                <c:pt idx="99">
                  <c:v>640.57875641162809</c:v>
                </c:pt>
                <c:pt idx="100">
                  <c:v>640.57875641162809</c:v>
                </c:pt>
                <c:pt idx="101">
                  <c:v>640.57875641162809</c:v>
                </c:pt>
                <c:pt idx="102">
                  <c:v>640.57875641162809</c:v>
                </c:pt>
                <c:pt idx="103">
                  <c:v>640.57875641162809</c:v>
                </c:pt>
                <c:pt idx="104">
                  <c:v>640.57875641162809</c:v>
                </c:pt>
                <c:pt idx="105">
                  <c:v>640.57875641162809</c:v>
                </c:pt>
                <c:pt idx="106">
                  <c:v>640.57875641162809</c:v>
                </c:pt>
                <c:pt idx="107">
                  <c:v>640.57875641162809</c:v>
                </c:pt>
                <c:pt idx="108">
                  <c:v>640.57875641162809</c:v>
                </c:pt>
                <c:pt idx="109">
                  <c:v>640.57875641162809</c:v>
                </c:pt>
                <c:pt idx="110">
                  <c:v>640.57875641162809</c:v>
                </c:pt>
                <c:pt idx="111">
                  <c:v>640.57875641162809</c:v>
                </c:pt>
                <c:pt idx="112">
                  <c:v>640.57875641162809</c:v>
                </c:pt>
                <c:pt idx="113">
                  <c:v>640.57875641162809</c:v>
                </c:pt>
                <c:pt idx="114">
                  <c:v>640.57875641162809</c:v>
                </c:pt>
                <c:pt idx="115">
                  <c:v>640.57875641162809</c:v>
                </c:pt>
                <c:pt idx="116">
                  <c:v>640.57875641162809</c:v>
                </c:pt>
                <c:pt idx="117">
                  <c:v>640.57875641162809</c:v>
                </c:pt>
                <c:pt idx="118">
                  <c:v>640.57875641162809</c:v>
                </c:pt>
                <c:pt idx="119">
                  <c:v>640.57875641162809</c:v>
                </c:pt>
                <c:pt idx="120">
                  <c:v>640.57875641162809</c:v>
                </c:pt>
                <c:pt idx="121">
                  <c:v>640.57875641162809</c:v>
                </c:pt>
                <c:pt idx="122">
                  <c:v>640.57875641162809</c:v>
                </c:pt>
                <c:pt idx="123">
                  <c:v>640.57875641162809</c:v>
                </c:pt>
                <c:pt idx="124">
                  <c:v>640.57875641162809</c:v>
                </c:pt>
                <c:pt idx="125">
                  <c:v>640.57875641162809</c:v>
                </c:pt>
                <c:pt idx="126">
                  <c:v>640.57875641162809</c:v>
                </c:pt>
                <c:pt idx="127">
                  <c:v>640.57875641162809</c:v>
                </c:pt>
                <c:pt idx="128">
                  <c:v>640.57875641162809</c:v>
                </c:pt>
                <c:pt idx="129">
                  <c:v>640.57875641162809</c:v>
                </c:pt>
                <c:pt idx="130">
                  <c:v>640.57875641162809</c:v>
                </c:pt>
                <c:pt idx="131">
                  <c:v>640.57875641162809</c:v>
                </c:pt>
                <c:pt idx="132">
                  <c:v>640.57875641162809</c:v>
                </c:pt>
                <c:pt idx="133">
                  <c:v>640.57875641162809</c:v>
                </c:pt>
                <c:pt idx="134">
                  <c:v>640.57875641162809</c:v>
                </c:pt>
                <c:pt idx="135">
                  <c:v>640.57875641162809</c:v>
                </c:pt>
                <c:pt idx="136">
                  <c:v>640.57875641162809</c:v>
                </c:pt>
                <c:pt idx="137">
                  <c:v>640.57875641162809</c:v>
                </c:pt>
                <c:pt idx="138">
                  <c:v>640.57875641162809</c:v>
                </c:pt>
                <c:pt idx="139">
                  <c:v>640.57875641162809</c:v>
                </c:pt>
                <c:pt idx="140">
                  <c:v>640.57875641162809</c:v>
                </c:pt>
                <c:pt idx="141">
                  <c:v>640.57875641162809</c:v>
                </c:pt>
                <c:pt idx="142">
                  <c:v>640.57875641162809</c:v>
                </c:pt>
                <c:pt idx="143">
                  <c:v>640.57875641162809</c:v>
                </c:pt>
                <c:pt idx="144">
                  <c:v>640.57875641162809</c:v>
                </c:pt>
                <c:pt idx="145">
                  <c:v>640.57875641162809</c:v>
                </c:pt>
                <c:pt idx="146">
                  <c:v>640.57875641162809</c:v>
                </c:pt>
                <c:pt idx="147">
                  <c:v>640.57875641162809</c:v>
                </c:pt>
                <c:pt idx="148">
                  <c:v>640.57875641162809</c:v>
                </c:pt>
                <c:pt idx="149">
                  <c:v>640.57875641162809</c:v>
                </c:pt>
                <c:pt idx="150">
                  <c:v>640.57875641162809</c:v>
                </c:pt>
                <c:pt idx="151">
                  <c:v>640.57875641162809</c:v>
                </c:pt>
                <c:pt idx="152">
                  <c:v>640.57875641162809</c:v>
                </c:pt>
                <c:pt idx="153">
                  <c:v>640.57875641162809</c:v>
                </c:pt>
                <c:pt idx="154">
                  <c:v>640.57875641162809</c:v>
                </c:pt>
                <c:pt idx="155">
                  <c:v>640.57875641162809</c:v>
                </c:pt>
                <c:pt idx="156">
                  <c:v>640.57875641162809</c:v>
                </c:pt>
                <c:pt idx="157">
                  <c:v>640.57875641162809</c:v>
                </c:pt>
                <c:pt idx="158">
                  <c:v>640.57875641162809</c:v>
                </c:pt>
                <c:pt idx="159">
                  <c:v>640.57875641162809</c:v>
                </c:pt>
                <c:pt idx="160">
                  <c:v>640.57875641162809</c:v>
                </c:pt>
                <c:pt idx="161">
                  <c:v>640.57875641162809</c:v>
                </c:pt>
                <c:pt idx="162">
                  <c:v>640.57875641162809</c:v>
                </c:pt>
                <c:pt idx="163">
                  <c:v>640.57875641162809</c:v>
                </c:pt>
                <c:pt idx="164">
                  <c:v>640.57875641162809</c:v>
                </c:pt>
                <c:pt idx="165">
                  <c:v>640.57875641162809</c:v>
                </c:pt>
                <c:pt idx="166">
                  <c:v>640.57875641162809</c:v>
                </c:pt>
                <c:pt idx="167">
                  <c:v>640.57875641162809</c:v>
                </c:pt>
                <c:pt idx="168">
                  <c:v>640.57875641162809</c:v>
                </c:pt>
                <c:pt idx="169">
                  <c:v>640.57875641162809</c:v>
                </c:pt>
                <c:pt idx="170">
                  <c:v>640.57875641162809</c:v>
                </c:pt>
                <c:pt idx="171">
                  <c:v>640.57875641162809</c:v>
                </c:pt>
                <c:pt idx="172">
                  <c:v>640.57875641162809</c:v>
                </c:pt>
                <c:pt idx="173">
                  <c:v>640.57875641162809</c:v>
                </c:pt>
                <c:pt idx="174">
                  <c:v>640.57875641162809</c:v>
                </c:pt>
                <c:pt idx="175">
                  <c:v>640.57875641162809</c:v>
                </c:pt>
                <c:pt idx="176">
                  <c:v>640.57875641162809</c:v>
                </c:pt>
                <c:pt idx="177">
                  <c:v>640.57875641162809</c:v>
                </c:pt>
                <c:pt idx="178">
                  <c:v>640.57875641162809</c:v>
                </c:pt>
                <c:pt idx="179">
                  <c:v>640.57875641162809</c:v>
                </c:pt>
                <c:pt idx="180">
                  <c:v>640.57875641162809</c:v>
                </c:pt>
                <c:pt idx="181">
                  <c:v>640.57875641162809</c:v>
                </c:pt>
                <c:pt idx="182">
                  <c:v>640.57875641162809</c:v>
                </c:pt>
                <c:pt idx="183">
                  <c:v>640.57875641162809</c:v>
                </c:pt>
                <c:pt idx="184">
                  <c:v>640.57875641162809</c:v>
                </c:pt>
                <c:pt idx="185">
                  <c:v>640.57875641162809</c:v>
                </c:pt>
                <c:pt idx="186">
                  <c:v>640.57875641162809</c:v>
                </c:pt>
                <c:pt idx="187">
                  <c:v>640.57875641162809</c:v>
                </c:pt>
                <c:pt idx="188">
                  <c:v>640.57875641162809</c:v>
                </c:pt>
                <c:pt idx="189">
                  <c:v>640.57875641162809</c:v>
                </c:pt>
                <c:pt idx="190">
                  <c:v>640.57875641162809</c:v>
                </c:pt>
                <c:pt idx="191">
                  <c:v>640.57875641162809</c:v>
                </c:pt>
                <c:pt idx="192">
                  <c:v>640.57875641162809</c:v>
                </c:pt>
                <c:pt idx="193">
                  <c:v>640.57875641162809</c:v>
                </c:pt>
                <c:pt idx="194">
                  <c:v>640.57875641162809</c:v>
                </c:pt>
                <c:pt idx="195">
                  <c:v>640.57875641162809</c:v>
                </c:pt>
                <c:pt idx="196">
                  <c:v>640.57875641162809</c:v>
                </c:pt>
                <c:pt idx="197">
                  <c:v>640.57875641162809</c:v>
                </c:pt>
                <c:pt idx="198">
                  <c:v>640.57875641162809</c:v>
                </c:pt>
                <c:pt idx="199">
                  <c:v>640.57875641162809</c:v>
                </c:pt>
                <c:pt idx="200">
                  <c:v>640.57875641162809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42.877836075412638</c:v>
                </c:pt>
                <c:pt idx="12">
                  <c:v>64.733806454200504</c:v>
                </c:pt>
                <c:pt idx="13">
                  <c:v>86.395962294999478</c:v>
                </c:pt>
                <c:pt idx="14">
                  <c:v>107.92051495671599</c:v>
                </c:pt>
                <c:pt idx="15">
                  <c:v>129.33897912798705</c:v>
                </c:pt>
                <c:pt idx="16">
                  <c:v>150.67146408356317</c:v>
                </c:pt>
                <c:pt idx="17">
                  <c:v>171.93188138002924</c:v>
                </c:pt>
                <c:pt idx="18">
                  <c:v>193.13040620890987</c:v>
                </c:pt>
                <c:pt idx="19">
                  <c:v>214.27479126445158</c:v>
                </c:pt>
                <c:pt idx="20">
                  <c:v>235.3711313482562</c:v>
                </c:pt>
                <c:pt idx="21">
                  <c:v>144.95568422614897</c:v>
                </c:pt>
                <c:pt idx="22">
                  <c:v>170.03319377205972</c:v>
                </c:pt>
                <c:pt idx="23">
                  <c:v>195.02347174102519</c:v>
                </c:pt>
                <c:pt idx="24">
                  <c:v>219.93927876011423</c:v>
                </c:pt>
                <c:pt idx="25">
                  <c:v>244.79024008779683</c:v>
                </c:pt>
                <c:pt idx="26">
                  <c:v>269.58386372150017</c:v>
                </c:pt>
                <c:pt idx="27">
                  <c:v>294.32616248385813</c:v>
                </c:pt>
                <c:pt idx="28">
                  <c:v>319.02205522459639</c:v>
                </c:pt>
                <c:pt idx="29">
                  <c:v>343.67563696746635</c:v>
                </c:pt>
                <c:pt idx="30">
                  <c:v>368.29036734139123</c:v>
                </c:pt>
                <c:pt idx="31">
                  <c:v>269.75466982033333</c:v>
                </c:pt>
                <c:pt idx="32">
                  <c:v>290.40473451571626</c:v>
                </c:pt>
                <c:pt idx="33">
                  <c:v>311.02199783983951</c:v>
                </c:pt>
                <c:pt idx="34">
                  <c:v>331.60893904924779</c:v>
                </c:pt>
                <c:pt idx="35">
                  <c:v>352.16770447084974</c:v>
                </c:pt>
                <c:pt idx="36">
                  <c:v>372.70016944091395</c:v>
                </c:pt>
                <c:pt idx="37">
                  <c:v>393.20798587349418</c:v>
                </c:pt>
                <c:pt idx="38">
                  <c:v>413.69261938302407</c:v>
                </c:pt>
                <c:pt idx="39">
                  <c:v>434.15537866888457</c:v>
                </c:pt>
                <c:pt idx="40">
                  <c:v>454.59743907080411</c:v>
                </c:pt>
                <c:pt idx="41">
                  <c:v>351.65830822367656</c:v>
                </c:pt>
                <c:pt idx="42">
                  <c:v>367.27255754339438</c:v>
                </c:pt>
                <c:pt idx="43">
                  <c:v>382.87232013864946</c:v>
                </c:pt>
                <c:pt idx="44">
                  <c:v>398.45826925810184</c:v>
                </c:pt>
                <c:pt idx="45">
                  <c:v>414.03102119238065</c:v>
                </c:pt>
                <c:pt idx="46">
                  <c:v>429.591142098538</c:v>
                </c:pt>
                <c:pt idx="47">
                  <c:v>445.1391537842141</c:v>
                </c:pt>
                <c:pt idx="48">
                  <c:v>460.67553864161073</c:v>
                </c:pt>
                <c:pt idx="49">
                  <c:v>476.20074388127472</c:v>
                </c:pt>
                <c:pt idx="50">
                  <c:v>491.71518518509475</c:v>
                </c:pt>
                <c:pt idx="51">
                  <c:v>430.6055065568043</c:v>
                </c:pt>
                <c:pt idx="52">
                  <c:v>442.09808097469619</c:v>
                </c:pt>
                <c:pt idx="53">
                  <c:v>453.58425425555083</c:v>
                </c:pt>
                <c:pt idx="54">
                  <c:v>465.06421135415462</c:v>
                </c:pt>
                <c:pt idx="55">
                  <c:v>476.53812734890556</c:v>
                </c:pt>
                <c:pt idx="56">
                  <c:v>488.00616819935334</c:v>
                </c:pt>
                <c:pt idx="57">
                  <c:v>499.46849142882706</c:v>
                </c:pt>
                <c:pt idx="58">
                  <c:v>510.92524674114156</c:v>
                </c:pt>
                <c:pt idx="59">
                  <c:v>522.37657657911507</c:v>
                </c:pt>
                <c:pt idx="60">
                  <c:v>533.82261663157112</c:v>
                </c:pt>
                <c:pt idx="61">
                  <c:v>491.5466064127836</c:v>
                </c:pt>
                <c:pt idx="62">
                  <c:v>499.80553357858707</c:v>
                </c:pt>
                <c:pt idx="63">
                  <c:v>508.06157199630115</c:v>
                </c:pt>
                <c:pt idx="64">
                  <c:v>516.3147752413438</c:v>
                </c:pt>
                <c:pt idx="65">
                  <c:v>524.5651950361904</c:v>
                </c:pt>
                <c:pt idx="66">
                  <c:v>532.8128813432246</c:v>
                </c:pt>
                <c:pt idx="67">
                  <c:v>541.05788245154292</c:v>
                </c:pt>
                <c:pt idx="68">
                  <c:v>549.30024505818926</c:v>
                </c:pt>
                <c:pt idx="69">
                  <c:v>557.54001434426425</c:v>
                </c:pt>
                <c:pt idx="70">
                  <c:v>565.7772340462966</c:v>
                </c:pt>
                <c:pt idx="71">
                  <c:v>528.60521663450174</c:v>
                </c:pt>
                <c:pt idx="72">
                  <c:v>535.16886787415797</c:v>
                </c:pt>
                <c:pt idx="73">
                  <c:v>541.73082666097946</c:v>
                </c:pt>
                <c:pt idx="74">
                  <c:v>548.29111639483494</c:v>
                </c:pt>
                <c:pt idx="75">
                  <c:v>554.84975986976053</c:v>
                </c:pt>
                <c:pt idx="76">
                  <c:v>561.40677929677668</c:v>
                </c:pt>
                <c:pt idx="77">
                  <c:v>567.96219632558564</c:v>
                </c:pt>
                <c:pt idx="78">
                  <c:v>574.51603206521338</c:v>
                </c:pt>
                <c:pt idx="79">
                  <c:v>581.06830710366069</c:v>
                </c:pt>
                <c:pt idx="80">
                  <c:v>587.61904152662237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3.0087226414567669</c:v>
                </c:pt>
                <c:pt idx="2">
                  <c:v>3.5108476078662108</c:v>
                </c:pt>
                <c:pt idx="3">
                  <c:v>4.0970748640048145</c:v>
                </c:pt>
                <c:pt idx="4">
                  <c:v>4.7815388030266117</c:v>
                </c:pt>
                <c:pt idx="5">
                  <c:v>5.5807568124477021</c:v>
                </c:pt>
                <c:pt idx="6">
                  <c:v>6.5140322200651282</c:v>
                </c:pt>
                <c:pt idx="7">
                  <c:v>7.6039255601982383</c:v>
                </c:pt>
                <c:pt idx="8">
                  <c:v>8.8768057730178018</c:v>
                </c:pt>
                <c:pt idx="9">
                  <c:v>10.363494928110297</c:v>
                </c:pt>
                <c:pt idx="10">
                  <c:v>12.10002237954779</c:v>
                </c:pt>
                <c:pt idx="11">
                  <c:v>14.128506971363736</c:v>
                </c:pt>
                <c:pt idx="12">
                  <c:v>16.498189087134325</c:v>
                </c:pt>
                <c:pt idx="13">
                  <c:v>19.26663805459118</c:v>
                </c:pt>
                <c:pt idx="14">
                  <c:v>22.501164768686721</c:v>
                </c:pt>
                <c:pt idx="15">
                  <c:v>26.280474493057593</c:v>
                </c:pt>
                <c:pt idx="16">
                  <c:v>30.696600767791892</c:v>
                </c:pt>
                <c:pt idx="17">
                  <c:v>35.857168340064412</c:v>
                </c:pt>
                <c:pt idx="18">
                  <c:v>41.888041218423993</c:v>
                </c:pt>
                <c:pt idx="19">
                  <c:v>48.936421536169718</c:v>
                </c:pt>
                <c:pt idx="20">
                  <c:v>57.174476134362976</c:v>
                </c:pt>
                <c:pt idx="21">
                  <c:v>66.803580921820739</c:v>
                </c:pt>
                <c:pt idx="22">
                  <c:v>78.059288467429198</c:v>
                </c:pt>
                <c:pt idx="23">
                  <c:v>91.217142315400451</c:v>
                </c:pt>
                <c:pt idx="24">
                  <c:v>106.5994826390658</c:v>
                </c:pt>
                <c:pt idx="25">
                  <c:v>124.58341259357769</c:v>
                </c:pt>
                <c:pt idx="26">
                  <c:v>145.61012371366715</c:v>
                </c:pt>
                <c:pt idx="27">
                  <c:v>170.19581265731912</c:v>
                </c:pt>
                <c:pt idx="28">
                  <c:v>198.94446137293639</c:v>
                </c:pt>
                <c:pt idx="29">
                  <c:v>232.56279936595885</c:v>
                </c:pt>
                <c:pt idx="30">
                  <c:v>271.87782133255809</c:v>
                </c:pt>
                <c:pt idx="31">
                  <c:v>289.40050775542738</c:v>
                </c:pt>
                <c:pt idx="32">
                  <c:v>306.89948661909699</c:v>
                </c:pt>
                <c:pt idx="33">
                  <c:v>324.37629966034967</c:v>
                </c:pt>
                <c:pt idx="34">
                  <c:v>341.83230892368016</c:v>
                </c:pt>
                <c:pt idx="35">
                  <c:v>359.26872600336202</c:v>
                </c:pt>
                <c:pt idx="36">
                  <c:v>247.89733645105045</c:v>
                </c:pt>
                <c:pt idx="37">
                  <c:v>268.19388020667236</c:v>
                </c:pt>
                <c:pt idx="38">
                  <c:v>288.45583932928986</c:v>
                </c:pt>
                <c:pt idx="39">
                  <c:v>308.68598402892115</c:v>
                </c:pt>
                <c:pt idx="40">
                  <c:v>328.88669175033129</c:v>
                </c:pt>
                <c:pt idx="41">
                  <c:v>349.06002407123111</c:v>
                </c:pt>
                <c:pt idx="42">
                  <c:v>285.79224141654947</c:v>
                </c:pt>
                <c:pt idx="43">
                  <c:v>306.09401640717579</c:v>
                </c:pt>
                <c:pt idx="44">
                  <c:v>326.36586944014971</c:v>
                </c:pt>
                <c:pt idx="45">
                  <c:v>346.60991967996711</c:v>
                </c:pt>
                <c:pt idx="46">
                  <c:v>366.82801859171565</c:v>
                </c:pt>
                <c:pt idx="47">
                  <c:v>387.02179695470642</c:v>
                </c:pt>
                <c:pt idx="48">
                  <c:v>407.19270154733061</c:v>
                </c:pt>
                <c:pt idx="49">
                  <c:v>322.52624611434106</c:v>
                </c:pt>
                <c:pt idx="50">
                  <c:v>341.75417681771773</c:v>
                </c:pt>
                <c:pt idx="51">
                  <c:v>360.95833005636797</c:v>
                </c:pt>
                <c:pt idx="52">
                  <c:v>380.14014828828573</c:v>
                </c:pt>
                <c:pt idx="53">
                  <c:v>399.30091656620198</c:v>
                </c:pt>
                <c:pt idx="54">
                  <c:v>418.44178659894851</c:v>
                </c:pt>
                <c:pt idx="55">
                  <c:v>437.5637961800831</c:v>
                </c:pt>
                <c:pt idx="56">
                  <c:v>358.19232987465165</c:v>
                </c:pt>
                <c:pt idx="57">
                  <c:v>376.29808691039671</c:v>
                </c:pt>
                <c:pt idx="58">
                  <c:v>394.38487870169996</c:v>
                </c:pt>
                <c:pt idx="59">
                  <c:v>412.45369704960848</c:v>
                </c:pt>
                <c:pt idx="60">
                  <c:v>430.5054397993909</c:v>
                </c:pt>
                <c:pt idx="61">
                  <c:v>448.5409233888675</c:v>
                </c:pt>
                <c:pt idx="62">
                  <c:v>466.56089327347831</c:v>
                </c:pt>
                <c:pt idx="63">
                  <c:v>484.56603265711283</c:v>
                </c:pt>
                <c:pt idx="64">
                  <c:v>412.17893074941077</c:v>
                </c:pt>
                <c:pt idx="65">
                  <c:v>429.64045267146838</c:v>
                </c:pt>
                <c:pt idx="66">
                  <c:v>447.08672748141743</c:v>
                </c:pt>
                <c:pt idx="67">
                  <c:v>464.51843363445579</c:v>
                </c:pt>
                <c:pt idx="68">
                  <c:v>481.93619453558449</c:v>
                </c:pt>
                <c:pt idx="69">
                  <c:v>499.34058487547105</c:v>
                </c:pt>
                <c:pt idx="70">
                  <c:v>516.73213603723241</c:v>
                </c:pt>
                <c:pt idx="71">
                  <c:v>534.11134073767619</c:v>
                </c:pt>
                <c:pt idx="72">
                  <c:v>465.17954885268017</c:v>
                </c:pt>
                <c:pt idx="73">
                  <c:v>482.04316980390769</c:v>
                </c:pt>
                <c:pt idx="74">
                  <c:v>498.89426037594058</c:v>
                </c:pt>
                <c:pt idx="75">
                  <c:v>515.73330318528781</c:v>
                </c:pt>
                <c:pt idx="76">
                  <c:v>532.56074677914216</c:v>
                </c:pt>
                <c:pt idx="77">
                  <c:v>549.37700906307009</c:v>
                </c:pt>
                <c:pt idx="78">
                  <c:v>566.18248028736184</c:v>
                </c:pt>
                <c:pt idx="79">
                  <c:v>582.97752566054419</c:v>
                </c:pt>
                <c:pt idx="80">
                  <c:v>599.76248764621027</c:v>
                </c:pt>
                <c:pt idx="81">
                  <c:v>518.09206546381745</c:v>
                </c:pt>
                <c:pt idx="82">
                  <c:v>534.17244594763531</c:v>
                </c:pt>
                <c:pt idx="83">
                  <c:v>550.24264963990129</c:v>
                </c:pt>
                <c:pt idx="84">
                  <c:v>566.30301546114595</c:v>
                </c:pt>
                <c:pt idx="85">
                  <c:v>582.35386155149251</c:v>
                </c:pt>
                <c:pt idx="86">
                  <c:v>598.39548709420285</c:v>
                </c:pt>
                <c:pt idx="87">
                  <c:v>614.42817393361702</c:v>
                </c:pt>
                <c:pt idx="88">
                  <c:v>630.45218801553835</c:v>
                </c:pt>
                <c:pt idx="89">
                  <c:v>646.46778067365142</c:v>
                </c:pt>
                <c:pt idx="90">
                  <c:v>556.15206169982241</c:v>
                </c:pt>
                <c:pt idx="91">
                  <c:v>571.53037088991698</c:v>
                </c:pt>
                <c:pt idx="92">
                  <c:v>586.90003943089653</c:v>
                </c:pt>
                <c:pt idx="93">
                  <c:v>602.26132535349961</c:v>
                </c:pt>
                <c:pt idx="94">
                  <c:v>617.61447246005116</c:v>
                </c:pt>
                <c:pt idx="95">
                  <c:v>632.959711450545</c:v>
                </c:pt>
                <c:pt idx="96">
                  <c:v>648.29726093391207</c:v>
                </c:pt>
                <c:pt idx="97">
                  <c:v>663.62732833867324</c:v>
                </c:pt>
                <c:pt idx="98">
                  <c:v>678.95011073512603</c:v>
                </c:pt>
                <c:pt idx="99">
                  <c:v>694.2657955795047</c:v>
                </c:pt>
                <c:pt idx="100">
                  <c:v>606.63308794985437</c:v>
                </c:pt>
                <c:pt idx="101">
                  <c:v>621.58925272201895</c:v>
                </c:pt>
                <c:pt idx="102">
                  <c:v>636.53796577494143</c:v>
                </c:pt>
                <c:pt idx="103">
                  <c:v>651.4794266557285</c:v>
                </c:pt>
                <c:pt idx="104">
                  <c:v>666.41382501786131</c:v>
                </c:pt>
                <c:pt idx="105">
                  <c:v>681.34134132702582</c:v>
                </c:pt>
                <c:pt idx="106">
                  <c:v>696.26214750191286</c:v>
                </c:pt>
                <c:pt idx="107">
                  <c:v>711.17640749727218</c:v>
                </c:pt>
                <c:pt idx="108">
                  <c:v>726.08427783554998</c:v>
                </c:pt>
                <c:pt idx="109">
                  <c:v>740.98590809262998</c:v>
                </c:pt>
                <c:pt idx="110">
                  <c:v>646.18020296138786</c:v>
                </c:pt>
                <c:pt idx="111">
                  <c:v>660.80226469034722</c:v>
                </c:pt>
                <c:pt idx="112">
                  <c:v>675.41766750836848</c:v>
                </c:pt>
                <c:pt idx="113">
                  <c:v>690.0265757157855</c:v>
                </c:pt>
                <c:pt idx="114">
                  <c:v>704.62914609342045</c:v>
                </c:pt>
                <c:pt idx="115">
                  <c:v>719.22552839864682</c:v>
                </c:pt>
                <c:pt idx="116">
                  <c:v>733.81586581911563</c:v>
                </c:pt>
                <c:pt idx="117">
                  <c:v>748.40029538855197</c:v>
                </c:pt>
                <c:pt idx="118">
                  <c:v>762.97894836847956</c:v>
                </c:pt>
                <c:pt idx="119">
                  <c:v>777.5519505992778</c:v>
                </c:pt>
                <c:pt idx="120">
                  <c:v>464.90453348622685</c:v>
                </c:pt>
                <c:pt idx="121">
                  <c:v>473.14200892852932</c:v>
                </c:pt>
                <c:pt idx="122">
                  <c:v>481.37643199343637</c:v>
                </c:pt>
                <c:pt idx="123">
                  <c:v>489.60786227699856</c:v>
                </c:pt>
                <c:pt idx="124">
                  <c:v>328.15381176579973</c:v>
                </c:pt>
                <c:pt idx="125">
                  <c:v>333.21377234826485</c:v>
                </c:pt>
                <c:pt idx="126">
                  <c:v>338.27203930015747</c:v>
                </c:pt>
                <c:pt idx="127">
                  <c:v>343.32864155402268</c:v>
                </c:pt>
                <c:pt idx="128">
                  <c:v>238.1059492103326</c:v>
                </c:pt>
                <c:pt idx="129">
                  <c:v>241.39406120554722</c:v>
                </c:pt>
                <c:pt idx="130">
                  <c:v>244.68115388085121</c:v>
                </c:pt>
                <c:pt idx="131">
                  <c:v>247.96724289368044</c:v>
                </c:pt>
                <c:pt idx="132">
                  <c:v>1.0901632165820347E-11</c:v>
                </c:pt>
                <c:pt idx="133">
                  <c:v>1.0901632165820347E-11</c:v>
                </c:pt>
                <c:pt idx="134">
                  <c:v>1.0901632165820347E-11</c:v>
                </c:pt>
                <c:pt idx="135">
                  <c:v>1.0901632165820347E-11</c:v>
                </c:pt>
                <c:pt idx="136">
                  <c:v>1.0901632165820347E-11</c:v>
                </c:pt>
                <c:pt idx="137">
                  <c:v>1.0901632165820347E-11</c:v>
                </c:pt>
                <c:pt idx="138">
                  <c:v>1.0901632165820347E-11</c:v>
                </c:pt>
                <c:pt idx="139">
                  <c:v>1.0901632165820347E-11</c:v>
                </c:pt>
                <c:pt idx="140">
                  <c:v>1.0901632165820347E-11</c:v>
                </c:pt>
                <c:pt idx="141">
                  <c:v>1.0901632165820347E-11</c:v>
                </c:pt>
                <c:pt idx="142">
                  <c:v>1.0901632165820347E-11</c:v>
                </c:pt>
                <c:pt idx="143">
                  <c:v>1.0901632165820347E-11</c:v>
                </c:pt>
                <c:pt idx="144">
                  <c:v>1.0901632165820347E-11</c:v>
                </c:pt>
                <c:pt idx="145">
                  <c:v>1.0901632165820347E-11</c:v>
                </c:pt>
                <c:pt idx="146">
                  <c:v>1.0901632165820347E-11</c:v>
                </c:pt>
                <c:pt idx="147">
                  <c:v>1.0901632165820347E-11</c:v>
                </c:pt>
                <c:pt idx="148">
                  <c:v>1.0901632165820347E-11</c:v>
                </c:pt>
                <c:pt idx="149">
                  <c:v>1.0901632165820347E-11</c:v>
                </c:pt>
                <c:pt idx="150">
                  <c:v>1.0901632165820347E-11</c:v>
                </c:pt>
                <c:pt idx="151">
                  <c:v>1.0901632165820347E-11</c:v>
                </c:pt>
                <c:pt idx="152">
                  <c:v>1.0901632165820347E-11</c:v>
                </c:pt>
                <c:pt idx="153">
                  <c:v>1.0901632165820347E-11</c:v>
                </c:pt>
                <c:pt idx="154">
                  <c:v>1.0901632165820347E-11</c:v>
                </c:pt>
                <c:pt idx="155">
                  <c:v>1.0901632165820347E-11</c:v>
                </c:pt>
                <c:pt idx="156">
                  <c:v>1.0901632165820347E-11</c:v>
                </c:pt>
                <c:pt idx="157">
                  <c:v>1.0901632165820347E-11</c:v>
                </c:pt>
                <c:pt idx="158">
                  <c:v>1.0901632165820347E-11</c:v>
                </c:pt>
                <c:pt idx="159">
                  <c:v>1.0901632165820347E-11</c:v>
                </c:pt>
                <c:pt idx="160">
                  <c:v>1.0901632165820347E-11</c:v>
                </c:pt>
                <c:pt idx="161">
                  <c:v>1.0901632165820347E-11</c:v>
                </c:pt>
                <c:pt idx="162">
                  <c:v>1.0901632165820347E-11</c:v>
                </c:pt>
                <c:pt idx="163">
                  <c:v>1.0901632165820347E-11</c:v>
                </c:pt>
                <c:pt idx="164">
                  <c:v>1.0901632165820347E-11</c:v>
                </c:pt>
                <c:pt idx="165">
                  <c:v>1.0901632165820347E-11</c:v>
                </c:pt>
                <c:pt idx="166">
                  <c:v>1.0901632165820347E-11</c:v>
                </c:pt>
                <c:pt idx="167">
                  <c:v>1.0901632165820347E-11</c:v>
                </c:pt>
                <c:pt idx="168">
                  <c:v>1.0901632165820347E-11</c:v>
                </c:pt>
                <c:pt idx="169">
                  <c:v>1.0901632165820347E-11</c:v>
                </c:pt>
                <c:pt idx="170">
                  <c:v>1.0901632165820347E-11</c:v>
                </c:pt>
                <c:pt idx="171">
                  <c:v>1.0901632165820347E-11</c:v>
                </c:pt>
                <c:pt idx="172">
                  <c:v>1.0901632165820347E-11</c:v>
                </c:pt>
                <c:pt idx="173">
                  <c:v>1.0901632165820347E-11</c:v>
                </c:pt>
                <c:pt idx="174">
                  <c:v>1.0901632165820347E-11</c:v>
                </c:pt>
                <c:pt idx="175">
                  <c:v>1.0901632165820347E-11</c:v>
                </c:pt>
                <c:pt idx="176">
                  <c:v>1.0901632165820347E-11</c:v>
                </c:pt>
                <c:pt idx="177">
                  <c:v>1.0901632165820347E-11</c:v>
                </c:pt>
                <c:pt idx="178">
                  <c:v>1.0901632165820347E-11</c:v>
                </c:pt>
                <c:pt idx="179">
                  <c:v>1.0901632165820347E-11</c:v>
                </c:pt>
                <c:pt idx="180">
                  <c:v>1.0901632165820347E-11</c:v>
                </c:pt>
                <c:pt idx="181">
                  <c:v>1.0901632165820347E-11</c:v>
                </c:pt>
                <c:pt idx="182">
                  <c:v>1.0901632165820347E-11</c:v>
                </c:pt>
                <c:pt idx="183">
                  <c:v>1.0901632165820347E-11</c:v>
                </c:pt>
                <c:pt idx="184">
                  <c:v>1.0901632165820347E-11</c:v>
                </c:pt>
                <c:pt idx="185">
                  <c:v>1.0901632165820347E-11</c:v>
                </c:pt>
                <c:pt idx="186">
                  <c:v>1.0901632165820347E-11</c:v>
                </c:pt>
                <c:pt idx="187">
                  <c:v>1.0901632165820347E-11</c:v>
                </c:pt>
                <c:pt idx="188">
                  <c:v>1.0901632165820347E-11</c:v>
                </c:pt>
                <c:pt idx="189">
                  <c:v>1.0901632165820347E-11</c:v>
                </c:pt>
                <c:pt idx="190">
                  <c:v>1.0901632165820347E-11</c:v>
                </c:pt>
                <c:pt idx="191">
                  <c:v>1.0901632165820347E-11</c:v>
                </c:pt>
                <c:pt idx="192">
                  <c:v>1.0901632165820347E-11</c:v>
                </c:pt>
                <c:pt idx="193">
                  <c:v>1.0901632165820347E-11</c:v>
                </c:pt>
                <c:pt idx="194">
                  <c:v>1.0901632165820347E-11</c:v>
                </c:pt>
                <c:pt idx="195">
                  <c:v>1.0901632165820347E-11</c:v>
                </c:pt>
                <c:pt idx="196">
                  <c:v>1.0901632165820347E-11</c:v>
                </c:pt>
                <c:pt idx="197">
                  <c:v>1.0901632165820347E-11</c:v>
                </c:pt>
                <c:pt idx="198">
                  <c:v>1.0901632165820347E-11</c:v>
                </c:pt>
                <c:pt idx="199">
                  <c:v>1.0901632165820347E-11</c:v>
                </c:pt>
                <c:pt idx="200">
                  <c:v>1.0901632165820347E-11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2.1820279828780054</c:v>
                </c:pt>
                <c:pt idx="2">
                  <c:v>2.7489287958390509</c:v>
                </c:pt>
                <c:pt idx="3">
                  <c:v>3.4636936546704455</c:v>
                </c:pt>
                <c:pt idx="4">
                  <c:v>4.3650326800554504</c:v>
                </c:pt>
                <c:pt idx="5">
                  <c:v>5.5018251647390555</c:v>
                </c:pt>
                <c:pt idx="6">
                  <c:v>6.9357995812068935</c:v>
                </c:pt>
                <c:pt idx="7">
                  <c:v>8.7449219687578292</c:v>
                </c:pt>
                <c:pt idx="8">
                  <c:v>11.027680444407844</c:v>
                </c:pt>
                <c:pt idx="9">
                  <c:v>13.908503463014158</c:v>
                </c:pt>
                <c:pt idx="10">
                  <c:v>17.544612615119544</c:v>
                </c:pt>
                <c:pt idx="11">
                  <c:v>36.331036561408958</c:v>
                </c:pt>
                <c:pt idx="12">
                  <c:v>54.840007625050731</c:v>
                </c:pt>
                <c:pt idx="13">
                  <c:v>73.182288487787176</c:v>
                </c:pt>
                <c:pt idx="14">
                  <c:v>91.40622373102336</c:v>
                </c:pt>
                <c:pt idx="15">
                  <c:v>109.53891756394223</c:v>
                </c:pt>
                <c:pt idx="16">
                  <c:v>127.59766496907207</c:v>
                </c:pt>
                <c:pt idx="17">
                  <c:v>145.59443058119251</c:v>
                </c:pt>
                <c:pt idx="18">
                  <c:v>163.5379655741686</c:v>
                </c:pt>
                <c:pt idx="19">
                  <c:v>181.43493765298726</c:v>
                </c:pt>
                <c:pt idx="20">
                  <c:v>199.29058865200216</c:v>
                </c:pt>
                <c:pt idx="21">
                  <c:v>122.75914555397303</c:v>
                </c:pt>
                <c:pt idx="22">
                  <c:v>143.987243321303</c:v>
                </c:pt>
                <c:pt idx="23">
                  <c:v>165.14031756750202</c:v>
                </c:pt>
                <c:pt idx="24">
                  <c:v>186.22934307037499</c:v>
                </c:pt>
                <c:pt idx="25">
                  <c:v>207.26259803384178</c:v>
                </c:pt>
                <c:pt idx="26">
                  <c:v>228.24653971138068</c:v>
                </c:pt>
                <c:pt idx="27">
                  <c:v>249.18633943133077</c:v>
                </c:pt>
                <c:pt idx="28">
                  <c:v>270.08622765058908</c:v>
                </c:pt>
                <c:pt idx="29">
                  <c:v>290.94972629449177</c:v>
                </c:pt>
                <c:pt idx="30">
                  <c:v>311.77981081702825</c:v>
                </c:pt>
                <c:pt idx="31">
                  <c:v>228.39109794958097</c:v>
                </c:pt>
                <c:pt idx="32">
                  <c:v>245.86761689093177</c:v>
                </c:pt>
                <c:pt idx="33">
                  <c:v>263.31592501165994</c:v>
                </c:pt>
                <c:pt idx="34">
                  <c:v>280.73815459645294</c:v>
                </c:pt>
                <c:pt idx="35">
                  <c:v>298.13615159385171</c:v>
                </c:pt>
                <c:pt idx="36">
                  <c:v>315.51152888688659</c:v>
                </c:pt>
                <c:pt idx="37">
                  <c:v>332.86570720430353</c:v>
                </c:pt>
                <c:pt idx="38">
                  <c:v>350.1999470478529</c:v>
                </c:pt>
                <c:pt idx="39">
                  <c:v>367.51537396448816</c:v>
                </c:pt>
                <c:pt idx="40">
                  <c:v>384.81299880518822</c:v>
                </c:pt>
                <c:pt idx="41">
                  <c:v>297.70507599289084</c:v>
                </c:pt>
                <c:pt idx="42">
                  <c:v>310.91850478314001</c:v>
                </c:pt>
                <c:pt idx="43">
                  <c:v>324.1194742654539</c:v>
                </c:pt>
                <c:pt idx="44">
                  <c:v>337.30856346736851</c:v>
                </c:pt>
                <c:pt idx="45">
                  <c:v>350.48630242966345</c:v>
                </c:pt>
                <c:pt idx="46">
                  <c:v>363.65317807573314</c:v>
                </c:pt>
                <c:pt idx="47">
                  <c:v>376.80963918625883</c:v>
                </c:pt>
                <c:pt idx="48">
                  <c:v>389.95610064267242</c:v>
                </c:pt>
                <c:pt idx="49">
                  <c:v>403.09294706842178</c:v>
                </c:pt>
                <c:pt idx="50">
                  <c:v>416.22053597073187</c:v>
                </c:pt>
                <c:pt idx="51">
                  <c:v>364.51152094505261</c:v>
                </c:pt>
                <c:pt idx="52">
                  <c:v>374.23634836554851</c:v>
                </c:pt>
                <c:pt idx="53">
                  <c:v>383.95567048788757</c:v>
                </c:pt>
                <c:pt idx="54">
                  <c:v>393.66964638244093</c:v>
                </c:pt>
                <c:pt idx="55">
                  <c:v>403.37842662539168</c:v>
                </c:pt>
                <c:pt idx="56">
                  <c:v>413.08215395025701</c:v>
                </c:pt>
                <c:pt idx="57">
                  <c:v>422.78096383498195</c:v>
                </c:pt>
                <c:pt idx="58">
                  <c:v>432.47498503233845</c:v>
                </c:pt>
                <c:pt idx="59">
                  <c:v>442.16434005027787</c:v>
                </c:pt>
                <c:pt idx="60">
                  <c:v>451.84914558797823</c:v>
                </c:pt>
                <c:pt idx="61">
                  <c:v>416.07789334479304</c:v>
                </c:pt>
                <c:pt idx="62">
                  <c:v>423.06614984150383</c:v>
                </c:pt>
                <c:pt idx="63">
                  <c:v>430.05192187030821</c:v>
                </c:pt>
                <c:pt idx="64">
                  <c:v>437.03525550874696</c:v>
                </c:pt>
                <c:pt idx="65">
                  <c:v>444.01619524073664</c:v>
                </c:pt>
                <c:pt idx="66">
                  <c:v>450.99478403642752</c:v>
                </c:pt>
                <c:pt idx="67">
                  <c:v>457.97106342685856</c:v>
                </c:pt>
                <c:pt idx="68">
                  <c:v>464.94507357382457</c:v>
                </c:pt>
                <c:pt idx="69">
                  <c:v>471.91685333533269</c:v>
                </c:pt>
                <c:pt idx="70">
                  <c:v>478.88644032698608</c:v>
                </c:pt>
                <c:pt idx="71">
                  <c:v>447.43457068363909</c:v>
                </c:pt>
                <c:pt idx="72">
                  <c:v>452.98824059157351</c:v>
                </c:pt>
                <c:pt idx="73">
                  <c:v>458.54045490538175</c:v>
                </c:pt>
                <c:pt idx="74">
                  <c:v>464.09123375012194</c:v>
                </c:pt>
                <c:pt idx="75">
                  <c:v>469.64059672980551</c:v>
                </c:pt>
                <c:pt idx="76">
                  <c:v>475.18856294702186</c:v>
                </c:pt>
                <c:pt idx="77">
                  <c:v>480.73515102159814</c:v>
                </c:pt>
                <c:pt idx="78">
                  <c:v>486.28037910835252</c:v>
                </c:pt>
                <c:pt idx="79">
                  <c:v>491.82426491399656</c:v>
                </c:pt>
                <c:pt idx="80">
                  <c:v>497.36682571323246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3.1869916933335189</c:v>
                </c:pt>
                <c:pt idx="2">
                  <c:v>3.7189706865056689</c:v>
                </c:pt>
                <c:pt idx="3">
                  <c:v>4.3400685470721152</c:v>
                </c:pt>
                <c:pt idx="4">
                  <c:v>5.0652653229643461</c:v>
                </c:pt>
                <c:pt idx="5">
                  <c:v>5.9120670317881361</c:v>
                </c:pt>
                <c:pt idx="6">
                  <c:v>6.9009328456386783</c:v>
                </c:pt>
                <c:pt idx="7">
                  <c:v>8.0557747158050663</c:v>
                </c:pt>
                <c:pt idx="8">
                  <c:v>9.4045417518806484</c:v>
                </c:pt>
                <c:pt idx="9">
                  <c:v>10.979903767967294</c:v>
                </c:pt>
                <c:pt idx="10">
                  <c:v>12.820050865060374</c:v>
                </c:pt>
                <c:pt idx="11">
                  <c:v>14.969628794603414</c:v>
                </c:pt>
                <c:pt idx="12">
                  <c:v>17.480833215380692</c:v>
                </c:pt>
                <c:pt idx="13">
                  <c:v>20.414689898447865</c:v>
                </c:pt>
                <c:pt idx="14">
                  <c:v>23.842552551171647</c:v>
                </c:pt>
                <c:pt idx="15">
                  <c:v>27.847855337031476</c:v>
                </c:pt>
                <c:pt idx="16">
                  <c:v>32.528163497787233</c:v>
                </c:pt>
                <c:pt idx="17">
                  <c:v>37.997572897276264</c:v>
                </c:pt>
                <c:pt idx="18">
                  <c:v>44.389517986975818</c:v>
                </c:pt>
                <c:pt idx="19">
                  <c:v>51.860057859889174</c:v>
                </c:pt>
                <c:pt idx="20">
                  <c:v>60.591721965921806</c:v>
                </c:pt>
                <c:pt idx="21">
                  <c:v>70.798011007057156</c:v>
                </c:pt>
                <c:pt idx="22">
                  <c:v>82.728664863891794</c:v>
                </c:pt>
                <c:pt idx="23">
                  <c:v>96.67582853605127</c:v>
                </c:pt>
                <c:pt idx="24">
                  <c:v>112.98126948764094</c:v>
                </c:pt>
                <c:pt idx="25">
                  <c:v>132.04482603759354</c:v>
                </c:pt>
                <c:pt idx="26">
                  <c:v>154.33429718261061</c:v>
                </c:pt>
                <c:pt idx="27">
                  <c:v>180.39702025965281</c:v>
                </c:pt>
                <c:pt idx="28">
                  <c:v>210.87342505066601</c:v>
                </c:pt>
                <c:pt idx="29">
                  <c:v>246.51290236507396</c:v>
                </c:pt>
                <c:pt idx="30">
                  <c:v>288.19238304852763</c:v>
                </c:pt>
                <c:pt idx="31">
                  <c:v>306.76916131601587</c:v>
                </c:pt>
                <c:pt idx="32">
                  <c:v>325.32094743122781</c:v>
                </c:pt>
                <c:pt idx="33">
                  <c:v>343.84936666988773</c:v>
                </c:pt>
                <c:pt idx="34">
                  <c:v>362.35585487881235</c:v>
                </c:pt>
                <c:pt idx="35">
                  <c:v>380.84168930245914</c:v>
                </c:pt>
                <c:pt idx="36">
                  <c:v>262.76958015332485</c:v>
                </c:pt>
                <c:pt idx="37">
                  <c:v>284.28685031210659</c:v>
                </c:pt>
                <c:pt idx="38">
                  <c:v>305.76766187103027</c:v>
                </c:pt>
                <c:pt idx="39">
                  <c:v>327.21493514382536</c:v>
                </c:pt>
                <c:pt idx="40">
                  <c:v>348.63117639699902</c:v>
                </c:pt>
                <c:pt idx="41">
                  <c:v>370.01855891476197</c:v>
                </c:pt>
                <c:pt idx="42">
                  <c:v>302.943824797697</c:v>
                </c:pt>
                <c:pt idx="43">
                  <c:v>324.46701399217875</c:v>
                </c:pt>
                <c:pt idx="44">
                  <c:v>345.95865990901842</c:v>
                </c:pt>
                <c:pt idx="45">
                  <c:v>367.4209965395487</c:v>
                </c:pt>
                <c:pt idx="46">
                  <c:v>388.8559756704139</c:v>
                </c:pt>
                <c:pt idx="47">
                  <c:v>410.26531644463176</c:v>
                </c:pt>
                <c:pt idx="48">
                  <c:v>431.65054403421846</c:v>
                </c:pt>
                <c:pt idx="49">
                  <c:v>341.88798658068822</c:v>
                </c:pt>
                <c:pt idx="50">
                  <c:v>362.27302062186294</c:v>
                </c:pt>
                <c:pt idx="51">
                  <c:v>382.63298881740661</c:v>
                </c:pt>
                <c:pt idx="52">
                  <c:v>402.96941178483758</c:v>
                </c:pt>
                <c:pt idx="53">
                  <c:v>423.283644207414</c:v>
                </c:pt>
                <c:pt idx="54">
                  <c:v>443.57690019926093</c:v>
                </c:pt>
                <c:pt idx="55">
                  <c:v>463.85027378673567</c:v>
                </c:pt>
                <c:pt idx="56">
                  <c:v>379.7005065853723</c:v>
                </c:pt>
                <c:pt idx="57">
                  <c:v>398.89607613147399</c:v>
                </c:pt>
                <c:pt idx="58">
                  <c:v>418.07165280217856</c:v>
                </c:pt>
                <c:pt idx="59">
                  <c:v>437.22828213923009</c:v>
                </c:pt>
                <c:pt idx="60">
                  <c:v>456.36691063760514</c:v>
                </c:pt>
                <c:pt idx="61">
                  <c:v>475.48839897377138</c:v>
                </c:pt>
                <c:pt idx="62">
                  <c:v>494.59353299564032</c:v>
                </c:pt>
                <c:pt idx="63">
                  <c:v>513.68303292647488</c:v>
                </c:pt>
                <c:pt idx="64">
                  <c:v>436.93697308885839</c:v>
                </c:pt>
                <c:pt idx="65">
                  <c:v>455.4498408259139</c:v>
                </c:pt>
                <c:pt idx="66">
                  <c:v>473.94663528674664</c:v>
                </c:pt>
                <c:pt idx="67">
                  <c:v>492.42807168861947</c:v>
                </c:pt>
                <c:pt idx="68">
                  <c:v>510.89480721570732</c:v>
                </c:pt>
                <c:pt idx="69">
                  <c:v>529.34744769826659</c:v>
                </c:pt>
                <c:pt idx="70">
                  <c:v>547.78655331238531</c:v>
                </c:pt>
                <c:pt idx="71">
                  <c:v>566.21264347271074</c:v>
                </c:pt>
                <c:pt idx="72">
                  <c:v>493.12900067600816</c:v>
                </c:pt>
                <c:pt idx="73">
                  <c:v>511.00822526100939</c:v>
                </c:pt>
                <c:pt idx="74">
                  <c:v>528.87424050875768</c:v>
                </c:pt>
                <c:pt idx="75">
                  <c:v>546.72755518631664</c:v>
                </c:pt>
                <c:pt idx="76">
                  <c:v>564.56864214538984</c:v>
                </c:pt>
                <c:pt idx="77">
                  <c:v>582.39794193573846</c:v>
                </c:pt>
                <c:pt idx="78">
                  <c:v>600.2158659533485</c:v>
                </c:pt>
                <c:pt idx="79">
                  <c:v>618.02279919555451</c:v>
                </c:pt>
                <c:pt idx="80">
                  <c:v>635.81910268232502</c:v>
                </c:pt>
                <c:pt idx="81">
                  <c:v>549.22839927019811</c:v>
                </c:pt>
                <c:pt idx="82">
                  <c:v>566.27742965606353</c:v>
                </c:pt>
                <c:pt idx="83">
                  <c:v>583.3157318213639</c:v>
                </c:pt>
                <c:pt idx="84">
                  <c:v>600.34366305102446</c:v>
                </c:pt>
                <c:pt idx="85">
                  <c:v>617.36155872357722</c:v>
                </c:pt>
                <c:pt idx="86">
                  <c:v>634.3697342335164</c:v>
                </c:pt>
                <c:pt idx="87">
                  <c:v>651.36848669690528</c:v>
                </c:pt>
                <c:pt idx="88">
                  <c:v>668.3580964698092</c:v>
                </c:pt>
                <c:pt idx="89">
                  <c:v>685.33882850441751</c:v>
                </c:pt>
                <c:pt idx="90">
                  <c:v>589.58115277308787</c:v>
                </c:pt>
                <c:pt idx="91">
                  <c:v>605.88595587112718</c:v>
                </c:pt>
                <c:pt idx="92">
                  <c:v>622.1816501268504</c:v>
                </c:pt>
                <c:pt idx="93">
                  <c:v>638.46850755238074</c:v>
                </c:pt>
                <c:pt idx="94">
                  <c:v>654.7467851604614</c:v>
                </c:pt>
                <c:pt idx="95">
                  <c:v>671.01672615155564</c:v>
                </c:pt>
                <c:pt idx="96">
                  <c:v>687.27856097990991</c:v>
                </c:pt>
                <c:pt idx="97">
                  <c:v>703.53250831355035</c:v>
                </c:pt>
                <c:pt idx="98">
                  <c:v>719.77877590102037</c:v>
                </c:pt>
                <c:pt idx="99">
                  <c:v>736.01756135586174</c:v>
                </c:pt>
                <c:pt idx="100">
                  <c:v>643.10369331547565</c:v>
                </c:pt>
                <c:pt idx="101">
                  <c:v>658.9610805818287</c:v>
                </c:pt>
                <c:pt idx="102">
                  <c:v>674.81061235785273</c:v>
                </c:pt>
                <c:pt idx="103">
                  <c:v>690.65249900310573</c:v>
                </c:pt>
                <c:pt idx="104">
                  <c:v>706.48694044743434</c:v>
                </c:pt>
                <c:pt idx="105">
                  <c:v>722.31412693505047</c:v>
                </c:pt>
                <c:pt idx="106">
                  <c:v>738.13423970005181</c:v>
                </c:pt>
                <c:pt idx="107">
                  <c:v>753.94745158106855</c:v>
                </c:pt>
                <c:pt idx="108">
                  <c:v>769.75392758170949</c:v>
                </c:pt>
                <c:pt idx="109">
                  <c:v>785.55382538262154</c:v>
                </c:pt>
                <c:pt idx="110">
                  <c:v>685.03392020239414</c:v>
                </c:pt>
                <c:pt idx="111">
                  <c:v>700.5371863671254</c:v>
                </c:pt>
                <c:pt idx="112">
                  <c:v>716.03343280811612</c:v>
                </c:pt>
                <c:pt idx="113">
                  <c:v>731.52283272830607</c:v>
                </c:pt>
                <c:pt idx="114">
                  <c:v>747.00555140367942</c:v>
                </c:pt>
                <c:pt idx="115">
                  <c:v>762.48174670620631</c:v>
                </c:pt>
                <c:pt idx="116">
                  <c:v>777.95156958215478</c:v>
                </c:pt>
                <c:pt idx="117">
                  <c:v>793.41516449041671</c:v>
                </c:pt>
                <c:pt idx="118">
                  <c:v>808.87266980491552</c:v>
                </c:pt>
                <c:pt idx="119">
                  <c:v>824.32421818468595</c:v>
                </c:pt>
                <c:pt idx="120">
                  <c:v>492.83742328263929</c:v>
                </c:pt>
                <c:pt idx="121">
                  <c:v>501.57098653770277</c:v>
                </c:pt>
                <c:pt idx="122">
                  <c:v>510.30133202243286</c:v>
                </c:pt>
                <c:pt idx="123">
                  <c:v>519.02852256208939</c:v>
                </c:pt>
                <c:pt idx="124">
                  <c:v>347.85419402060182</c:v>
                </c:pt>
                <c:pt idx="125">
                  <c:v>353.21865136057613</c:v>
                </c:pt>
                <c:pt idx="126">
                  <c:v>358.58132330067798</c:v>
                </c:pt>
                <c:pt idx="127">
                  <c:v>363.94224034116149</c:v>
                </c:pt>
                <c:pt idx="128">
                  <c:v>252.38937355642543</c:v>
                </c:pt>
                <c:pt idx="129">
                  <c:v>255.87521499156858</c:v>
                </c:pt>
                <c:pt idx="130">
                  <c:v>259.35998187499553</c:v>
                </c:pt>
                <c:pt idx="131">
                  <c:v>262.8436907125398</c:v>
                </c:pt>
                <c:pt idx="132">
                  <c:v>1.1498242284038591E-11</c:v>
                </c:pt>
                <c:pt idx="133">
                  <c:v>1.1498242284038591E-11</c:v>
                </c:pt>
                <c:pt idx="134">
                  <c:v>1.1498242284038591E-11</c:v>
                </c:pt>
                <c:pt idx="135">
                  <c:v>1.1498242284038591E-11</c:v>
                </c:pt>
                <c:pt idx="136">
                  <c:v>1.1498242284038591E-11</c:v>
                </c:pt>
                <c:pt idx="137">
                  <c:v>1.1498242284038591E-11</c:v>
                </c:pt>
                <c:pt idx="138">
                  <c:v>1.1498242284038591E-11</c:v>
                </c:pt>
                <c:pt idx="139">
                  <c:v>1.1498242284038591E-11</c:v>
                </c:pt>
                <c:pt idx="140">
                  <c:v>1.1498242284038591E-11</c:v>
                </c:pt>
                <c:pt idx="141">
                  <c:v>1.1498242284038591E-11</c:v>
                </c:pt>
                <c:pt idx="142">
                  <c:v>1.1498242284038591E-11</c:v>
                </c:pt>
                <c:pt idx="143">
                  <c:v>1.1498242284038591E-11</c:v>
                </c:pt>
                <c:pt idx="144">
                  <c:v>1.1498242284038591E-11</c:v>
                </c:pt>
                <c:pt idx="145">
                  <c:v>1.1498242284038591E-11</c:v>
                </c:pt>
                <c:pt idx="146">
                  <c:v>1.1498242284038591E-11</c:v>
                </c:pt>
                <c:pt idx="147">
                  <c:v>1.1498242284038591E-11</c:v>
                </c:pt>
                <c:pt idx="148">
                  <c:v>1.1498242284038591E-11</c:v>
                </c:pt>
                <c:pt idx="149">
                  <c:v>1.1498242284038591E-11</c:v>
                </c:pt>
                <c:pt idx="150">
                  <c:v>1.1498242284038591E-11</c:v>
                </c:pt>
                <c:pt idx="151">
                  <c:v>1.1498242284038591E-11</c:v>
                </c:pt>
                <c:pt idx="152">
                  <c:v>1.1498242284038591E-11</c:v>
                </c:pt>
                <c:pt idx="153">
                  <c:v>1.1498242284038591E-11</c:v>
                </c:pt>
                <c:pt idx="154">
                  <c:v>1.1498242284038591E-11</c:v>
                </c:pt>
                <c:pt idx="155">
                  <c:v>1.1498242284038591E-11</c:v>
                </c:pt>
                <c:pt idx="156">
                  <c:v>1.1498242284038591E-11</c:v>
                </c:pt>
                <c:pt idx="157">
                  <c:v>1.1498242284038591E-11</c:v>
                </c:pt>
                <c:pt idx="158">
                  <c:v>1.1498242284038591E-11</c:v>
                </c:pt>
                <c:pt idx="159">
                  <c:v>1.1498242284038591E-11</c:v>
                </c:pt>
                <c:pt idx="160">
                  <c:v>1.1498242284038591E-11</c:v>
                </c:pt>
                <c:pt idx="161">
                  <c:v>1.1498242284038591E-11</c:v>
                </c:pt>
                <c:pt idx="162">
                  <c:v>1.1498242284038591E-11</c:v>
                </c:pt>
                <c:pt idx="163">
                  <c:v>1.1498242284038591E-11</c:v>
                </c:pt>
                <c:pt idx="164">
                  <c:v>1.1498242284038591E-11</c:v>
                </c:pt>
                <c:pt idx="165">
                  <c:v>1.1498242284038591E-11</c:v>
                </c:pt>
                <c:pt idx="166">
                  <c:v>1.1498242284038591E-11</c:v>
                </c:pt>
                <c:pt idx="167">
                  <c:v>1.1498242284038591E-11</c:v>
                </c:pt>
                <c:pt idx="168">
                  <c:v>1.1498242284038591E-11</c:v>
                </c:pt>
                <c:pt idx="169">
                  <c:v>1.1498242284038591E-11</c:v>
                </c:pt>
                <c:pt idx="170">
                  <c:v>1.1498242284038591E-11</c:v>
                </c:pt>
                <c:pt idx="171">
                  <c:v>1.1498242284038591E-11</c:v>
                </c:pt>
                <c:pt idx="172">
                  <c:v>1.1498242284038591E-11</c:v>
                </c:pt>
                <c:pt idx="173">
                  <c:v>1.1498242284038591E-11</c:v>
                </c:pt>
                <c:pt idx="174">
                  <c:v>1.1498242284038591E-11</c:v>
                </c:pt>
                <c:pt idx="175">
                  <c:v>1.1498242284038591E-11</c:v>
                </c:pt>
                <c:pt idx="176">
                  <c:v>1.1498242284038591E-11</c:v>
                </c:pt>
                <c:pt idx="177">
                  <c:v>1.1498242284038591E-11</c:v>
                </c:pt>
                <c:pt idx="178">
                  <c:v>1.1498242284038591E-11</c:v>
                </c:pt>
                <c:pt idx="179">
                  <c:v>1.1498242284038591E-11</c:v>
                </c:pt>
                <c:pt idx="180">
                  <c:v>1.1498242284038591E-11</c:v>
                </c:pt>
                <c:pt idx="181">
                  <c:v>1.1498242284038591E-11</c:v>
                </c:pt>
                <c:pt idx="182">
                  <c:v>1.1498242284038591E-11</c:v>
                </c:pt>
                <c:pt idx="183">
                  <c:v>1.1498242284038591E-11</c:v>
                </c:pt>
                <c:pt idx="184">
                  <c:v>1.1498242284038591E-11</c:v>
                </c:pt>
                <c:pt idx="185">
                  <c:v>1.1498242284038591E-11</c:v>
                </c:pt>
                <c:pt idx="186">
                  <c:v>1.1498242284038591E-11</c:v>
                </c:pt>
                <c:pt idx="187">
                  <c:v>1.1498242284038591E-11</c:v>
                </c:pt>
                <c:pt idx="188">
                  <c:v>1.1498242284038591E-11</c:v>
                </c:pt>
                <c:pt idx="189">
                  <c:v>1.1498242284038591E-11</c:v>
                </c:pt>
                <c:pt idx="190">
                  <c:v>1.1498242284038591E-11</c:v>
                </c:pt>
                <c:pt idx="191">
                  <c:v>1.1498242284038591E-11</c:v>
                </c:pt>
                <c:pt idx="192">
                  <c:v>1.1498242284038591E-11</c:v>
                </c:pt>
                <c:pt idx="193">
                  <c:v>1.1498242284038591E-11</c:v>
                </c:pt>
                <c:pt idx="194">
                  <c:v>1.1498242284038591E-11</c:v>
                </c:pt>
                <c:pt idx="195">
                  <c:v>1.1498242284038591E-11</c:v>
                </c:pt>
                <c:pt idx="196">
                  <c:v>1.1498242284038591E-11</c:v>
                </c:pt>
                <c:pt idx="197">
                  <c:v>1.1498242284038591E-11</c:v>
                </c:pt>
                <c:pt idx="198">
                  <c:v>1.1498242284038591E-11</c:v>
                </c:pt>
                <c:pt idx="199">
                  <c:v>1.1498242284038591E-11</c:v>
                </c:pt>
                <c:pt idx="200">
                  <c:v>1.1498242284038591E-11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1.4380138466054599</c:v>
                </c:pt>
                <c:pt idx="2">
                  <c:v>1.6875991845994376</c:v>
                </c:pt>
                <c:pt idx="3">
                  <c:v>1.9806665306831832</c:v>
                </c:pt>
                <c:pt idx="4">
                  <c:v>2.32481817880418</c:v>
                </c:pt>
                <c:pt idx="5">
                  <c:v>2.7289900330905534</c:v>
                </c:pt>
                <c:pt idx="6">
                  <c:v>3.203686281221815</c:v>
                </c:pt>
                <c:pt idx="7">
                  <c:v>3.7612554820460891</c:v>
                </c:pt>
                <c:pt idx="8">
                  <c:v>4.4162153954838086</c:v>
                </c:pt>
                <c:pt idx="9">
                  <c:v>5.1856351825720131</c:v>
                </c:pt>
                <c:pt idx="10">
                  <c:v>6.0895851343840945</c:v>
                </c:pt>
                <c:pt idx="11">
                  <c:v>7.1516658916658464</c:v>
                </c:pt>
                <c:pt idx="12">
                  <c:v>8.3996312408642595</c:v>
                </c:pt>
                <c:pt idx="13">
                  <c:v>9.8661210739520406</c:v>
                </c:pt>
                <c:pt idx="14">
                  <c:v>11.589524046435578</c:v>
                </c:pt>
                <c:pt idx="15">
                  <c:v>13.614992939574798</c:v>
                </c:pt>
                <c:pt idx="16">
                  <c:v>15.995639822719939</c:v>
                </c:pt>
                <c:pt idx="17">
                  <c:v>18.793942930082366</c:v>
                </c:pt>
                <c:pt idx="18">
                  <c:v>22.083402843214927</c:v>
                </c:pt>
                <c:pt idx="19">
                  <c:v>25.950492259231435</c:v>
                </c:pt>
                <c:pt idx="20">
                  <c:v>30.49695150599419</c:v>
                </c:pt>
                <c:pt idx="21">
                  <c:v>35.842491252095542</c:v>
                </c:pt>
                <c:pt idx="22">
                  <c:v>42.127974802498365</c:v>
                </c:pt>
                <c:pt idx="23">
                  <c:v>49.51916526613595</c:v>
                </c:pt>
                <c:pt idx="24">
                  <c:v>58.211138078518069</c:v>
                </c:pt>
                <c:pt idx="25">
                  <c:v>68.433477271807831</c:v>
                </c:pt>
                <c:pt idx="26">
                  <c:v>80.456394991923858</c:v>
                </c:pt>
                <c:pt idx="27">
                  <c:v>94.597938638820423</c:v>
                </c:pt>
                <c:pt idx="28">
                  <c:v>111.23247932645454</c:v>
                </c:pt>
                <c:pt idx="29">
                  <c:v>130.80070991807179</c:v>
                </c:pt>
                <c:pt idx="30">
                  <c:v>153.82142162778047</c:v>
                </c:pt>
                <c:pt idx="31">
                  <c:v>165.4594931344069</c:v>
                </c:pt>
                <c:pt idx="32">
                  <c:v>177.0782356697724</c:v>
                </c:pt>
                <c:pt idx="33">
                  <c:v>188.6790972060131</c:v>
                </c:pt>
                <c:pt idx="34">
                  <c:v>200.2633328946263</c:v>
                </c:pt>
                <c:pt idx="35">
                  <c:v>211.83204065745056</c:v>
                </c:pt>
                <c:pt idx="36">
                  <c:v>223.38618858142613</c:v>
                </c:pt>
                <c:pt idx="37">
                  <c:v>234.92663633985001</c:v>
                </c:pt>
                <c:pt idx="38">
                  <c:v>246.45415217825635</c:v>
                </c:pt>
                <c:pt idx="39">
                  <c:v>257.96942655211097</c:v>
                </c:pt>
                <c:pt idx="40">
                  <c:v>269.47308319939998</c:v>
                </c:pt>
                <c:pt idx="41">
                  <c:v>280.96568822175709</c:v>
                </c:pt>
                <c:pt idx="42">
                  <c:v>292.44775760079426</c:v>
                </c:pt>
                <c:pt idx="43">
                  <c:v>303.91976347139087</c:v>
                </c:pt>
                <c:pt idx="44">
                  <c:v>315.38213939764222</c:v>
                </c:pt>
                <c:pt idx="45">
                  <c:v>326.83528484125645</c:v>
                </c:pt>
                <c:pt idx="46">
                  <c:v>338.2795689705585</c:v>
                </c:pt>
                <c:pt idx="47">
                  <c:v>349.71533392687957</c:v>
                </c:pt>
                <c:pt idx="48">
                  <c:v>361.14289764121116</c:v>
                </c:pt>
                <c:pt idx="49">
                  <c:v>372.56255627561069</c:v>
                </c:pt>
                <c:pt idx="50">
                  <c:v>383.97458634955802</c:v>
                </c:pt>
                <c:pt idx="51">
                  <c:v>395.37924660026198</c:v>
                </c:pt>
                <c:pt idx="52">
                  <c:v>236.15567000087893</c:v>
                </c:pt>
                <c:pt idx="53">
                  <c:v>247.40720442634384</c:v>
                </c:pt>
                <c:pt idx="54">
                  <c:v>258.64712580976141</c:v>
                </c:pt>
                <c:pt idx="55">
                  <c:v>269.87601023001861</c:v>
                </c:pt>
                <c:pt idx="56">
                  <c:v>281.09438188143378</c:v>
                </c:pt>
                <c:pt idx="57">
                  <c:v>292.30271967558332</c:v>
                </c:pt>
                <c:pt idx="58">
                  <c:v>303.50146277682819</c:v>
                </c:pt>
                <c:pt idx="59">
                  <c:v>314.69101527756692</c:v>
                </c:pt>
                <c:pt idx="60">
                  <c:v>325.87175017337614</c:v>
                </c:pt>
                <c:pt idx="61">
                  <c:v>337.04401276379798</c:v>
                </c:pt>
                <c:pt idx="62">
                  <c:v>252.35841209837443</c:v>
                </c:pt>
                <c:pt idx="63">
                  <c:v>262.73284691865422</c:v>
                </c:pt>
                <c:pt idx="64">
                  <c:v>273.09803939468708</c:v>
                </c:pt>
                <c:pt idx="65">
                  <c:v>283.45438999358515</c:v>
                </c:pt>
                <c:pt idx="66">
                  <c:v>293.8022675095666</c:v>
                </c:pt>
                <c:pt idx="67">
                  <c:v>304.14201262042309</c:v>
                </c:pt>
                <c:pt idx="68">
                  <c:v>314.47394093474492</c:v>
                </c:pt>
                <c:pt idx="69">
                  <c:v>324.7983456175059</c:v>
                </c:pt>
                <c:pt idx="70">
                  <c:v>335.1154996641738</c:v>
                </c:pt>
                <c:pt idx="71">
                  <c:v>345.42565787999416</c:v>
                </c:pt>
                <c:pt idx="72">
                  <c:v>355.72905861051328</c:v>
                </c:pt>
                <c:pt idx="73">
                  <c:v>366.02592526105167</c:v>
                </c:pt>
                <c:pt idx="74">
                  <c:v>281.90576500782731</c:v>
                </c:pt>
                <c:pt idx="75">
                  <c:v>291.4615194153061</c:v>
                </c:pt>
                <c:pt idx="76">
                  <c:v>301.01027742846833</c:v>
                </c:pt>
                <c:pt idx="77">
                  <c:v>310.55229243957797</c:v>
                </c:pt>
                <c:pt idx="78">
                  <c:v>320.08780098731563</c:v>
                </c:pt>
                <c:pt idx="79">
                  <c:v>329.61702435733633</c:v>
                </c:pt>
                <c:pt idx="80">
                  <c:v>339.14016998796063</c:v>
                </c:pt>
                <c:pt idx="81">
                  <c:v>348.65743270964475</c:v>
                </c:pt>
                <c:pt idx="82">
                  <c:v>358.16899584197944</c:v>
                </c:pt>
                <c:pt idx="83">
                  <c:v>367.6750321680226</c:v>
                </c:pt>
                <c:pt idx="84">
                  <c:v>377.17570480256501</c:v>
                </c:pt>
                <c:pt idx="85">
                  <c:v>386.67116796831164</c:v>
                </c:pt>
                <c:pt idx="86">
                  <c:v>310.25502677283106</c:v>
                </c:pt>
                <c:pt idx="87">
                  <c:v>318.98740593712245</c:v>
                </c:pt>
                <c:pt idx="88">
                  <c:v>327.714493945801</c:v>
                </c:pt>
                <c:pt idx="89">
                  <c:v>336.43645167959869</c:v>
                </c:pt>
                <c:pt idx="90">
                  <c:v>345.1534309907932</c:v>
                </c:pt>
                <c:pt idx="91">
                  <c:v>353.86557543008013</c:v>
                </c:pt>
                <c:pt idx="92">
                  <c:v>362.57302089808542</c:v>
                </c:pt>
                <c:pt idx="93">
                  <c:v>371.27589623099425</c:v>
                </c:pt>
                <c:pt idx="94">
                  <c:v>379.97432372837596</c:v>
                </c:pt>
                <c:pt idx="95">
                  <c:v>388.66841963013377</c:v>
                </c:pt>
                <c:pt idx="96">
                  <c:v>397.3582945485353</c:v>
                </c:pt>
                <c:pt idx="97">
                  <c:v>406.04405386046125</c:v>
                </c:pt>
                <c:pt idx="98">
                  <c:v>334.41940603910399</c:v>
                </c:pt>
                <c:pt idx="99">
                  <c:v>342.29956794326108</c:v>
                </c:pt>
                <c:pt idx="100">
                  <c:v>350.17574235486956</c:v>
                </c:pt>
                <c:pt idx="101">
                  <c:v>358.04803168315993</c:v>
                </c:pt>
                <c:pt idx="102">
                  <c:v>365.91653346305429</c:v>
                </c:pt>
                <c:pt idx="103">
                  <c:v>373.781340689297</c:v>
                </c:pt>
                <c:pt idx="104">
                  <c:v>381.64254212098012</c:v>
                </c:pt>
                <c:pt idx="105">
                  <c:v>389.50022255965609</c:v>
                </c:pt>
                <c:pt idx="106">
                  <c:v>397.35446310382622</c:v>
                </c:pt>
                <c:pt idx="107">
                  <c:v>405.20534138224843</c:v>
                </c:pt>
                <c:pt idx="108">
                  <c:v>413.05293176821192</c:v>
                </c:pt>
                <c:pt idx="109">
                  <c:v>420.89730557667355</c:v>
                </c:pt>
                <c:pt idx="110">
                  <c:v>347.55719193287524</c:v>
                </c:pt>
                <c:pt idx="111">
                  <c:v>354.63762505887559</c:v>
                </c:pt>
                <c:pt idx="112">
                  <c:v>361.71496177810758</c:v>
                </c:pt>
                <c:pt idx="113">
                  <c:v>368.78927127528988</c:v>
                </c:pt>
                <c:pt idx="114">
                  <c:v>375.86061986197689</c:v>
                </c:pt>
                <c:pt idx="115">
                  <c:v>382.92907114888561</c:v>
                </c:pt>
                <c:pt idx="116">
                  <c:v>389.99468620482668</c:v>
                </c:pt>
                <c:pt idx="117">
                  <c:v>397.05752370351041</c:v>
                </c:pt>
                <c:pt idx="118">
                  <c:v>404.11764005935646</c:v>
                </c:pt>
                <c:pt idx="119">
                  <c:v>411.17508955331374</c:v>
                </c:pt>
                <c:pt idx="120">
                  <c:v>418.22992444958618</c:v>
                </c:pt>
                <c:pt idx="121">
                  <c:v>425.28219510406808</c:v>
                </c:pt>
                <c:pt idx="122">
                  <c:v>222.90571332852619</c:v>
                </c:pt>
                <c:pt idx="123">
                  <c:v>227.85759264677259</c:v>
                </c:pt>
                <c:pt idx="124">
                  <c:v>232.80700909260011</c:v>
                </c:pt>
                <c:pt idx="125">
                  <c:v>237.75402251395349</c:v>
                </c:pt>
                <c:pt idx="126">
                  <c:v>242.69869006033085</c:v>
                </c:pt>
                <c:pt idx="127">
                  <c:v>247.64106635821585</c:v>
                </c:pt>
                <c:pt idx="128">
                  <c:v>252.58120367175138</c:v>
                </c:pt>
                <c:pt idx="129">
                  <c:v>257.51915205016729</c:v>
                </c:pt>
                <c:pt idx="130">
                  <c:v>262.45495946329385</c:v>
                </c:pt>
                <c:pt idx="131">
                  <c:v>267.38867192633279</c:v>
                </c:pt>
                <c:pt idx="132">
                  <c:v>6.6746200022902298E-12</c:v>
                </c:pt>
                <c:pt idx="133">
                  <c:v>6.6746200022902298E-12</c:v>
                </c:pt>
                <c:pt idx="134">
                  <c:v>6.6746200022902298E-12</c:v>
                </c:pt>
                <c:pt idx="135">
                  <c:v>6.6746200022902298E-12</c:v>
                </c:pt>
                <c:pt idx="136">
                  <c:v>6.6746200022902298E-12</c:v>
                </c:pt>
                <c:pt idx="137">
                  <c:v>6.6746200022902298E-12</c:v>
                </c:pt>
                <c:pt idx="138">
                  <c:v>6.6746200022902298E-12</c:v>
                </c:pt>
                <c:pt idx="139">
                  <c:v>6.6746200022902298E-12</c:v>
                </c:pt>
                <c:pt idx="140">
                  <c:v>6.6746200022902298E-12</c:v>
                </c:pt>
                <c:pt idx="141">
                  <c:v>6.6746200022902298E-12</c:v>
                </c:pt>
                <c:pt idx="142">
                  <c:v>6.6746200022902298E-12</c:v>
                </c:pt>
                <c:pt idx="143">
                  <c:v>6.6746200022902298E-12</c:v>
                </c:pt>
                <c:pt idx="144">
                  <c:v>6.6746200022902298E-12</c:v>
                </c:pt>
                <c:pt idx="145">
                  <c:v>6.6746200022902298E-12</c:v>
                </c:pt>
                <c:pt idx="146">
                  <c:v>6.6746200022902298E-12</c:v>
                </c:pt>
                <c:pt idx="147">
                  <c:v>6.6746200022902298E-12</c:v>
                </c:pt>
                <c:pt idx="148">
                  <c:v>6.6746200022902298E-12</c:v>
                </c:pt>
                <c:pt idx="149">
                  <c:v>6.6746200022902298E-12</c:v>
                </c:pt>
                <c:pt idx="150">
                  <c:v>6.6746200022902298E-12</c:v>
                </c:pt>
                <c:pt idx="151">
                  <c:v>6.6746200022902298E-12</c:v>
                </c:pt>
                <c:pt idx="152">
                  <c:v>6.6746200022902298E-12</c:v>
                </c:pt>
                <c:pt idx="153">
                  <c:v>6.6746200022902298E-12</c:v>
                </c:pt>
                <c:pt idx="154">
                  <c:v>6.6746200022902298E-12</c:v>
                </c:pt>
                <c:pt idx="155">
                  <c:v>6.6746200022902298E-12</c:v>
                </c:pt>
                <c:pt idx="156">
                  <c:v>6.6746200022902298E-12</c:v>
                </c:pt>
                <c:pt idx="157">
                  <c:v>6.6746200022902298E-12</c:v>
                </c:pt>
                <c:pt idx="158">
                  <c:v>6.6746200022902298E-12</c:v>
                </c:pt>
                <c:pt idx="159">
                  <c:v>6.6746200022902298E-12</c:v>
                </c:pt>
                <c:pt idx="160">
                  <c:v>6.6746200022902298E-12</c:v>
                </c:pt>
                <c:pt idx="161">
                  <c:v>6.6746200022902298E-12</c:v>
                </c:pt>
                <c:pt idx="162">
                  <c:v>6.6746200022902298E-12</c:v>
                </c:pt>
                <c:pt idx="163">
                  <c:v>6.6746200022902298E-12</c:v>
                </c:pt>
                <c:pt idx="164">
                  <c:v>6.6746200022902298E-12</c:v>
                </c:pt>
                <c:pt idx="165">
                  <c:v>6.6746200022902298E-12</c:v>
                </c:pt>
                <c:pt idx="166">
                  <c:v>6.6746200022902298E-12</c:v>
                </c:pt>
                <c:pt idx="167">
                  <c:v>6.6746200022902298E-12</c:v>
                </c:pt>
                <c:pt idx="168">
                  <c:v>6.6746200022902298E-12</c:v>
                </c:pt>
                <c:pt idx="169">
                  <c:v>6.6746200022902298E-12</c:v>
                </c:pt>
                <c:pt idx="170">
                  <c:v>6.6746200022902298E-12</c:v>
                </c:pt>
                <c:pt idx="171">
                  <c:v>6.6746200022902298E-12</c:v>
                </c:pt>
                <c:pt idx="172">
                  <c:v>6.6746200022902298E-12</c:v>
                </c:pt>
                <c:pt idx="173">
                  <c:v>6.6746200022902298E-12</c:v>
                </c:pt>
                <c:pt idx="174">
                  <c:v>6.6746200022902298E-12</c:v>
                </c:pt>
                <c:pt idx="175">
                  <c:v>6.6746200022902298E-12</c:v>
                </c:pt>
                <c:pt idx="176">
                  <c:v>6.6746200022902298E-12</c:v>
                </c:pt>
                <c:pt idx="177">
                  <c:v>6.6746200022902298E-12</c:v>
                </c:pt>
                <c:pt idx="178">
                  <c:v>6.6746200022902298E-12</c:v>
                </c:pt>
                <c:pt idx="179">
                  <c:v>6.6746200022902298E-12</c:v>
                </c:pt>
                <c:pt idx="180">
                  <c:v>6.6746200022902298E-12</c:v>
                </c:pt>
                <c:pt idx="181">
                  <c:v>6.6746200022902298E-12</c:v>
                </c:pt>
                <c:pt idx="182">
                  <c:v>6.6746200022902298E-12</c:v>
                </c:pt>
                <c:pt idx="183">
                  <c:v>6.6746200022902298E-12</c:v>
                </c:pt>
                <c:pt idx="184">
                  <c:v>6.6746200022902298E-12</c:v>
                </c:pt>
                <c:pt idx="185">
                  <c:v>6.6746200022902298E-12</c:v>
                </c:pt>
                <c:pt idx="186">
                  <c:v>6.6746200022902298E-12</c:v>
                </c:pt>
                <c:pt idx="187">
                  <c:v>6.6746200022902298E-12</c:v>
                </c:pt>
                <c:pt idx="188">
                  <c:v>6.6746200022902298E-12</c:v>
                </c:pt>
                <c:pt idx="189">
                  <c:v>6.6746200022902298E-12</c:v>
                </c:pt>
                <c:pt idx="190">
                  <c:v>6.6746200022902298E-12</c:v>
                </c:pt>
                <c:pt idx="191">
                  <c:v>6.6746200022902298E-12</c:v>
                </c:pt>
                <c:pt idx="192">
                  <c:v>6.6746200022902298E-12</c:v>
                </c:pt>
                <c:pt idx="193">
                  <c:v>6.6746200022902298E-12</c:v>
                </c:pt>
                <c:pt idx="194">
                  <c:v>6.6746200022902298E-12</c:v>
                </c:pt>
                <c:pt idx="195">
                  <c:v>6.6746200022902298E-12</c:v>
                </c:pt>
                <c:pt idx="196">
                  <c:v>6.6746200022902298E-12</c:v>
                </c:pt>
                <c:pt idx="197">
                  <c:v>6.6746200022902298E-12</c:v>
                </c:pt>
                <c:pt idx="198">
                  <c:v>6.6746200022902298E-12</c:v>
                </c:pt>
                <c:pt idx="199">
                  <c:v>6.6746200022902298E-12</c:v>
                </c:pt>
                <c:pt idx="200">
                  <c:v>6.6746200022902298E-12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E16" sqref="E16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18.55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18</v>
      </c>
      <c r="C9" s="32">
        <v>0.30530000000000002</v>
      </c>
      <c r="D9" s="33">
        <f t="shared" ref="D9:D18" si="0">C9*$C$5</f>
        <v>5.6633150000000008</v>
      </c>
      <c r="E9" s="34">
        <v>54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164</v>
      </c>
      <c r="C10" s="32">
        <v>0.30570000000000003</v>
      </c>
      <c r="D10" s="33">
        <f t="shared" si="0"/>
        <v>5.6707350000000005</v>
      </c>
      <c r="E10" s="34">
        <v>105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36</v>
      </c>
      <c r="C11" s="32">
        <v>0.14119999999999999</v>
      </c>
      <c r="D11" s="33">
        <f t="shared" si="0"/>
        <v>2.6192600000000001</v>
      </c>
      <c r="E11" s="34">
        <v>56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35</v>
      </c>
      <c r="C12" s="32">
        <v>4.8500000000000001E-2</v>
      </c>
      <c r="D12" s="33">
        <f t="shared" si="0"/>
        <v>0.89967500000000011</v>
      </c>
      <c r="E12" s="34">
        <v>90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325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23</v>
      </c>
      <c r="C13" s="32">
        <v>2.0500000000000001E-2</v>
      </c>
      <c r="D13" s="33">
        <f t="shared" si="0"/>
        <v>0.38027500000000003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12</v>
      </c>
      <c r="C14" s="32">
        <v>2.0500000000000001E-2</v>
      </c>
      <c r="D14" s="33">
        <f t="shared" si="0"/>
        <v>0.38027500000000003</v>
      </c>
      <c r="E14" s="34">
        <v>131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50</v>
      </c>
      <c r="C15" s="32">
        <v>2.0500000000000001E-2</v>
      </c>
      <c r="D15" s="33">
        <f t="shared" si="0"/>
        <v>0.38027500000000003</v>
      </c>
      <c r="E15" s="34">
        <v>80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 t="s">
        <v>52</v>
      </c>
      <c r="C16" s="32">
        <v>4.1000000000000002E-2</v>
      </c>
      <c r="D16" s="33">
        <f t="shared" si="0"/>
        <v>0.76055000000000006</v>
      </c>
      <c r="E16" s="34">
        <v>131</v>
      </c>
      <c r="F16" s="35" t="str">
        <f t="array" ref="F16">IF(E16="","",IF(INDEX(A:A,MAX(IF(ISNUMBER($A$218:$A$237),ROW($A$218:$A$237),"")))&lt;&gt;E16,"Corrigez : révolution incorrecte","OK"))</f>
        <v>OK</v>
      </c>
      <c r="G16" s="23" t="s">
        <v>324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 t="s">
        <v>164</v>
      </c>
      <c r="C17" s="32">
        <v>4.8500000000000001E-2</v>
      </c>
      <c r="D17" s="33">
        <f t="shared" si="0"/>
        <v>0.89967500000000011</v>
      </c>
      <c r="E17" s="34">
        <v>131</v>
      </c>
      <c r="F17" s="35" t="str">
        <f t="array" ref="F17">IF(E17="","",IF(INDEX(A:A,MAX(IF(ISNUMBER($A$244:$A$263),ROW($A$244:$A$263),"")))&lt;&gt;E17,"Corrigez : révolution incorrecte","OK"))</f>
        <v>OK</v>
      </c>
      <c r="G17" s="23" t="s">
        <v>325</v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 t="s">
        <v>36</v>
      </c>
      <c r="C18" s="32">
        <v>4.8500000000000001E-2</v>
      </c>
      <c r="D18" s="33">
        <f t="shared" si="0"/>
        <v>0.89967500000000011</v>
      </c>
      <c r="E18" s="34">
        <v>60</v>
      </c>
      <c r="F18" s="35" t="str">
        <f t="array" ref="F18">IF(E18="","",IF(INDEX(A:A,MAX(IF(ISNUMBER($A$270:$A$289),ROW($A$270:$A$289),"")))&lt;&gt;E18,"Corrigez : révolution incorrecte","OK"))</f>
        <v>OK</v>
      </c>
      <c r="G18" s="23" t="s">
        <v>325</v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1.0002</v>
      </c>
      <c r="D19" s="38">
        <f>SUM(D9:D18)</f>
        <v>18.553709999999995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Erreur : corrigez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17</v>
      </c>
      <c r="B36" s="60">
        <f>207.67/1.3</f>
        <v>159.74615384615385</v>
      </c>
      <c r="C36" s="60"/>
      <c r="D36" s="60"/>
      <c r="E36" s="51"/>
      <c r="F36" s="51"/>
      <c r="G36" s="51"/>
      <c r="H36" s="51"/>
      <c r="I36" s="49">
        <f>IFERROR(B36/A36,"")</f>
        <v>9.3968325791855207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18</v>
      </c>
      <c r="B37" s="60">
        <f>237.76/1.3</f>
        <v>182.89230769230767</v>
      </c>
      <c r="C37" s="60">
        <v>1</v>
      </c>
      <c r="D37" s="60">
        <f>90.07/1.3</f>
        <v>69.284615384615378</v>
      </c>
      <c r="E37" s="51"/>
      <c r="F37" s="51">
        <v>0.5</v>
      </c>
      <c r="G37" s="51">
        <v>0.5</v>
      </c>
      <c r="H37" s="51"/>
      <c r="I37" s="53">
        <f t="shared" ref="I37:I55" si="1">IF(A37&lt;&gt;0,(B37-(B36-D36))/(A37-A36),"")</f>
        <v>23.146153846153823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24</v>
      </c>
      <c r="B38" s="60">
        <f>308.83/1.3</f>
        <v>237.56153846153845</v>
      </c>
      <c r="C38" s="60">
        <v>2</v>
      </c>
      <c r="D38" s="60">
        <f>55.46/1.3</f>
        <v>42.661538461538463</v>
      </c>
      <c r="E38" s="51">
        <v>0.2</v>
      </c>
      <c r="F38" s="51">
        <v>0.4</v>
      </c>
      <c r="G38" s="51">
        <v>0.4</v>
      </c>
      <c r="H38" s="51"/>
      <c r="I38" s="53">
        <f t="shared" si="1"/>
        <v>20.658974358974358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30</v>
      </c>
      <c r="B39" s="60">
        <f>431.43/1.3</f>
        <v>331.86923076923074</v>
      </c>
      <c r="C39" s="60">
        <v>3</v>
      </c>
      <c r="D39" s="60">
        <f>85.37/1.3</f>
        <v>65.669230769230765</v>
      </c>
      <c r="E39" s="51"/>
      <c r="F39" s="51"/>
      <c r="G39" s="51"/>
      <c r="H39" s="51"/>
      <c r="I39" s="49">
        <f t="shared" si="1"/>
        <v>22.828205128205127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36</v>
      </c>
      <c r="B40" s="60">
        <f>524.56/1.3</f>
        <v>403.50769230769225</v>
      </c>
      <c r="C40" s="60">
        <v>4</v>
      </c>
      <c r="D40" s="60">
        <f>90.09/1.3</f>
        <v>69.3</v>
      </c>
      <c r="E40" s="51"/>
      <c r="F40" s="51"/>
      <c r="G40" s="51"/>
      <c r="H40" s="51"/>
      <c r="I40" s="49">
        <f t="shared" si="1"/>
        <v>22.884615384615376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42</v>
      </c>
      <c r="B41" s="60">
        <f>609.34/1.3</f>
        <v>468.72307692307692</v>
      </c>
      <c r="C41" s="60">
        <v>5</v>
      </c>
      <c r="D41" s="60">
        <f>95.41/1.3</f>
        <v>73.392307692307682</v>
      </c>
      <c r="E41" s="51"/>
      <c r="F41" s="51"/>
      <c r="G41" s="51"/>
      <c r="H41" s="51"/>
      <c r="I41" s="53">
        <f t="shared" si="1"/>
        <v>22.419230769230779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48</v>
      </c>
      <c r="B42" s="60">
        <f>682.61/1.3</f>
        <v>525.0846153846154</v>
      </c>
      <c r="C42" s="60">
        <v>6</v>
      </c>
      <c r="D42" s="60">
        <f>105.73/1.3</f>
        <v>81.330769230769235</v>
      </c>
      <c r="E42" s="51"/>
      <c r="F42" s="51"/>
      <c r="G42" s="51"/>
      <c r="H42" s="51"/>
      <c r="I42" s="53">
        <f t="shared" si="1"/>
        <v>21.625641025641027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54</v>
      </c>
      <c r="B43" s="60">
        <f>736.84/1.3</f>
        <v>566.79999999999995</v>
      </c>
      <c r="C43" s="60">
        <v>7</v>
      </c>
      <c r="D43" s="60">
        <f>736.84/1.3</f>
        <v>566.79999999999995</v>
      </c>
      <c r="E43" s="51"/>
      <c r="F43" s="51"/>
      <c r="G43" s="51"/>
      <c r="H43" s="51"/>
      <c r="I43" s="49">
        <f t="shared" si="1"/>
        <v>20.507692307692299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Cèdre de l'Atlas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30</v>
      </c>
      <c r="B62" s="60">
        <f>281.83/1.3</f>
        <v>216.79230769230767</v>
      </c>
      <c r="C62" s="60"/>
      <c r="D62" s="60"/>
      <c r="E62" s="51"/>
      <c r="F62" s="51"/>
      <c r="G62" s="51"/>
      <c r="H62" s="51"/>
      <c r="I62" s="53">
        <f>IFERROR(B62/A62,"")</f>
        <v>7.2264102564102561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42</v>
      </c>
      <c r="B63" s="60">
        <f>533.48/1.3</f>
        <v>410.3692307692308</v>
      </c>
      <c r="C63" s="60">
        <v>1</v>
      </c>
      <c r="D63" s="60">
        <f>233.8/1.3</f>
        <v>179.84615384615384</v>
      </c>
      <c r="E63" s="51"/>
      <c r="F63" s="51"/>
      <c r="G63" s="51"/>
      <c r="H63" s="51"/>
      <c r="I63" s="49">
        <f>IF(A63&lt;&gt;0,(B63-(B62-D62))/(A63-A62),"")</f>
        <v>16.131410256410259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49</v>
      </c>
      <c r="B64" s="60">
        <f>441.81/1.3</f>
        <v>339.85384615384612</v>
      </c>
      <c r="C64" s="60">
        <v>2</v>
      </c>
      <c r="D64" s="60">
        <f>122.82/1.3</f>
        <v>94.476923076923072</v>
      </c>
      <c r="E64" s="51"/>
      <c r="F64" s="51"/>
      <c r="G64" s="51"/>
      <c r="H64" s="51"/>
      <c r="I64" s="49">
        <f>IF(A64&lt;&gt;0,(B64-(B63-D63))/(A64-A63),"")</f>
        <v>15.618681318681309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56</v>
      </c>
      <c r="B65" s="60">
        <f>452.47/1.3</f>
        <v>348.05384615384617</v>
      </c>
      <c r="C65" s="60">
        <v>3</v>
      </c>
      <c r="D65" s="60">
        <f>94.6/1.3</f>
        <v>72.769230769230759</v>
      </c>
      <c r="E65" s="51"/>
      <c r="F65" s="51"/>
      <c r="G65" s="51"/>
      <c r="H65" s="51"/>
      <c r="I65" s="49">
        <f>IF(A65&lt;&gt;0,(B65-(B64-D64))/(A65-A64),"")</f>
        <v>14.668131868131875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63</v>
      </c>
      <c r="B66" s="60">
        <f>487.73/1.3</f>
        <v>375.17692307692306</v>
      </c>
      <c r="C66" s="60">
        <v>4</v>
      </c>
      <c r="D66" s="60">
        <f>92.46/1.3</f>
        <v>71.123076923076923</v>
      </c>
      <c r="E66" s="51"/>
      <c r="F66" s="51"/>
      <c r="G66" s="51"/>
      <c r="H66" s="51"/>
      <c r="I66" s="49">
        <f t="shared" ref="I66:I81" si="2">IF(A66&lt;&gt;0,(B66-(B65-D65))/(A66-A65),"")</f>
        <v>14.270329670329668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71</v>
      </c>
      <c r="B67" s="60">
        <f>538.14/1.3</f>
        <v>413.95384615384614</v>
      </c>
      <c r="C67" s="60">
        <v>5</v>
      </c>
      <c r="D67" s="60">
        <f>104.52/1.3</f>
        <v>80.399999999999991</v>
      </c>
      <c r="E67" s="51"/>
      <c r="F67" s="51"/>
      <c r="G67" s="51"/>
      <c r="H67" s="51"/>
      <c r="I67" s="49">
        <f t="shared" si="2"/>
        <v>13.737499999999997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79</v>
      </c>
      <c r="B68" s="60">
        <f>567.92/1.3</f>
        <v>436.86153846153843</v>
      </c>
      <c r="C68" s="60">
        <v>6</v>
      </c>
      <c r="D68" s="60">
        <f>100.54/1.3</f>
        <v>77.338461538461544</v>
      </c>
      <c r="E68" s="51"/>
      <c r="F68" s="51"/>
      <c r="G68" s="51"/>
      <c r="H68" s="51"/>
      <c r="I68" s="49">
        <f t="shared" si="2"/>
        <v>12.913461538461533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87</v>
      </c>
      <c r="B69" s="50">
        <f>593.47/1.3</f>
        <v>456.51538461538462</v>
      </c>
      <c r="C69" s="50">
        <v>7</v>
      </c>
      <c r="D69" s="50">
        <f>100.53/1.3</f>
        <v>77.330769230769235</v>
      </c>
      <c r="E69" s="51"/>
      <c r="F69" s="51"/>
      <c r="G69" s="51"/>
      <c r="H69" s="51"/>
      <c r="I69" s="49">
        <f t="shared" si="2"/>
        <v>12.124038461538468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95</v>
      </c>
      <c r="B70" s="50">
        <f>609.86/1.3</f>
        <v>469.12307692307689</v>
      </c>
      <c r="C70" s="50">
        <v>8</v>
      </c>
      <c r="D70" s="50">
        <f>304.75/1.3</f>
        <v>234.42307692307691</v>
      </c>
      <c r="E70" s="51"/>
      <c r="F70" s="51"/>
      <c r="G70" s="51"/>
      <c r="H70" s="51"/>
      <c r="I70" s="49">
        <f t="shared" si="2"/>
        <v>11.242307692307691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105</v>
      </c>
      <c r="B71" s="50">
        <f>402.63/1.3</f>
        <v>309.71538461538461</v>
      </c>
      <c r="C71" s="50">
        <v>9</v>
      </c>
      <c r="D71" s="50">
        <f>402.63/1.3</f>
        <v>309.71538461538461</v>
      </c>
      <c r="E71" s="51"/>
      <c r="F71" s="51"/>
      <c r="G71" s="51"/>
      <c r="H71" s="51"/>
      <c r="I71" s="49">
        <f t="shared" si="2"/>
        <v>7.5015384615384617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Pin maritime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10</v>
      </c>
      <c r="B88" s="60">
        <f>66.07/1.3</f>
        <v>50.823076923076918</v>
      </c>
      <c r="C88" s="60"/>
      <c r="D88" s="60"/>
      <c r="E88" s="51"/>
      <c r="F88" s="51"/>
      <c r="G88" s="51"/>
      <c r="H88" s="87"/>
      <c r="I88" s="53">
        <f>IFERROR(B88/A88,"")</f>
        <v>5.0823076923076922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15</v>
      </c>
      <c r="B89" s="60">
        <f>183.53/1.3</f>
        <v>141.17692307692306</v>
      </c>
      <c r="C89" s="60">
        <v>1</v>
      </c>
      <c r="D89" s="60">
        <f>64.72/1.3</f>
        <v>49.784615384615385</v>
      </c>
      <c r="E89" s="51"/>
      <c r="F89" s="51">
        <v>0.5</v>
      </c>
      <c r="G89" s="51">
        <v>0.5</v>
      </c>
      <c r="H89" s="87"/>
      <c r="I89" s="53">
        <f t="shared" ref="I89:I107" si="3">IF(A89&lt;&gt;0,(B89-(B88-D88))/(A89-A88),"")</f>
        <v>18.07076923076923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20</v>
      </c>
      <c r="B90" s="60">
        <f>238.82/1.3</f>
        <v>183.7076923076923</v>
      </c>
      <c r="C90" s="60">
        <v>2</v>
      </c>
      <c r="D90" s="60">
        <f>63.34/1.3</f>
        <v>48.723076923076924</v>
      </c>
      <c r="E90" s="87">
        <v>0.1</v>
      </c>
      <c r="F90" s="87">
        <v>0.45</v>
      </c>
      <c r="G90" s="87">
        <v>0.45</v>
      </c>
      <c r="H90" s="87"/>
      <c r="I90" s="53">
        <f t="shared" si="3"/>
        <v>18.463076923076926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26</v>
      </c>
      <c r="B91" s="60">
        <f>324.24/1.3</f>
        <v>249.41538461538462</v>
      </c>
      <c r="C91" s="60">
        <v>3</v>
      </c>
      <c r="D91" s="60">
        <f>61.08/1.3</f>
        <v>46.984615384615381</v>
      </c>
      <c r="E91" s="87">
        <v>0.2</v>
      </c>
      <c r="F91" s="87">
        <v>0.4</v>
      </c>
      <c r="G91" s="87">
        <v>0.4</v>
      </c>
      <c r="H91" s="87"/>
      <c r="I91" s="53">
        <f t="shared" si="3"/>
        <v>19.071794871794875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32</v>
      </c>
      <c r="B92" s="60">
        <f>414.43/1.3</f>
        <v>318.7923076923077</v>
      </c>
      <c r="C92" s="60">
        <v>4</v>
      </c>
      <c r="D92" s="60">
        <f>83.88/1.3</f>
        <v>64.523076923076914</v>
      </c>
      <c r="E92" s="87"/>
      <c r="F92" s="87"/>
      <c r="G92" s="87"/>
      <c r="H92" s="87"/>
      <c r="I92" s="53">
        <f t="shared" si="3"/>
        <v>19.393589743589743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40</v>
      </c>
      <c r="B93" s="60">
        <f>518.33/1.3</f>
        <v>398.71538461538461</v>
      </c>
      <c r="C93" s="60">
        <v>5</v>
      </c>
      <c r="D93" s="60">
        <f>120.46/1.3</f>
        <v>92.661538461538456</v>
      </c>
      <c r="E93" s="87"/>
      <c r="F93" s="87"/>
      <c r="G93" s="87"/>
      <c r="H93" s="87"/>
      <c r="I93" s="53">
        <f t="shared" si="3"/>
        <v>18.055769230769229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48</v>
      </c>
      <c r="B94" s="60">
        <f>556.07/1.3</f>
        <v>427.74615384615385</v>
      </c>
      <c r="C94" s="60">
        <v>6</v>
      </c>
      <c r="D94" s="60">
        <f>109.16/1.3</f>
        <v>83.969230769230762</v>
      </c>
      <c r="E94" s="87"/>
      <c r="F94" s="87"/>
      <c r="G94" s="87"/>
      <c r="H94" s="87"/>
      <c r="I94" s="53">
        <f t="shared" si="3"/>
        <v>15.21153846153846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56</v>
      </c>
      <c r="B95" s="60">
        <f>580.42/1.3</f>
        <v>446.47692307692301</v>
      </c>
      <c r="C95" s="60">
        <v>7</v>
      </c>
      <c r="D95" s="60">
        <f>580.42/1.3</f>
        <v>446.47692307692301</v>
      </c>
      <c r="E95" s="87"/>
      <c r="F95" s="87"/>
      <c r="G95" s="87"/>
      <c r="H95" s="87"/>
      <c r="I95" s="53">
        <f t="shared" si="3"/>
        <v>12.837499999999991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Pin laricio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20</v>
      </c>
      <c r="B114" s="60">
        <f>67+20</f>
        <v>87</v>
      </c>
      <c r="C114" s="50">
        <v>1</v>
      </c>
      <c r="D114" s="60">
        <v>20</v>
      </c>
      <c r="E114" s="51"/>
      <c r="F114" s="51">
        <v>0.5</v>
      </c>
      <c r="G114" s="51">
        <v>0.5</v>
      </c>
      <c r="H114" s="51"/>
      <c r="I114" s="53">
        <f>IFERROR(B114/A114,"")</f>
        <v>4.3499999999999996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30</v>
      </c>
      <c r="B115" s="60">
        <f>140+60</f>
        <v>200</v>
      </c>
      <c r="C115" s="50">
        <v>2</v>
      </c>
      <c r="D115" s="60">
        <v>60</v>
      </c>
      <c r="E115" s="51">
        <v>0.1</v>
      </c>
      <c r="F115" s="51">
        <v>0.45</v>
      </c>
      <c r="G115" s="51">
        <v>0.45</v>
      </c>
      <c r="H115" s="51"/>
      <c r="I115" s="53">
        <f t="shared" ref="I115:I133" si="4">IF(A115&lt;&gt;0,(B115-(B114-D114))/(A115-A114),"")</f>
        <v>13.3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40</v>
      </c>
      <c r="B116" s="60">
        <f>218+79</f>
        <v>297</v>
      </c>
      <c r="C116" s="50">
        <v>3</v>
      </c>
      <c r="D116" s="60">
        <v>79</v>
      </c>
      <c r="E116" s="51"/>
      <c r="F116" s="51"/>
      <c r="G116" s="51"/>
      <c r="H116" s="51"/>
      <c r="I116" s="53">
        <f t="shared" si="4"/>
        <v>15.7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50</v>
      </c>
      <c r="B117" s="60">
        <f>291+89</f>
        <v>380</v>
      </c>
      <c r="C117" s="50">
        <v>4</v>
      </c>
      <c r="D117" s="60">
        <v>89</v>
      </c>
      <c r="E117" s="51"/>
      <c r="F117" s="51"/>
      <c r="G117" s="51"/>
      <c r="H117" s="51"/>
      <c r="I117" s="53">
        <f t="shared" si="4"/>
        <v>16.2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60</v>
      </c>
      <c r="B118" s="60">
        <f>357+90</f>
        <v>447</v>
      </c>
      <c r="C118" s="50">
        <v>5</v>
      </c>
      <c r="D118" s="60">
        <v>90</v>
      </c>
      <c r="E118" s="51"/>
      <c r="F118" s="51"/>
      <c r="G118" s="51"/>
      <c r="H118" s="51"/>
      <c r="I118" s="53">
        <f t="shared" si="4"/>
        <v>15.6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70</v>
      </c>
      <c r="B119" s="60">
        <f>412+86</f>
        <v>498</v>
      </c>
      <c r="C119" s="50">
        <v>6</v>
      </c>
      <c r="D119" s="60">
        <v>86</v>
      </c>
      <c r="E119" s="51"/>
      <c r="F119" s="51"/>
      <c r="G119" s="51"/>
      <c r="H119" s="51"/>
      <c r="I119" s="53">
        <f t="shared" si="4"/>
        <v>14.1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80</v>
      </c>
      <c r="B120" s="60">
        <f>459+78</f>
        <v>537</v>
      </c>
      <c r="C120" s="60">
        <v>7</v>
      </c>
      <c r="D120" s="60">
        <v>78</v>
      </c>
      <c r="E120" s="87"/>
      <c r="F120" s="87"/>
      <c r="G120" s="87"/>
      <c r="H120" s="87"/>
      <c r="I120" s="53">
        <f t="shared" si="4"/>
        <v>12.5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90</v>
      </c>
      <c r="B121" s="60">
        <f>497+70</f>
        <v>567</v>
      </c>
      <c r="C121" s="60">
        <v>8</v>
      </c>
      <c r="D121" s="60">
        <v>70</v>
      </c>
      <c r="E121" s="87"/>
      <c r="F121" s="87"/>
      <c r="G121" s="87"/>
      <c r="H121" s="87"/>
      <c r="I121" s="53">
        <f t="shared" si="4"/>
        <v>10.8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Erable sycomore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10</v>
      </c>
      <c r="B140" s="60">
        <v>11</v>
      </c>
      <c r="C140" s="50"/>
      <c r="D140" s="60"/>
      <c r="E140" s="51"/>
      <c r="F140" s="51">
        <v>0.25</v>
      </c>
      <c r="G140" s="51">
        <v>0.25</v>
      </c>
      <c r="H140" s="51">
        <v>0.5</v>
      </c>
      <c r="I140" s="57">
        <f>IFERROR(B140/A140,"")</f>
        <v>1.1000000000000001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20</v>
      </c>
      <c r="B141" s="60">
        <v>134</v>
      </c>
      <c r="C141" s="50">
        <v>1</v>
      </c>
      <c r="D141" s="60">
        <f>32+35</f>
        <v>67</v>
      </c>
      <c r="E141" s="51"/>
      <c r="F141" s="51">
        <v>0.25</v>
      </c>
      <c r="G141" s="51">
        <v>0.25</v>
      </c>
      <c r="H141" s="51">
        <v>0.5</v>
      </c>
      <c r="I141" s="57">
        <f t="shared" ref="I141:I159" si="5">IF(A141&lt;&gt;0,(B141-(B140-D140))/(A141-A140),"")</f>
        <v>12.3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30</v>
      </c>
      <c r="B142" s="60">
        <v>212</v>
      </c>
      <c r="C142" s="50">
        <v>2</v>
      </c>
      <c r="D142" s="60">
        <f>35+35</f>
        <v>70</v>
      </c>
      <c r="E142" s="51">
        <v>0.1</v>
      </c>
      <c r="F142" s="51">
        <v>0.45</v>
      </c>
      <c r="G142" s="51">
        <v>0.45</v>
      </c>
      <c r="H142" s="51"/>
      <c r="I142" s="57">
        <f t="shared" si="5"/>
        <v>14.5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40</v>
      </c>
      <c r="B143" s="60">
        <v>263</v>
      </c>
      <c r="C143" s="50">
        <v>3</v>
      </c>
      <c r="D143" s="60">
        <f>35+35</f>
        <v>70</v>
      </c>
      <c r="E143" s="51"/>
      <c r="F143" s="51"/>
      <c r="G143" s="51"/>
      <c r="H143" s="51"/>
      <c r="I143" s="57">
        <f t="shared" si="5"/>
        <v>12.1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50</v>
      </c>
      <c r="B144" s="60">
        <v>285</v>
      </c>
      <c r="C144" s="50">
        <v>4</v>
      </c>
      <c r="D144" s="60">
        <f>24+19</f>
        <v>43</v>
      </c>
      <c r="E144" s="51"/>
      <c r="F144" s="51"/>
      <c r="G144" s="51"/>
      <c r="H144" s="51"/>
      <c r="I144" s="57">
        <f t="shared" si="5"/>
        <v>9.1999999999999993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60</v>
      </c>
      <c r="B145" s="60">
        <v>310</v>
      </c>
      <c r="C145" s="50">
        <v>5</v>
      </c>
      <c r="D145" s="60">
        <f>16+14</f>
        <v>30</v>
      </c>
      <c r="E145" s="51"/>
      <c r="F145" s="51"/>
      <c r="G145" s="51"/>
      <c r="H145" s="51"/>
      <c r="I145" s="57">
        <f t="shared" si="5"/>
        <v>6.8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70</v>
      </c>
      <c r="B146" s="60">
        <v>329</v>
      </c>
      <c r="C146" s="50">
        <v>6</v>
      </c>
      <c r="D146" s="60">
        <f>13+13</f>
        <v>26</v>
      </c>
      <c r="E146" s="51"/>
      <c r="F146" s="51"/>
      <c r="G146" s="51"/>
      <c r="H146" s="51"/>
      <c r="I146" s="57">
        <f t="shared" si="5"/>
        <v>4.9000000000000004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80</v>
      </c>
      <c r="B147" s="60">
        <f>319+12+11</f>
        <v>342</v>
      </c>
      <c r="C147" s="50">
        <v>7</v>
      </c>
      <c r="D147" s="60">
        <f>B147</f>
        <v>342</v>
      </c>
      <c r="E147" s="51"/>
      <c r="F147" s="51"/>
      <c r="G147" s="51"/>
      <c r="H147" s="51"/>
      <c r="I147" s="57">
        <f>IF(A147&lt;&gt;0,(B147-(B146-D146))/(A147-A146),"")</f>
        <v>3.9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Chêne pubescent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30</v>
      </c>
      <c r="B166" s="60">
        <f>190.14/1.56</f>
        <v>121.88461538461537</v>
      </c>
      <c r="C166" s="60"/>
      <c r="D166" s="60"/>
      <c r="E166" s="51"/>
      <c r="F166" s="51"/>
      <c r="G166" s="51"/>
      <c r="H166" s="51"/>
      <c r="I166" s="49">
        <f>IFERROR(B166/A166,"")</f>
        <v>4.0628205128205126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35</v>
      </c>
      <c r="B167" s="60">
        <f>252.98/1.56</f>
        <v>162.16666666666666</v>
      </c>
      <c r="C167" s="60">
        <v>1</v>
      </c>
      <c r="D167" s="60">
        <f>94.54/1.56</f>
        <v>60.602564102564102</v>
      </c>
      <c r="E167" s="51"/>
      <c r="F167" s="51"/>
      <c r="G167" s="51"/>
      <c r="H167" s="51"/>
      <c r="I167" s="49">
        <f t="shared" ref="I167:I185" si="6">IF(A167&lt;&gt;0,(B167-(B166-D166))/(A167-A166),"")</f>
        <v>8.0564102564102562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41</v>
      </c>
      <c r="B168" s="60">
        <f>245.62/1.56</f>
        <v>157.44871794871796</v>
      </c>
      <c r="C168" s="60">
        <v>2</v>
      </c>
      <c r="D168" s="60">
        <f>60.08/1.56</f>
        <v>38.512820512820511</v>
      </c>
      <c r="E168" s="51"/>
      <c r="F168" s="51"/>
      <c r="G168" s="51"/>
      <c r="H168" s="51"/>
      <c r="I168" s="49">
        <f t="shared" si="6"/>
        <v>9.3141025641025674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48</v>
      </c>
      <c r="B169" s="60">
        <f>287.59/1.56</f>
        <v>184.35256410256409</v>
      </c>
      <c r="C169" s="60">
        <v>3</v>
      </c>
      <c r="D169" s="60">
        <f>74.92/1.56</f>
        <v>48.025641025641022</v>
      </c>
      <c r="E169" s="51"/>
      <c r="F169" s="51"/>
      <c r="G169" s="51"/>
      <c r="H169" s="51"/>
      <c r="I169" s="49">
        <f t="shared" si="6"/>
        <v>9.3452380952380913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55</v>
      </c>
      <c r="B170" s="60">
        <f>309.57/1.56</f>
        <v>198.44230769230768</v>
      </c>
      <c r="C170" s="60">
        <v>4</v>
      </c>
      <c r="D170" s="60">
        <f>70.43/1.56</f>
        <v>45.147435897435898</v>
      </c>
      <c r="E170" s="51"/>
      <c r="F170" s="51"/>
      <c r="G170" s="51"/>
      <c r="H170" s="51"/>
      <c r="I170" s="49">
        <f t="shared" si="6"/>
        <v>8.8736263736263741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63</v>
      </c>
      <c r="B171" s="60">
        <f>343.65/1.56</f>
        <v>220.28846153846152</v>
      </c>
      <c r="C171" s="60">
        <v>5</v>
      </c>
      <c r="D171" s="60">
        <f>65.09/1.56</f>
        <v>41.724358974358978</v>
      </c>
      <c r="E171" s="51"/>
      <c r="F171" s="51"/>
      <c r="G171" s="51"/>
      <c r="H171" s="51"/>
      <c r="I171" s="49">
        <f t="shared" si="6"/>
        <v>8.374198717948719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71</v>
      </c>
      <c r="B172" s="60">
        <f>379.65/1.56</f>
        <v>243.36538461538458</v>
      </c>
      <c r="C172" s="60">
        <v>6</v>
      </c>
      <c r="D172" s="60">
        <f>62.3/1.56</f>
        <v>39.935897435897431</v>
      </c>
      <c r="E172" s="51"/>
      <c r="F172" s="51"/>
      <c r="G172" s="51"/>
      <c r="H172" s="51"/>
      <c r="I172" s="49">
        <f t="shared" si="6"/>
        <v>8.1001602564102555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80</v>
      </c>
      <c r="B173" s="50">
        <f>427.46/1.56</f>
        <v>274.0128205128205</v>
      </c>
      <c r="C173" s="50">
        <v>7</v>
      </c>
      <c r="D173" s="50">
        <f>71.15/1.56</f>
        <v>45.608974358974358</v>
      </c>
      <c r="E173" s="51"/>
      <c r="F173" s="51"/>
      <c r="G173" s="51"/>
      <c r="H173" s="51"/>
      <c r="I173" s="49">
        <f t="shared" si="6"/>
        <v>7.8425925925925934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89</v>
      </c>
      <c r="B174" s="50">
        <f>461.54/1.56</f>
        <v>295.85897435897436</v>
      </c>
      <c r="C174" s="50">
        <v>8</v>
      </c>
      <c r="D174" s="50">
        <f>77.05/1.56</f>
        <v>49.391025641025635</v>
      </c>
      <c r="E174" s="51"/>
      <c r="F174" s="51"/>
      <c r="G174" s="51"/>
      <c r="H174" s="51"/>
      <c r="I174" s="49">
        <f t="shared" si="6"/>
        <v>7.4950142450142483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>
        <v>99</v>
      </c>
      <c r="B175" s="50">
        <f>496.47/1.56</f>
        <v>318.25</v>
      </c>
      <c r="C175" s="50">
        <v>9</v>
      </c>
      <c r="D175" s="50">
        <f>74.91/1.56</f>
        <v>48.019230769230766</v>
      </c>
      <c r="E175" s="51"/>
      <c r="F175" s="51"/>
      <c r="G175" s="51"/>
      <c r="H175" s="51"/>
      <c r="I175" s="49">
        <f t="shared" si="6"/>
        <v>7.1782051282051267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>
        <v>109</v>
      </c>
      <c r="B176" s="50">
        <f>530.66/1.56</f>
        <v>340.16666666666663</v>
      </c>
      <c r="C176" s="50">
        <v>10</v>
      </c>
      <c r="D176" s="50">
        <f>80.01/1.56</f>
        <v>51.28846153846154</v>
      </c>
      <c r="E176" s="51"/>
      <c r="F176" s="51"/>
      <c r="G176" s="51"/>
      <c r="H176" s="51"/>
      <c r="I176" s="49">
        <f t="shared" si="6"/>
        <v>6.9935897435897401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>
        <v>119</v>
      </c>
      <c r="B177" s="50">
        <f>557.45/1.56</f>
        <v>357.33974358974359</v>
      </c>
      <c r="C177" s="50">
        <v>11</v>
      </c>
      <c r="D177" s="50">
        <f>234.04/1.56</f>
        <v>150.02564102564102</v>
      </c>
      <c r="E177" s="51"/>
      <c r="F177" s="51"/>
      <c r="G177" s="51"/>
      <c r="H177" s="51"/>
      <c r="I177" s="49">
        <f t="shared" si="6"/>
        <v>6.8461538461538511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>
        <v>123</v>
      </c>
      <c r="B178" s="50">
        <f>347.31/1.56</f>
        <v>222.63461538461539</v>
      </c>
      <c r="C178" s="50">
        <v>12</v>
      </c>
      <c r="D178" s="50">
        <f>120.39/1.56</f>
        <v>77.17307692307692</v>
      </c>
      <c r="E178" s="51"/>
      <c r="F178" s="51"/>
      <c r="G178" s="51"/>
      <c r="H178" s="51"/>
      <c r="I178" s="49">
        <f t="shared" si="6"/>
        <v>3.8301282051282044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>
        <v>127</v>
      </c>
      <c r="B179" s="50">
        <f>241.49/1.56</f>
        <v>154.80128205128204</v>
      </c>
      <c r="C179" s="50">
        <v>13</v>
      </c>
      <c r="D179" s="50">
        <f>77.87/1.56</f>
        <v>49.916666666666671</v>
      </c>
      <c r="E179" s="51"/>
      <c r="F179" s="51"/>
      <c r="G179" s="51"/>
      <c r="H179" s="51"/>
      <c r="I179" s="49">
        <f t="shared" si="6"/>
        <v>2.3349358974358978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>
        <v>131</v>
      </c>
      <c r="B180" s="50">
        <f>173.02/1.56</f>
        <v>110.91025641025641</v>
      </c>
      <c r="C180" s="50">
        <v>14</v>
      </c>
      <c r="D180" s="50">
        <f>173.02/1.56</f>
        <v>110.91025641025641</v>
      </c>
      <c r="E180" s="51"/>
      <c r="F180" s="51"/>
      <c r="G180" s="51"/>
      <c r="H180" s="51"/>
      <c r="I180" s="49">
        <f t="shared" si="6"/>
        <v>1.5064102564102591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Tilleul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>
        <v>10</v>
      </c>
      <c r="B192" s="60">
        <v>11</v>
      </c>
      <c r="C192" s="60"/>
      <c r="D192" s="60"/>
      <c r="E192" s="51"/>
      <c r="F192" s="51">
        <v>0.25</v>
      </c>
      <c r="G192" s="51">
        <v>0.25</v>
      </c>
      <c r="H192" s="51">
        <v>0.5</v>
      </c>
      <c r="I192" s="49">
        <f>IFERROR(B192/A192,"")</f>
        <v>1.1000000000000001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>
        <v>20</v>
      </c>
      <c r="B193" s="60">
        <v>134</v>
      </c>
      <c r="C193" s="60">
        <v>1</v>
      </c>
      <c r="D193" s="60">
        <f>32+35</f>
        <v>67</v>
      </c>
      <c r="E193" s="51"/>
      <c r="F193" s="51">
        <v>0.25</v>
      </c>
      <c r="G193" s="51">
        <v>0.25</v>
      </c>
      <c r="H193" s="51">
        <v>0.5</v>
      </c>
      <c r="I193" s="49">
        <f t="shared" ref="I193:I211" si="7">IF(A193&lt;&gt;0,(B193-(B192-D192))/(A193-A192),"")</f>
        <v>12.3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>
        <v>30</v>
      </c>
      <c r="B194" s="60">
        <v>212</v>
      </c>
      <c r="C194" s="60">
        <v>2</v>
      </c>
      <c r="D194" s="60">
        <f>35+35</f>
        <v>70</v>
      </c>
      <c r="E194" s="51">
        <v>0.1</v>
      </c>
      <c r="F194" s="51">
        <v>0.45</v>
      </c>
      <c r="G194" s="51">
        <v>0.45</v>
      </c>
      <c r="H194" s="51"/>
      <c r="I194" s="49">
        <f t="shared" si="7"/>
        <v>14.5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>
        <v>40</v>
      </c>
      <c r="B195" s="60">
        <v>263</v>
      </c>
      <c r="C195" s="60">
        <v>3</v>
      </c>
      <c r="D195" s="60">
        <f>35+35</f>
        <v>70</v>
      </c>
      <c r="E195" s="51"/>
      <c r="F195" s="51"/>
      <c r="G195" s="51"/>
      <c r="H195" s="51"/>
      <c r="I195" s="49">
        <f t="shared" si="7"/>
        <v>12.1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>
        <v>50</v>
      </c>
      <c r="B196" s="60">
        <v>285</v>
      </c>
      <c r="C196" s="60">
        <v>4</v>
      </c>
      <c r="D196" s="60">
        <f>24+19</f>
        <v>43</v>
      </c>
      <c r="E196" s="51"/>
      <c r="F196" s="51"/>
      <c r="G196" s="51"/>
      <c r="H196" s="51"/>
      <c r="I196" s="49">
        <f t="shared" si="7"/>
        <v>9.1999999999999993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>
        <v>60</v>
      </c>
      <c r="B197" s="60">
        <v>310</v>
      </c>
      <c r="C197" s="60">
        <v>5</v>
      </c>
      <c r="D197" s="60">
        <f>16+14</f>
        <v>30</v>
      </c>
      <c r="E197" s="51"/>
      <c r="F197" s="51"/>
      <c r="G197" s="51"/>
      <c r="H197" s="51"/>
      <c r="I197" s="49">
        <f t="shared" si="7"/>
        <v>6.8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>
        <v>70</v>
      </c>
      <c r="B198" s="60">
        <v>329</v>
      </c>
      <c r="C198" s="60">
        <v>6</v>
      </c>
      <c r="D198" s="60">
        <f>13+13</f>
        <v>26</v>
      </c>
      <c r="E198" s="51"/>
      <c r="F198" s="51"/>
      <c r="G198" s="51"/>
      <c r="H198" s="51"/>
      <c r="I198" s="49">
        <f t="shared" si="7"/>
        <v>4.9000000000000004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>
        <v>80</v>
      </c>
      <c r="B199" s="50">
        <f>319+12+11</f>
        <v>342</v>
      </c>
      <c r="C199" s="50">
        <v>7</v>
      </c>
      <c r="D199" s="50">
        <f>B199</f>
        <v>342</v>
      </c>
      <c r="E199" s="51"/>
      <c r="F199" s="51"/>
      <c r="G199" s="51"/>
      <c r="H199" s="51"/>
      <c r="I199" s="49">
        <f t="shared" si="7"/>
        <v>3.9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>Cormier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>
        <v>30</v>
      </c>
      <c r="B218" s="60">
        <f>190.14/1.56</f>
        <v>121.88461538461537</v>
      </c>
      <c r="C218" s="50"/>
      <c r="D218" s="60"/>
      <c r="E218" s="63"/>
      <c r="F218" s="63"/>
      <c r="G218" s="63"/>
      <c r="H218" s="63"/>
      <c r="I218" s="53">
        <f>IFERROR(B218/A218,"")</f>
        <v>4.0628205128205126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>
        <v>35</v>
      </c>
      <c r="B219" s="60">
        <f>252.98/1.56</f>
        <v>162.16666666666666</v>
      </c>
      <c r="C219" s="50">
        <v>1</v>
      </c>
      <c r="D219" s="60">
        <f>94.54/1.56</f>
        <v>60.602564102564102</v>
      </c>
      <c r="E219" s="63"/>
      <c r="F219" s="63"/>
      <c r="G219" s="63"/>
      <c r="H219" s="63"/>
      <c r="I219" s="53">
        <f t="shared" ref="I219:I237" si="8">IF(A219&lt;&gt;0,(B219-(B218-D218))/(A219-A218),"")</f>
        <v>8.0564102564102562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>
        <v>41</v>
      </c>
      <c r="B220" s="60">
        <f>245.62/1.56</f>
        <v>157.44871794871796</v>
      </c>
      <c r="C220" s="50">
        <v>2</v>
      </c>
      <c r="D220" s="60">
        <f>60.08/1.56</f>
        <v>38.512820512820511</v>
      </c>
      <c r="E220" s="63"/>
      <c r="F220" s="63"/>
      <c r="G220" s="63"/>
      <c r="H220" s="63"/>
      <c r="I220" s="53">
        <f t="shared" si="8"/>
        <v>9.3141025641025674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>
        <v>48</v>
      </c>
      <c r="B221" s="55">
        <f>287.59/1.56</f>
        <v>184.35256410256409</v>
      </c>
      <c r="C221" s="55">
        <v>3</v>
      </c>
      <c r="D221" s="55">
        <f>74.92/1.56</f>
        <v>48.025641025641022</v>
      </c>
      <c r="E221" s="63"/>
      <c r="F221" s="63"/>
      <c r="G221" s="63"/>
      <c r="H221" s="63"/>
      <c r="I221" s="53">
        <f t="shared" si="8"/>
        <v>9.3452380952380913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>
        <v>55</v>
      </c>
      <c r="B222" s="55">
        <f>309.57/1.56</f>
        <v>198.44230769230768</v>
      </c>
      <c r="C222" s="55">
        <v>4</v>
      </c>
      <c r="D222" s="55">
        <f>70.43/1.56</f>
        <v>45.147435897435898</v>
      </c>
      <c r="E222" s="63"/>
      <c r="F222" s="63"/>
      <c r="G222" s="63"/>
      <c r="H222" s="63"/>
      <c r="I222" s="53">
        <f t="shared" si="8"/>
        <v>8.8736263736263741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>
        <v>63</v>
      </c>
      <c r="B223" s="55">
        <f>343.65/1.56</f>
        <v>220.28846153846152</v>
      </c>
      <c r="C223" s="55">
        <v>5</v>
      </c>
      <c r="D223" s="55">
        <f>65.09/1.56</f>
        <v>41.724358974358978</v>
      </c>
      <c r="E223" s="63"/>
      <c r="F223" s="63"/>
      <c r="G223" s="63"/>
      <c r="H223" s="63"/>
      <c r="I223" s="53">
        <f t="shared" si="8"/>
        <v>8.374198717948719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>
        <v>71</v>
      </c>
      <c r="B224" s="55">
        <f>379.65/1.56</f>
        <v>243.36538461538458</v>
      </c>
      <c r="C224" s="55">
        <v>6</v>
      </c>
      <c r="D224" s="55">
        <f>62.3/1.56</f>
        <v>39.935897435897431</v>
      </c>
      <c r="E224" s="63"/>
      <c r="F224" s="63"/>
      <c r="G224" s="63"/>
      <c r="H224" s="63"/>
      <c r="I224" s="53">
        <f t="shared" si="8"/>
        <v>8.1001602564102555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>
        <v>80</v>
      </c>
      <c r="B225" s="55">
        <f>427.46/1.56</f>
        <v>274.0128205128205</v>
      </c>
      <c r="C225" s="55">
        <v>7</v>
      </c>
      <c r="D225" s="55">
        <f>71.15/1.56</f>
        <v>45.608974358974358</v>
      </c>
      <c r="E225" s="63"/>
      <c r="F225" s="63"/>
      <c r="G225" s="63"/>
      <c r="H225" s="63"/>
      <c r="I225" s="53">
        <f t="shared" si="8"/>
        <v>7.8425925925925934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>
        <v>89</v>
      </c>
      <c r="B226" s="55">
        <f>461.54/1.56</f>
        <v>295.85897435897436</v>
      </c>
      <c r="C226" s="55">
        <v>8</v>
      </c>
      <c r="D226" s="55">
        <f>77.05/1.56</f>
        <v>49.391025641025635</v>
      </c>
      <c r="E226" s="63"/>
      <c r="F226" s="63"/>
      <c r="G226" s="63"/>
      <c r="H226" s="63"/>
      <c r="I226" s="53">
        <f t="shared" si="8"/>
        <v>7.4950142450142483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>
        <v>99</v>
      </c>
      <c r="B227" s="55">
        <f>496.47/1.56</f>
        <v>318.25</v>
      </c>
      <c r="C227" s="55">
        <v>9</v>
      </c>
      <c r="D227" s="55">
        <f>74.91/1.56</f>
        <v>48.019230769230766</v>
      </c>
      <c r="E227" s="63"/>
      <c r="F227" s="63"/>
      <c r="G227" s="63"/>
      <c r="H227" s="63"/>
      <c r="I227" s="53">
        <f t="shared" si="8"/>
        <v>7.1782051282051267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>
        <v>109</v>
      </c>
      <c r="B228" s="55">
        <f>530.66/1.56</f>
        <v>340.16666666666663</v>
      </c>
      <c r="C228" s="55">
        <v>10</v>
      </c>
      <c r="D228" s="55">
        <f>80.01/1.56</f>
        <v>51.28846153846154</v>
      </c>
      <c r="E228" s="63"/>
      <c r="F228" s="63"/>
      <c r="G228" s="63"/>
      <c r="H228" s="63"/>
      <c r="I228" s="53">
        <f t="shared" si="8"/>
        <v>6.9935897435897401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>
        <v>119</v>
      </c>
      <c r="B229" s="55">
        <f>557.45/1.56</f>
        <v>357.33974358974359</v>
      </c>
      <c r="C229" s="55">
        <v>11</v>
      </c>
      <c r="D229" s="55">
        <f>234.04/1.56</f>
        <v>150.02564102564102</v>
      </c>
      <c r="E229" s="63"/>
      <c r="F229" s="63"/>
      <c r="G229" s="63"/>
      <c r="H229" s="63"/>
      <c r="I229" s="53">
        <f t="shared" si="8"/>
        <v>6.8461538461538511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>
        <v>123</v>
      </c>
      <c r="B230" s="55">
        <f>347.31/1.56</f>
        <v>222.63461538461539</v>
      </c>
      <c r="C230" s="55">
        <v>12</v>
      </c>
      <c r="D230" s="55">
        <f>120.39/1.56</f>
        <v>77.17307692307692</v>
      </c>
      <c r="E230" s="64"/>
      <c r="F230" s="64"/>
      <c r="G230" s="64"/>
      <c r="H230" s="64"/>
      <c r="I230" s="53">
        <f t="shared" si="8"/>
        <v>3.8301282051282044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>
        <v>127</v>
      </c>
      <c r="B231" s="60">
        <f>241.49/1.56</f>
        <v>154.80128205128204</v>
      </c>
      <c r="C231" s="88">
        <v>13</v>
      </c>
      <c r="D231" s="60">
        <f>77.87/1.56</f>
        <v>49.916666666666671</v>
      </c>
      <c r="E231" s="54"/>
      <c r="F231" s="54"/>
      <c r="G231" s="54"/>
      <c r="H231" s="54"/>
      <c r="I231" s="53">
        <f t="shared" si="8"/>
        <v>2.3349358974358978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>
        <v>131</v>
      </c>
      <c r="B232" s="50">
        <f>173.02/1.56</f>
        <v>110.91025641025641</v>
      </c>
      <c r="C232" s="50">
        <v>14</v>
      </c>
      <c r="D232" s="50">
        <f>173.02/1.56</f>
        <v>110.91025641025641</v>
      </c>
      <c r="E232" s="54"/>
      <c r="F232" s="54"/>
      <c r="G232" s="54"/>
      <c r="H232" s="54"/>
      <c r="I232" s="53">
        <f t="shared" si="8"/>
        <v>1.5064102564102591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>Cèdre de l'Atlas</v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>
        <v>30</v>
      </c>
      <c r="B244" s="60">
        <f>191.43/1.3</f>
        <v>147.25384615384615</v>
      </c>
      <c r="C244" s="60"/>
      <c r="D244" s="60"/>
      <c r="E244" s="51"/>
      <c r="F244" s="51"/>
      <c r="G244" s="51"/>
      <c r="H244" s="63"/>
      <c r="I244" s="53">
        <f>IFERROR(B244/A244,"")</f>
        <v>4.9084615384615384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>
        <v>51</v>
      </c>
      <c r="B245" s="60">
        <f>503.84/1.3</f>
        <v>387.56923076923073</v>
      </c>
      <c r="C245" s="60">
        <v>1</v>
      </c>
      <c r="D245" s="60">
        <f>221.21/1.3</f>
        <v>170.16153846153847</v>
      </c>
      <c r="E245" s="63"/>
      <c r="F245" s="63"/>
      <c r="G245" s="63"/>
      <c r="H245" s="63"/>
      <c r="I245" s="53">
        <f>IF(A245&lt;&gt;0,(B245-(B244-D244))/(A245-A244),"")</f>
        <v>11.443589743589742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>
        <v>61</v>
      </c>
      <c r="B246" s="60">
        <f>427.85/1.3</f>
        <v>329.11538461538464</v>
      </c>
      <c r="C246" s="60">
        <v>2</v>
      </c>
      <c r="D246" s="60">
        <f>123.19/1.3</f>
        <v>94.76153846153845</v>
      </c>
      <c r="E246" s="63"/>
      <c r="F246" s="63"/>
      <c r="G246" s="63"/>
      <c r="H246" s="63"/>
      <c r="I246" s="53">
        <f>IF(A246&lt;&gt;0,(B246-(B245-D245))/(A246-A245),"")</f>
        <v>11.170769230769238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>
        <v>73</v>
      </c>
      <c r="B247" s="60">
        <f>465.57/1.3</f>
        <v>358.1307692307692</v>
      </c>
      <c r="C247" s="60">
        <v>3</v>
      </c>
      <c r="D247" s="60">
        <f>121.66/1.3</f>
        <v>93.584615384615375</v>
      </c>
      <c r="E247" s="63"/>
      <c r="F247" s="63"/>
      <c r="G247" s="63"/>
      <c r="H247" s="63"/>
      <c r="I247" s="53">
        <f t="shared" ref="I247:I263" si="9">IF(A247&lt;&gt;0,(B247-(B246-D246))/(A247-A246),"")</f>
        <v>10.314743589743586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>
        <v>85</v>
      </c>
      <c r="B248" s="60">
        <f>492.48/1.3</f>
        <v>378.83076923076925</v>
      </c>
      <c r="C248" s="60">
        <v>4</v>
      </c>
      <c r="D248" s="60">
        <f>110.77/1.3</f>
        <v>85.207692307692298</v>
      </c>
      <c r="E248" s="63"/>
      <c r="F248" s="63"/>
      <c r="G248" s="63"/>
      <c r="H248" s="63"/>
      <c r="I248" s="53">
        <f t="shared" si="9"/>
        <v>9.52371794871795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>
        <v>97</v>
      </c>
      <c r="B249" s="60">
        <f>517.76/1.3</f>
        <v>398.27692307692308</v>
      </c>
      <c r="C249" s="60">
        <v>5</v>
      </c>
      <c r="D249" s="60">
        <f>103.57/1.3</f>
        <v>79.669230769230765</v>
      </c>
      <c r="E249" s="63"/>
      <c r="F249" s="63"/>
      <c r="G249" s="63"/>
      <c r="H249" s="63"/>
      <c r="I249" s="53">
        <f t="shared" si="9"/>
        <v>8.7211538461538449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>
        <v>109</v>
      </c>
      <c r="B250" s="60">
        <f>537.16/1.3</f>
        <v>413.2</v>
      </c>
      <c r="C250" s="60">
        <v>6</v>
      </c>
      <c r="D250" s="60">
        <f>104.85/1.3</f>
        <v>80.653846153846146</v>
      </c>
      <c r="E250" s="63"/>
      <c r="F250" s="63"/>
      <c r="G250" s="63"/>
      <c r="H250" s="63"/>
      <c r="I250" s="53">
        <f t="shared" si="9"/>
        <v>7.882692307692305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>
        <v>121</v>
      </c>
      <c r="B251" s="55">
        <f>542.89/1.3</f>
        <v>417.60769230769228</v>
      </c>
      <c r="C251" s="55">
        <v>7</v>
      </c>
      <c r="D251" s="55">
        <f>269.2/1.3</f>
        <v>207.07692307692307</v>
      </c>
      <c r="E251" s="63"/>
      <c r="F251" s="63"/>
      <c r="G251" s="63"/>
      <c r="H251" s="63"/>
      <c r="I251" s="53">
        <f t="shared" si="9"/>
        <v>7.0884615384615346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>
        <v>131</v>
      </c>
      <c r="B252" s="55">
        <f>337.5/1.3</f>
        <v>259.61538461538458</v>
      </c>
      <c r="C252" s="55">
        <v>8</v>
      </c>
      <c r="D252" s="55">
        <f>337.5/1.3</f>
        <v>259.61538461538458</v>
      </c>
      <c r="E252" s="63"/>
      <c r="F252" s="63"/>
      <c r="G252" s="63"/>
      <c r="H252" s="63"/>
      <c r="I252" s="53">
        <f t="shared" si="9"/>
        <v>4.9084615384615375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>Pin maritime</v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>
        <v>17</v>
      </c>
      <c r="B270" s="60">
        <f>164.23/1.3</f>
        <v>126.33076923076922</v>
      </c>
      <c r="C270" s="50">
        <v>1</v>
      </c>
      <c r="D270" s="60">
        <f>54.71/1.3</f>
        <v>42.084615384615383</v>
      </c>
      <c r="E270" s="51"/>
      <c r="F270" s="51">
        <v>0.5</v>
      </c>
      <c r="G270" s="51">
        <v>0.5</v>
      </c>
      <c r="H270" s="51"/>
      <c r="I270" s="53">
        <f>IFERROR(B270/A270,"")</f>
        <v>7.4312217194570129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>
        <v>23</v>
      </c>
      <c r="B271" s="60">
        <f>225.95/1.3</f>
        <v>173.80769230769229</v>
      </c>
      <c r="C271" s="50">
        <v>2</v>
      </c>
      <c r="D271" s="60">
        <f>70.33/1.3</f>
        <v>54.099999999999994</v>
      </c>
      <c r="E271" s="51"/>
      <c r="F271" s="51">
        <v>0.5</v>
      </c>
      <c r="G271" s="51">
        <v>0.5</v>
      </c>
      <c r="H271" s="51"/>
      <c r="I271" s="53">
        <f>IF(A271&lt;&gt;0,(B271-(B270-D270))/(A271-A270),"")</f>
        <v>14.926923076923075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>
        <v>29</v>
      </c>
      <c r="B272" s="60">
        <f>273.19/1.3</f>
        <v>210.14615384615385</v>
      </c>
      <c r="C272" s="50">
        <v>3</v>
      </c>
      <c r="D272" s="60">
        <f>61.96/1.3</f>
        <v>47.661538461538463</v>
      </c>
      <c r="E272" s="51">
        <v>0.1</v>
      </c>
      <c r="F272" s="51">
        <v>0.45</v>
      </c>
      <c r="G272" s="51">
        <v>0.45</v>
      </c>
      <c r="H272" s="51"/>
      <c r="I272" s="53">
        <f t="shared" ref="I272:I289" si="10">IF(A272&lt;&gt;0,(B272-(B271-D271))/(A272-A271),"")</f>
        <v>15.073076923076925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>
        <v>36</v>
      </c>
      <c r="B273" s="60">
        <f>341.35/1.3</f>
        <v>262.57692307692309</v>
      </c>
      <c r="C273" s="50">
        <v>4</v>
      </c>
      <c r="D273" s="60">
        <f>83.92/1.3</f>
        <v>64.553846153846152</v>
      </c>
      <c r="E273" s="51"/>
      <c r="F273" s="51"/>
      <c r="G273" s="51"/>
      <c r="H273" s="51"/>
      <c r="I273" s="53">
        <f t="shared" si="10"/>
        <v>14.298901098901101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>
        <v>44</v>
      </c>
      <c r="B274" s="60">
        <f>394.1/1.3</f>
        <v>303.15384615384619</v>
      </c>
      <c r="C274" s="50">
        <v>5</v>
      </c>
      <c r="D274" s="60">
        <f>83.82/1.3</f>
        <v>64.476923076923072</v>
      </c>
      <c r="E274" s="51"/>
      <c r="F274" s="51"/>
      <c r="G274" s="51"/>
      <c r="H274" s="51"/>
      <c r="I274" s="53">
        <f t="shared" si="10"/>
        <v>13.141346153846158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>
        <v>52</v>
      </c>
      <c r="B275" s="60">
        <f>431.36/1.3</f>
        <v>331.81538461538463</v>
      </c>
      <c r="C275" s="50">
        <v>6</v>
      </c>
      <c r="D275" s="60">
        <f>80.32/1.3</f>
        <v>61.784615384615378</v>
      </c>
      <c r="E275" s="63"/>
      <c r="F275" s="63"/>
      <c r="G275" s="63"/>
      <c r="H275" s="63"/>
      <c r="I275" s="53">
        <f t="shared" si="10"/>
        <v>11.642307692307689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>
        <v>60</v>
      </c>
      <c r="B276" s="60">
        <f>459.55/1.3</f>
        <v>353.5</v>
      </c>
      <c r="C276" s="50">
        <v>7</v>
      </c>
      <c r="D276" s="60">
        <f>459.55/1.3</f>
        <v>353.5</v>
      </c>
      <c r="E276" s="63"/>
      <c r="F276" s="63"/>
      <c r="G276" s="63"/>
      <c r="H276" s="63"/>
      <c r="I276" s="53">
        <f t="shared" si="10"/>
        <v>10.433653846153845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1" sqref="G21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Cèdre de l'Atlas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Pin maritime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Pin laricio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Erable sycomore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Chêne pubescent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Tilleul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>Cormier</v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>Cèdre de l'Atlas</v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>Pin maritime</v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255.5374979188561</v>
      </c>
      <c r="T3" s="59">
        <f>IF('Données projet'!E9&gt;30,$R$33-$H$33,LOOKUP('Données projet'!$E$9,$A$3:$A$203,R3:R203)-LOOKUP('Données projet'!$E$9,$A$3:$A$203,$H$3:$H$203))</f>
        <v>343.10418468620901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158.58786357608489</v>
      </c>
      <c r="AO3" s="59">
        <f>IF('Données projet'!E10&gt;30,$AM$33-$H$33,LOOKUP('Données projet'!$E$10,$A$3:$A$203,AM3:AM203)-LOOKUP('Données projet'!$E$10,$A$3:$A$203,$H$3:$H$203))</f>
        <v>163.20074068819849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243.85350804244348</v>
      </c>
      <c r="BJ3" s="59">
        <f>IF('Données projet'!E11&gt;30,$BH$33-$H$33,LOOKUP('Données projet'!$E$11,$A$3:$A$203,BH3:BH203)-LOOKUP('Données projet'!$E$11,$A$3:$A$203,$H$3:$H$203))</f>
        <v>304.60992308960545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270.30888762640245</v>
      </c>
      <c r="CE3" s="59">
        <f>IF('Données projet'!E12&gt;30,$CC$33-$H$33,LOOKUP('Données projet'!$E$12,$A$3:$A$203,CC3:CC203)-LOOKUP('Données projet'!$E$12,$A$3:$A$203,$H$3:$H$203))</f>
        <v>202.23783851977691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260.20517190557814</v>
      </c>
      <c r="CZ3" s="59">
        <f>IF('Données projet'!E13&gt;30,$CX$33-$H$33,LOOKUP('Données projet'!$E$13,$A$3:$A$203,CX3:CX203)-LOOKUP('Données projet'!$E$13,$A$3:$A$203,$H$3:$H$203))</f>
        <v>307.22009971147133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263.15518481854753</v>
      </c>
      <c r="DU3" s="59">
        <f>IF('Données projet'!E14&gt;30,$DS$33-$H$33,LOOKUP('Données projet'!$E$14,$A$3:$A$203,DS3:DS203)-LOOKUP('Données projet'!$E$14,$A$3:$A$203,$H$3:$H$203))</f>
        <v>210.80755370263819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207.93042467236967</v>
      </c>
      <c r="EP3" s="59">
        <f>IF('Données projet'!E15&gt;30,$EN$33-$H$33,LOOKUP('Données projet'!$E$15,$A$3:$A$203,EN3:EN203)-LOOKUP('Données projet'!$E$15,$A$3:$A$203,$H$3:$H$203))</f>
        <v>250.70954318710835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293.33333333333331</v>
      </c>
      <c r="FJ3" s="59">
        <f ca="1">AVERAGE(OFFSET($FI$3,0,0,'Données projet'!$E$16+1,1))-AVERAGE(OFFSET($H$3,0,0,'Données projet'!$E$16+1,1))</f>
        <v>286.77702855541287</v>
      </c>
      <c r="FK3" s="59">
        <f>IF('Données projet'!E16&gt;30,$FI$33-$H$33,LOOKUP('Données projet'!$E$16,$A$3:$A$203,FI3:FI203)-LOOKUP('Données projet'!$E$16,$A$3:$A$203,$H$3:$H$203))</f>
        <v>227.12211541860779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293.33333333333331</v>
      </c>
      <c r="GE3" s="59">
        <f ca="1">AVERAGE(OFFSET($GD$3,0,0,'Données projet'!$E$17+1,1))-AVERAGE(OFFSET($H$3,0,0,'Données projet'!$E$17+1,1))</f>
        <v>123.2823358462245</v>
      </c>
      <c r="GF3" s="59">
        <f>IF('Données projet'!E17&gt;30,$GD$33-$H$33,LOOKUP('Données projet'!$E$17,$A$3:$A$203,GD3:GD203)-LOOKUP('Données projet'!$E$17,$A$3:$A$203,$H$3:$H$203))</f>
        <v>92.75115399786057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>
        <f>GU3*VLOOKUP('Données projet'!$B$18,Paramètres!$A$1:$I$89,3,0)*VLOOKUP('Données projet'!$B$18,Paramètres!$A$1:$I$89,5,0)</f>
        <v>0</v>
      </c>
      <c r="GW3" s="12">
        <v>0</v>
      </c>
      <c r="GX3" s="14">
        <f>(GV3+GW3)*0.475*44/12</f>
        <v>0</v>
      </c>
      <c r="GY3" s="59">
        <f>GX3+(GP3+GQ3)*44/12</f>
        <v>293.33333333333331</v>
      </c>
      <c r="GZ3" s="59">
        <f ca="1">AVERAGE(OFFSET($GY$3,0,0,'Données projet'!$E$18+1,1))-AVERAGE(OFFSET($H$3,0,0,'Données projet'!$E$18+1,1))</f>
        <v>171.96009656745713</v>
      </c>
      <c r="HA3" s="59">
        <f>IF('Données projet'!E18&gt;30,$GY$33-$H$33,LOOKUP('Données projet'!$E$18,$A$3:$A$203,GY3:GY203)-LOOKUP('Données projet'!$E$18,$A$3:$A$203,$H$3:$H$203))</f>
        <v>172.37574906747716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9.3968325791855207</v>
      </c>
      <c r="N4" s="13">
        <f>IF('Données projet'!$A$36&gt;35,N3+M4-V3,IF(A4&lt;'Données projet'!$A$36,$K$205^A4,IF(A4='Données projet'!$A$36,'Données projet'!$B$36,N3+M4-V3)))</f>
        <v>1.3477630745024085</v>
      </c>
      <c r="O4" s="13">
        <f>N4*VLOOKUP('Données projet'!$B$9,Paramètres!$A$1:$I$89,3,0)*VLOOKUP('Données projet'!$B$9,Paramètres!$A$1:$I$89,5,0)</f>
        <v>0.75339955864684627</v>
      </c>
      <c r="P4" s="13">
        <f>EXP(-1.0587+0.8836*LN(O4)+0.284)</f>
        <v>0.3588324201756754</v>
      </c>
      <c r="Q4" s="20">
        <f t="shared" ref="Q4:Q34" si="2">(O4+P4)*0.475*44/12</f>
        <v>1.9371373631158919</v>
      </c>
      <c r="R4" s="59">
        <f t="shared" si="0"/>
        <v>295.27047069644919</v>
      </c>
      <c r="S4" s="59">
        <f ca="1">AVERAGE(OFFSET($R$3,0,0,'Données projet'!$E$9+1,1))-AVERAGE(OFFSET($H$3,0,0,'Données projet'!$E$9+1,1))</f>
        <v>255.5374979188561</v>
      </c>
      <c r="T4" s="59">
        <f>$T$3</f>
        <v>343.10418468620901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7.2264102564102561</v>
      </c>
      <c r="AI4" s="13">
        <f>IF('Données projet'!$A$62&gt;35,AI3+AH4-AQ3,IF(A4&lt;'Données projet'!$A$62,$AF$205^A4,IF(A4='Données projet'!$A$62,'Données projet'!$B$62,AI3+AH4-AQ3)))</f>
        <v>1.1963772029987372</v>
      </c>
      <c r="AJ4" s="13">
        <f>AI4*VLOOKUP('Données projet'!$B$10,Paramètres!$A$1:$I$89,3,0)*VLOOKUP('Données projet'!$B$10,Paramètres!$A$1:$I$89,5,0)</f>
        <v>0.55990453100340898</v>
      </c>
      <c r="AK4" s="13">
        <f>EXP(-1.0587+0.8836*LN(AJ4)+0.284)</f>
        <v>0.2760486193577778</v>
      </c>
      <c r="AL4" s="20">
        <f t="shared" ref="AL4:AL67" si="4">(AJ4+AK4)*0.475*44/12</f>
        <v>1.4559517368790669</v>
      </c>
      <c r="AM4" s="59">
        <f t="shared" ref="AM4:AM67" si="5">AL4+(AD4+AE4)*44/12</f>
        <v>294.78928507021237</v>
      </c>
      <c r="AN4" s="59">
        <f ca="1">AVERAGE(OFFSET($AM$3,0,0,'Données projet'!$E$10+1,1))-AVERAGE(OFFSET($H$3,0,0,'Données projet'!$E$10+1,1))</f>
        <v>158.58786357608489</v>
      </c>
      <c r="AO4" s="59">
        <f>$AO$3</f>
        <v>163.20074068819849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5.0823076923076922</v>
      </c>
      <c r="BD4" s="12">
        <f>IF('Données projet'!$A$88&gt;35,BD3+BC4-BL3,IF(A4&lt;'Données projet'!$A$88,$BA$205^A4,IF(A4='Données projet'!$A$88,'Données projet'!$B$88,BD3+BC4-BL3)))</f>
        <v>1.4811740527139541</v>
      </c>
      <c r="BE4" s="13">
        <f>BD4*VLOOKUP('Données projet'!$B$11,Paramètres!$A$1:$I$89,3,0)*VLOOKUP('Données projet'!$B$11,Paramètres!$A$1:$I$89,5,0)</f>
        <v>0.88574208352294459</v>
      </c>
      <c r="BF4" s="13">
        <f>EXP(-1.0587+0.8836*LN(BE4)+0.284)</f>
        <v>0.41399278939386408</v>
      </c>
      <c r="BG4" s="20">
        <f t="shared" ref="BG4:BG67" si="7">(BE4+BF4)*0.475*44/12</f>
        <v>2.2637049036634416</v>
      </c>
      <c r="BH4" s="59">
        <f t="shared" ref="BH4:BH67" si="8">BG4+(AY4+AZ4)*44/12</f>
        <v>295.59703823699675</v>
      </c>
      <c r="BI4" s="59">
        <f ca="1">AVERAGE(OFFSET($BH$3,0,0,'Données projet'!$E$11+1,1))-AVERAGE(OFFSET($H$3,0,0,'Données projet'!$E$11+1,1))</f>
        <v>243.85350804244348</v>
      </c>
      <c r="BJ4" s="59">
        <f>$BJ$3</f>
        <v>304.60992308960545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4.3499999999999996</v>
      </c>
      <c r="BY4" s="12">
        <f>IF('Données projet'!$A$114&gt;35,BY3+BX4-CG3,IF(A4&lt;'Données projet'!$A$114,$BV$205^A4,IF(A4='Données projet'!$A$114,'Données projet'!$B$114,BY3+BX4-CG3)))</f>
        <v>1.2501898326862695</v>
      </c>
      <c r="BZ4" s="13">
        <f>BY4*VLOOKUP('Données projet'!$B$12,Paramètres!$A$1:$I$89,3,0)*VLOOKUP('Données projet'!$B$12,Paramètres!$A$1:$I$89,5,0)</f>
        <v>0.74761351994638925</v>
      </c>
      <c r="CA4" s="13">
        <f>EXP(-1.0587+0.8836*LN(BZ4)+0.284)</f>
        <v>0.35639630406199418</v>
      </c>
      <c r="CB4" s="20">
        <f t="shared" ref="CB4:CB67" si="10">(BZ4+CA4)*0.475*44/12</f>
        <v>1.9228171101479343</v>
      </c>
      <c r="CC4" s="59">
        <f t="shared" ref="CC4:CC67" si="11">CB4+(BT4+BU4)*44/12</f>
        <v>295.25615044348126</v>
      </c>
      <c r="CD4" s="59">
        <f ca="1">AVERAGE(OFFSET($CC$3,0,0,'Données projet'!$E$12+1,1))-AVERAGE(OFFSET($H$3,0,0,'Données projet'!$E$12+1,1))</f>
        <v>270.30888762640245</v>
      </c>
      <c r="CE4" s="59">
        <f>$CE$3</f>
        <v>202.23783851977691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1.1000000000000001</v>
      </c>
      <c r="CT4" s="12">
        <f>IF('Données projet'!$A$140&gt;35,CT3+CS4-DB3,IF(A4&lt;'Données projet'!$A$140,$CQ$205^A4,IF(A4='Données projet'!$A$140,'Données projet'!$B$140,CT3+CS4-DB3)))</f>
        <v>1.2709816152101407</v>
      </c>
      <c r="CU4" s="17">
        <f>CT4*VLOOKUP('Données projet'!$B$13,Paramètres!$A$1:$I$89,3,0)*VLOOKUP('Données projet'!$B$13,Paramètres!$A$1:$I$89,5,0)</f>
        <v>1.0111929730611879</v>
      </c>
      <c r="CV4" s="13">
        <f>EXP(-1.0587+0.8836*LN(CU4)+0.284)</f>
        <v>0.46539683474213156</v>
      </c>
      <c r="CW4" s="20">
        <f t="shared" ref="CW4:CW67" si="13">(CU4+CV4)*0.475*44/12</f>
        <v>2.5717272485907814</v>
      </c>
      <c r="CX4" s="59">
        <f t="shared" ref="CX4:CX67" si="14">CW4+(CO4+CP4)*44/12</f>
        <v>295.90506058192409</v>
      </c>
      <c r="CY4" s="59">
        <f ca="1">AVERAGE(OFFSET($CX$3,0,0,'Données projet'!$E$13+1,1))-AVERAGE(OFFSET($H$3,0,0,'Données projet'!$E$13+1,1))</f>
        <v>260.20517190557814</v>
      </c>
      <c r="CZ4" s="59">
        <f>$CZ$3</f>
        <v>307.22009971147133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4.0628205128205126</v>
      </c>
      <c r="DO4" s="12">
        <f>IF('Données projet'!$A$166&gt;35,DO3+DN4-DW3,IF(A4&lt;'Données projet'!$A$166,$DL$205^A4,IF(A4='Données projet'!$A$166,'Données projet'!$B$166,DO3+DN4-DW3)))</f>
        <v>1.1736311550444201</v>
      </c>
      <c r="DP4" s="17">
        <f>DO4*VLOOKUP('Données projet'!$B$14,Paramètres!$A$1:$I$89,3,0)*VLOOKUP('Données projet'!$B$14,Paramètres!$A$1:$I$89,5,0)</f>
        <v>1.1900619912150421</v>
      </c>
      <c r="DQ4" s="13">
        <f>EXP(-1.0587+0.8836*LN(DP4)+0.284)</f>
        <v>0.53743426225295832</v>
      </c>
      <c r="DR4" s="20">
        <f t="shared" ref="DR4:DR67" si="16">(DP4+DQ4)*0.475*44/12</f>
        <v>3.0087226414567669</v>
      </c>
      <c r="DS4" s="59">
        <f t="shared" ref="DS4:DS67" si="17">DR4+(DJ4+DK4)*44/12</f>
        <v>296.34205597479007</v>
      </c>
      <c r="DT4" s="59">
        <f ca="1">AVERAGE(OFFSET($DS$3,0,0,'Données projet'!$E$14+1,1))-AVERAGE(OFFSET($H$3,0,0,'Données projet'!$E$14+1,1))</f>
        <v>263.15518481854753</v>
      </c>
      <c r="DU4" s="59">
        <f>$DU$3</f>
        <v>210.80755370263819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1.1000000000000001</v>
      </c>
      <c r="EJ4" s="12">
        <f>IF('Données projet'!$A$192&gt;35,EJ3+EI4-ER3,IF(A4&lt;'Données projet'!$A$192,$EG$205^A4,IF(A4='Données projet'!$A$192,'Données projet'!$B$192,EJ3+EI4-ER3)))</f>
        <v>1.2709816152101407</v>
      </c>
      <c r="EK4" s="17">
        <f>EJ4*VLOOKUP('Données projet'!$B$15,Paramètres!$A$1:$I$89,3,0)*VLOOKUP('Données projet'!$B$15,Paramètres!$A$1:$I$89,5,0)</f>
        <v>0.85257446748296239</v>
      </c>
      <c r="EL4" s="13">
        <f>EXP(-1.0587+0.8836*LN(EK4)+0.284)</f>
        <v>0.40026456574842817</v>
      </c>
      <c r="EM4" s="20">
        <f t="shared" ref="EM4:EM67" si="19">(EK4+EL4)*0.475*44/12</f>
        <v>2.1820279828780054</v>
      </c>
      <c r="EN4" s="59">
        <f t="shared" ref="EN4:EN67" si="20">EM4+(EE4+EF4)*44/12</f>
        <v>295.51536131621134</v>
      </c>
      <c r="EO4" s="59">
        <f ca="1">AVERAGE(OFFSET($EN$3,0,0,'Données projet'!$E$15+1,1))-AVERAGE(OFFSET($H$3,0,0,'Données projet'!$E$15+1,1))</f>
        <v>207.93042467236967</v>
      </c>
      <c r="EP4" s="59">
        <f>$EP$3</f>
        <v>250.70954318710835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4.0628205128205126</v>
      </c>
      <c r="FE4" s="12">
        <f>IF('Données projet'!$A$218&gt;35,FE3+FD4-FM3,IF(A4&lt;'Données projet'!$A$218,$FB$205^A4,IF(A4='Données projet'!$A$218,'Données projet'!$B$218,FE3+FD4-FM3)))</f>
        <v>1.1736311550444201</v>
      </c>
      <c r="FF4" s="17">
        <f>FE4*VLOOKUP('Données projet'!$B$16,Paramètres!$A$1:$I$89,3,0)*VLOOKUP('Données projet'!$B$16,Paramètres!$A$1:$I$89,5,0)</f>
        <v>1.2632965752898135</v>
      </c>
      <c r="FG4" s="13">
        <f>EXP(-1.0587+0.8836*LN(FF4)+0.284)</f>
        <v>0.56655511466244612</v>
      </c>
      <c r="FH4" s="20">
        <f t="shared" ref="FH4:FH67" si="22">(FF4+FG4)*0.475*44/12</f>
        <v>3.1869916933335189</v>
      </c>
      <c r="FI4" s="59">
        <f t="shared" ref="FI4:FI67" si="23">FH4+(EZ4+FA4)*44/12</f>
        <v>296.52032502666685</v>
      </c>
      <c r="FJ4" s="59">
        <f ca="1">AVERAGE(OFFSET($FI$3,0,0,'Données projet'!$E$16+1,1))-AVERAGE(OFFSET($H$3,0,0,'Données projet'!$E$16+1,1))</f>
        <v>286.77702855541287</v>
      </c>
      <c r="FK4" s="59">
        <f>$FK$3</f>
        <v>227.12211541860779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4.9084615384615384</v>
      </c>
      <c r="FZ4" s="12">
        <f>IF('Données projet'!$A$244&gt;35,FZ3+FY4-GH3,IF(A4&lt;'Données projet'!$A$244,$FW$205^A4,IF(A4='Données projet'!$A$244,'Données projet'!$B$244,FZ3+FY4-GH3)))</f>
        <v>1.1810516433311786</v>
      </c>
      <c r="GA4" s="17">
        <f>FZ4*VLOOKUP('Données projet'!$B$17,Paramètres!$A$1:$I$89,3,0)*VLOOKUP('Données projet'!$B$17,Paramètres!$A$1:$I$89,5,0)</f>
        <v>0.55273216907899159</v>
      </c>
      <c r="GB4" s="13">
        <f>EXP(-1.0587+0.8836*LN(GA4)+0.284)</f>
        <v>0.27292171413945432</v>
      </c>
      <c r="GC4" s="20">
        <f t="shared" ref="GC4:GC67" si="25">(GA4+GB4)*0.475*44/12</f>
        <v>1.4380138466054599</v>
      </c>
      <c r="GD4" s="59">
        <f t="shared" ref="GD4:GD67" si="26">GC4+(FU4+FV4)*44/12</f>
        <v>294.7713471799388</v>
      </c>
      <c r="GE4" s="59">
        <f ca="1">AVERAGE(OFFSET($GD$3,0,0,'Données projet'!$E$17+1,1))-AVERAGE(OFFSET($H$3,0,0,'Données projet'!$E$17+1,1))</f>
        <v>123.2823358462245</v>
      </c>
      <c r="GF4" s="59">
        <f>$GF$3</f>
        <v>92.75115399786057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7.4312217194570129</v>
      </c>
      <c r="GU4" s="12">
        <f>IF('Données projet'!$A$270&gt;35,GU3+GT4-HC3,IF(A4&lt;'Données projet'!$A$270,$GR$205^A4,IF(A4='Données projet'!$A$270,'Données projet'!$B$270,GU3+GT4-HC3)))</f>
        <v>1.3292852468636394</v>
      </c>
      <c r="GV4" s="17">
        <f>GU4*VLOOKUP('Données projet'!$B$18,Paramètres!$A$1:$I$89,3,0)*VLOOKUP('Données projet'!$B$18,Paramètres!$A$1:$I$89,5,0)</f>
        <v>0.79491257762445644</v>
      </c>
      <c r="GW4" s="13">
        <f>EXP(-1.0587+0.8836*LN(GV4)+0.284)</f>
        <v>0.37624805113513943</v>
      </c>
      <c r="GX4" s="20">
        <f t="shared" ref="GX4:GX67" si="28">(GV4+GW4)*0.475*44/12</f>
        <v>2.0397714284229629</v>
      </c>
      <c r="GY4" s="59">
        <f t="shared" ref="GY4:GY67" si="29">GX4+(GP4+GQ4)*44/12</f>
        <v>295.37310476175628</v>
      </c>
      <c r="GZ4" s="59">
        <f ca="1">AVERAGE(OFFSET($GY$3,0,0,'Données projet'!$E$18+1,1))-AVERAGE(OFFSET($H$3,0,0,'Données projet'!$E$18+1,1))</f>
        <v>171.96009656745713</v>
      </c>
      <c r="HA4" s="59">
        <f>$HA$3</f>
        <v>172.37574906747716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>
        <f>EXP(-LN(2)/35)*HG3+(1-EXP(-LN(2)/35))/(LN(2)/35)*HC4*HD4*VLOOKUP('Données projet'!$B$18,Paramètres!$A$1:$I$89,3,0)*0.475*44/12</f>
        <v>0</v>
      </c>
      <c r="HH4" s="21">
        <f>EXP(-LN(2)/25)*HH3+(1-EXP(-LN(2)/25))/(LN(2)/25)*Calculateur!HC4*Calculateur!HE4*VLOOKUP('Données projet'!$B$18,Paramètres!$A$1:$I$89,3,0)*0.475*44/12</f>
        <v>0</v>
      </c>
      <c r="HI4" s="21">
        <f>EXP(-LN(2)/2)*HI3+(1-EXP(-LN(2)/2))/(LN(2)/2)*HC4*HF4*VLOOKUP('Données projet'!$B$18,Paramètres!$A$1:$I$89,3,0)*0.475*44/12</f>
        <v>0</v>
      </c>
      <c r="HJ4" s="22">
        <f t="shared" ref="HJ4:HJ67" si="30">SUM(HG4:HI4)</f>
        <v>0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9.3968325791855207</v>
      </c>
      <c r="N5" s="13">
        <f>IF('Données projet'!$A$36&gt;35,N4+M5-V4,IF(A5&lt;'Données projet'!$A$36,$K$205^A5,IF(A5='Données projet'!$A$36,'Données projet'!$B$36,N4+M5-V4)))</f>
        <v>1.8164653049921848</v>
      </c>
      <c r="O5" s="13">
        <f>N5*VLOOKUP('Données projet'!$B$9,Paramètres!$A$1:$I$89,3,0)*VLOOKUP('Données projet'!$B$9,Paramètres!$A$1:$I$89,5,0)</f>
        <v>1.0154041054906313</v>
      </c>
      <c r="P5" s="13">
        <f t="shared" ref="P5:P68" si="33">EXP(-1.0587+0.8836*LN(O5)+0.284)</f>
        <v>0.46710897317647637</v>
      </c>
      <c r="Q5" s="20">
        <f t="shared" si="2"/>
        <v>2.582043612011879</v>
      </c>
      <c r="R5" s="59">
        <f t="shared" si="0"/>
        <v>295.9153769453452</v>
      </c>
      <c r="S5" s="59">
        <f ca="1">AVERAGE(OFFSET($R$3,0,0,'Données projet'!$E$9+1,1))-AVERAGE(OFFSET($H$3,0,0,'Données projet'!$E$9+1,1))</f>
        <v>255.5374979188561</v>
      </c>
      <c r="T5" s="59">
        <f t="shared" ref="T5:T68" si="34">$T$3</f>
        <v>343.10418468620901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7.2264102564102561</v>
      </c>
      <c r="AI5" s="13">
        <f>IF('Données projet'!$A$62&gt;35,AI4+AH5-AQ4,IF(A5&lt;'Données projet'!$A$62,$AF$205^A5,IF(A5='Données projet'!$A$62,'Données projet'!$B$62,AI4+AH5-AQ4)))</f>
        <v>1.4313184118550817</v>
      </c>
      <c r="AJ5" s="13">
        <f>AI5*VLOOKUP('Données projet'!$B$10,Paramètres!$A$1:$I$89,3,0)*VLOOKUP('Données projet'!$B$10,Paramètres!$A$1:$I$89,5,0)</f>
        <v>0.66985701674817832</v>
      </c>
      <c r="AK5" s="13">
        <f t="shared" ref="AK5:AK68" si="35">EXP(-1.0587+0.8836*LN(AJ5)+0.284)</f>
        <v>0.32343711768198868</v>
      </c>
      <c r="AL5" s="20">
        <f t="shared" si="4"/>
        <v>1.729987284132541</v>
      </c>
      <c r="AM5" s="59">
        <f t="shared" si="5"/>
        <v>295.06332061746588</v>
      </c>
      <c r="AN5" s="59">
        <f ca="1">AVERAGE(OFFSET($AM$3,0,0,'Données projet'!$E$10+1,1))-AVERAGE(OFFSET($H$3,0,0,'Données projet'!$E$10+1,1))</f>
        <v>158.58786357608489</v>
      </c>
      <c r="AO5" s="59">
        <f t="shared" ref="AO5:AO68" si="36">$AO$3</f>
        <v>163.20074068819849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5.0823076923076922</v>
      </c>
      <c r="BD5" s="12">
        <f>IF('Données projet'!$A$88&gt;35,BD4+BC5-BL4,IF(A5&lt;'Données projet'!$A$88,$BA$205^A5,IF(A5='Données projet'!$A$88,'Données projet'!$B$88,BD4+BC5-BL4)))</f>
        <v>2.1938765744330793</v>
      </c>
      <c r="BE5" s="13">
        <f>BD5*VLOOKUP('Données projet'!$B$11,Paramètres!$A$1:$I$89,3,0)*VLOOKUP('Données projet'!$B$11,Paramètres!$A$1:$I$89,5,0)</f>
        <v>1.3119381915109816</v>
      </c>
      <c r="BF5" s="13">
        <f t="shared" ref="BF5:BF68" si="37">EXP(-1.0587+0.8836*LN(BE5)+0.284)</f>
        <v>0.5857878005159024</v>
      </c>
      <c r="BG5" s="20">
        <f t="shared" si="7"/>
        <v>3.3052061027801565</v>
      </c>
      <c r="BH5" s="59">
        <f t="shared" si="8"/>
        <v>296.63853943611349</v>
      </c>
      <c r="BI5" s="59">
        <f ca="1">AVERAGE(OFFSET($BH$3,0,0,'Données projet'!$E$11+1,1))-AVERAGE(OFFSET($H$3,0,0,'Données projet'!$E$11+1,1))</f>
        <v>243.85350804244348</v>
      </c>
      <c r="BJ5" s="59">
        <f t="shared" ref="BJ5:BJ68" si="38">$BJ$3</f>
        <v>304.60992308960545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4.3499999999999996</v>
      </c>
      <c r="BY5" s="12">
        <f>IF('Données projet'!$A$114&gt;35,BY4+BX5-CG4,IF(A5&lt;'Données projet'!$A$114,$BV$205^A5,IF(A5='Données projet'!$A$114,'Données projet'!$B$114,BY4+BX5-CG4)))</f>
        <v>1.5629746177521224</v>
      </c>
      <c r="BZ5" s="13">
        <f>BY5*VLOOKUP('Données projet'!$B$12,Paramètres!$A$1:$I$89,3,0)*VLOOKUP('Données projet'!$B$12,Paramètres!$A$1:$I$89,5,0)</f>
        <v>0.93465882141576928</v>
      </c>
      <c r="CA5" s="13">
        <f t="shared" ref="CA5:CA68" si="39">EXP(-1.0587+0.8836*LN(BZ5)+0.284)</f>
        <v>0.43413135345040255</v>
      </c>
      <c r="CB5" s="20">
        <f t="shared" si="10"/>
        <v>2.3839762212252493</v>
      </c>
      <c r="CC5" s="59">
        <f t="shared" si="11"/>
        <v>295.71730955455854</v>
      </c>
      <c r="CD5" s="59">
        <f ca="1">AVERAGE(OFFSET($CC$3,0,0,'Données projet'!$E$12+1,1))-AVERAGE(OFFSET($H$3,0,0,'Données projet'!$E$12+1,1))</f>
        <v>270.30888762640245</v>
      </c>
      <c r="CE5" s="59">
        <f t="shared" ref="CE5:CE68" si="40">$CE$3</f>
        <v>202.23783851977691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1.1000000000000001</v>
      </c>
      <c r="CT5" s="12">
        <f>IF('Données projet'!$A$140&gt;35,CT4+CS5-DB4,IF(A5&lt;'Données projet'!$A$140,$CQ$205^A5,IF(A5='Données projet'!$A$140,'Données projet'!$B$140,CT4+CS5-DB4)))</f>
        <v>1.6153942662021783</v>
      </c>
      <c r="CU5" s="17">
        <f>CT5*VLOOKUP('Données projet'!$B$13,Paramètres!$A$1:$I$89,3,0)*VLOOKUP('Données projet'!$B$13,Paramètres!$A$1:$I$89,5,0)</f>
        <v>1.2852076781904531</v>
      </c>
      <c r="CV5" s="13">
        <f t="shared" ref="CV5:CV68" si="41">EXP(-1.0587+0.8836*LN(CU5)+0.284)</f>
        <v>0.57522914588482876</v>
      </c>
      <c r="CW5" s="20">
        <f t="shared" si="13"/>
        <v>3.2402608019311159</v>
      </c>
      <c r="CX5" s="59">
        <f t="shared" si="14"/>
        <v>296.57359413526444</v>
      </c>
      <c r="CY5" s="59">
        <f ca="1">AVERAGE(OFFSET($CX$3,0,0,'Données projet'!$E$13+1,1))-AVERAGE(OFFSET($H$3,0,0,'Données projet'!$E$13+1,1))</f>
        <v>260.20517190557814</v>
      </c>
      <c r="CZ5" s="59">
        <f t="shared" ref="CZ5:CZ68" si="42">$CZ$3</f>
        <v>307.22009971147133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4.0628205128205126</v>
      </c>
      <c r="DO5" s="12">
        <f>IF('Données projet'!$A$166&gt;35,DO4+DN5-DW4,IF(A5&lt;'Données projet'!$A$166,$DL$205^A5,IF(A5='Données projet'!$A$166,'Données projet'!$B$166,DO4+DN5-DW4)))</f>
        <v>1.3774100880908995</v>
      </c>
      <c r="DP5" s="17">
        <f>DO5*VLOOKUP('Données projet'!$B$14,Paramètres!$A$1:$I$89,3,0)*VLOOKUP('Données projet'!$B$14,Paramètres!$A$1:$I$89,5,0)</f>
        <v>1.3966938293241722</v>
      </c>
      <c r="DQ5" s="13">
        <f t="shared" ref="DQ5:DQ68" si="43">EXP(-1.0587+0.8836*LN(DP5)+0.284)</f>
        <v>0.61910384026408283</v>
      </c>
      <c r="DR5" s="20">
        <f t="shared" si="16"/>
        <v>3.5108476078662108</v>
      </c>
      <c r="DS5" s="59">
        <f t="shared" si="17"/>
        <v>296.84418094119951</v>
      </c>
      <c r="DT5" s="59">
        <f ca="1">AVERAGE(OFFSET($DS$3,0,0,'Données projet'!$E$14+1,1))-AVERAGE(OFFSET($H$3,0,0,'Données projet'!$E$14+1,1))</f>
        <v>263.15518481854753</v>
      </c>
      <c r="DU5" s="59">
        <f t="shared" ref="DU5:DU68" si="44">$DU$3</f>
        <v>210.80755370263819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1.1000000000000001</v>
      </c>
      <c r="EJ5" s="12">
        <f>IF('Données projet'!$A$192&gt;35,EJ4+EI5-ER4,IF(A5&lt;'Données projet'!$A$192,$EG$205^A5,IF(A5='Données projet'!$A$192,'Données projet'!$B$192,EJ4+EI5-ER4)))</f>
        <v>1.6153942662021783</v>
      </c>
      <c r="EK5" s="17">
        <f>EJ5*VLOOKUP('Données projet'!$B$15,Paramètres!$A$1:$I$89,3,0)*VLOOKUP('Données projet'!$B$15,Paramètres!$A$1:$I$89,5,0)</f>
        <v>1.0836064737684212</v>
      </c>
      <c r="EL5" s="13">
        <f t="shared" ref="EL5:EL68" si="45">EXP(-1.0587+0.8836*LN(EK5)+0.284)</f>
        <v>0.49472584920136886</v>
      </c>
      <c r="EM5" s="20">
        <f t="shared" si="19"/>
        <v>2.7489287958390509</v>
      </c>
      <c r="EN5" s="59">
        <f t="shared" si="20"/>
        <v>296.08226212917236</v>
      </c>
      <c r="EO5" s="59">
        <f ca="1">AVERAGE(OFFSET($EN$3,0,0,'Données projet'!$E$15+1,1))-AVERAGE(OFFSET($H$3,0,0,'Données projet'!$E$15+1,1))</f>
        <v>207.93042467236967</v>
      </c>
      <c r="EP5" s="59">
        <f t="shared" ref="EP5:EP68" si="46">$EP$3</f>
        <v>250.70954318710835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4.0628205128205126</v>
      </c>
      <c r="FE5" s="12">
        <f>IF('Données projet'!$A$218&gt;35,FE4+FD5-FM4,IF(A5&lt;'Données projet'!$A$218,$FB$205^A5,IF(A5='Données projet'!$A$218,'Données projet'!$B$218,FE4+FD5-FM4)))</f>
        <v>1.3774100880908995</v>
      </c>
      <c r="FF5" s="17">
        <f>FE5*VLOOKUP('Données projet'!$B$16,Paramètres!$A$1:$I$89,3,0)*VLOOKUP('Données projet'!$B$16,Paramètres!$A$1:$I$89,5,0)</f>
        <v>1.482644218821044</v>
      </c>
      <c r="FG5" s="13">
        <f t="shared" ref="FG5:FG68" si="47">EXP(-1.0587+0.8836*LN(FF5)+0.284)</f>
        <v>0.65264995524919645</v>
      </c>
      <c r="FH5" s="20">
        <f t="shared" si="22"/>
        <v>3.7189706865056689</v>
      </c>
      <c r="FI5" s="59">
        <f t="shared" si="23"/>
        <v>297.05230401983897</v>
      </c>
      <c r="FJ5" s="59">
        <f ca="1">AVERAGE(OFFSET($FI$3,0,0,'Données projet'!$E$16+1,1))-AVERAGE(OFFSET($H$3,0,0,'Données projet'!$E$16+1,1))</f>
        <v>286.77702855541287</v>
      </c>
      <c r="FK5" s="59">
        <f t="shared" ref="FK5:FK68" si="48">$FK$3</f>
        <v>227.12211541860779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4.9084615384615384</v>
      </c>
      <c r="FZ5" s="12">
        <f>IF('Données projet'!$A$244&gt;35,FZ4+FY5-GH4,IF(A5&lt;'Données projet'!$A$244,$FW$205^A5,IF(A5='Données projet'!$A$244,'Données projet'!$B$244,FZ4+FY5-GH4)))</f>
        <v>1.3948829842152777</v>
      </c>
      <c r="GA5" s="17">
        <f>FZ5*VLOOKUP('Données projet'!$B$17,Paramètres!$A$1:$I$89,3,0)*VLOOKUP('Données projet'!$B$17,Paramètres!$A$1:$I$89,5,0)</f>
        <v>0.65280523661274992</v>
      </c>
      <c r="GB5" s="13">
        <f t="shared" ref="GB5:GB68" si="49">EXP(-1.0587+0.8836*LN(GA5)+0.284)</f>
        <v>0.31615123301372139</v>
      </c>
      <c r="GC5" s="20">
        <f t="shared" si="25"/>
        <v>1.6875991845994376</v>
      </c>
      <c r="GD5" s="59">
        <f t="shared" si="26"/>
        <v>295.02093251793275</v>
      </c>
      <c r="GE5" s="59">
        <f ca="1">AVERAGE(OFFSET($GD$3,0,0,'Données projet'!$E$17+1,1))-AVERAGE(OFFSET($H$3,0,0,'Données projet'!$E$17+1,1))</f>
        <v>123.2823358462245</v>
      </c>
      <c r="GF5" s="59">
        <f t="shared" ref="GF5:GF68" si="50">$GF$3</f>
        <v>92.75115399786057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7.4312217194570129</v>
      </c>
      <c r="GU5" s="12">
        <f>IF('Données projet'!$A$270&gt;35,GU4+GT5-HC4,IF(A5&lt;'Données projet'!$A$270,$GR$205^A5,IF(A5='Données projet'!$A$270,'Données projet'!$B$270,GU4+GT5-HC4)))</f>
        <v>1.7669992675293267</v>
      </c>
      <c r="GV5" s="17">
        <f>GU5*VLOOKUP('Données projet'!$B$18,Paramètres!$A$1:$I$89,3,0)*VLOOKUP('Données projet'!$B$18,Paramètres!$A$1:$I$89,5,0)</f>
        <v>1.0566655619825374</v>
      </c>
      <c r="GW5" s="13">
        <f t="shared" ref="GW5:GW68" si="51">EXP(-1.0587+0.8836*LN(GV5)+0.284)</f>
        <v>0.48384169076702271</v>
      </c>
      <c r="GX5" s="20">
        <f t="shared" si="28"/>
        <v>2.6830501318721502</v>
      </c>
      <c r="GY5" s="59">
        <f t="shared" si="29"/>
        <v>296.01638346520548</v>
      </c>
      <c r="GZ5" s="59">
        <f ca="1">AVERAGE(OFFSET($GY$3,0,0,'Données projet'!$E$18+1,1))-AVERAGE(OFFSET($H$3,0,0,'Données projet'!$E$18+1,1))</f>
        <v>171.96009656745713</v>
      </c>
      <c r="HA5" s="59">
        <f t="shared" ref="HA5:HA68" si="52">$HA$3</f>
        <v>172.37574906747716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>
        <f>EXP(-LN(2)/35)*HG4+(1-EXP(-LN(2)/35))/(LN(2)/35)*HC5*HD5*VLOOKUP('Données projet'!$B$18,Paramètres!$A$1:$I$89,3,0)*0.475*44/12</f>
        <v>0</v>
      </c>
      <c r="HH5" s="21">
        <f>EXP(-LN(2)/25)*HH4+(1-EXP(-LN(2)/25))/(LN(2)/25)*Calculateur!HC5*Calculateur!HE5*VLOOKUP('Données projet'!$B$18,Paramètres!$A$1:$I$89,3,0)*0.475*44/12</f>
        <v>0</v>
      </c>
      <c r="HI5" s="21">
        <f>EXP(-LN(2)/2)*HI4+(1-EXP(-LN(2)/2))/(LN(2)/2)*HC5*HF5*VLOOKUP('Données projet'!$B$18,Paramètres!$A$1:$I$89,3,0)*0.475*44/12</f>
        <v>0</v>
      </c>
      <c r="HJ5" s="22">
        <f t="shared" si="30"/>
        <v>0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9.3968325791855207</v>
      </c>
      <c r="N6" s="13">
        <f>IF('Données projet'!$A$36&gt;35,N5+M6-V5,IF(A6&lt;'Données projet'!$A$36,$K$205^A6,IF(A6='Données projet'!$A$36,'Données projet'!$B$36,N5+M6-V5)))</f>
        <v>2.4481648641832221</v>
      </c>
      <c r="O6" s="13">
        <f>N6*VLOOKUP('Données projet'!$B$9,Paramètres!$A$1:$I$89,3,0)*VLOOKUP('Données projet'!$B$9,Paramètres!$A$1:$I$89,5,0)</f>
        <v>1.3685241590784212</v>
      </c>
      <c r="P6" s="13">
        <f t="shared" si="33"/>
        <v>0.60805763513553568</v>
      </c>
      <c r="Q6" s="20">
        <f t="shared" si="2"/>
        <v>3.4425466249226413</v>
      </c>
      <c r="R6" s="59">
        <f t="shared" si="0"/>
        <v>296.77587995825593</v>
      </c>
      <c r="S6" s="59">
        <f ca="1">AVERAGE(OFFSET($R$3,0,0,'Données projet'!$E$9+1,1))-AVERAGE(OFFSET($H$3,0,0,'Données projet'!$E$9+1,1))</f>
        <v>255.5374979188561</v>
      </c>
      <c r="T6" s="59">
        <f t="shared" si="34"/>
        <v>343.10418468620901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7.2264102564102561</v>
      </c>
      <c r="AI6" s="13">
        <f>IF('Données projet'!$A$62&gt;35,AI5+AH6-AQ5,IF(A6&lt;'Données projet'!$A$62,$AF$205^A6,IF(A6='Données projet'!$A$62,'Données projet'!$B$62,AI5+AH6-AQ5)))</f>
        <v>1.7123967181757771</v>
      </c>
      <c r="AJ6" s="13">
        <f>AI6*VLOOKUP('Données projet'!$B$10,Paramètres!$A$1:$I$89,3,0)*VLOOKUP('Données projet'!$B$10,Paramètres!$A$1:$I$89,5,0)</f>
        <v>0.80140166410626379</v>
      </c>
      <c r="AK6" s="13">
        <f t="shared" si="35"/>
        <v>0.37896066764546593</v>
      </c>
      <c r="AL6" s="20">
        <f t="shared" si="4"/>
        <v>2.0557977278009294</v>
      </c>
      <c r="AM6" s="59">
        <f t="shared" si="5"/>
        <v>295.38913106113426</v>
      </c>
      <c r="AN6" s="59">
        <f ca="1">AVERAGE(OFFSET($AM$3,0,0,'Données projet'!$E$10+1,1))-AVERAGE(OFFSET($H$3,0,0,'Données projet'!$E$10+1,1))</f>
        <v>158.58786357608489</v>
      </c>
      <c r="AO6" s="59">
        <f t="shared" si="36"/>
        <v>163.20074068819849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5.0823076923076922</v>
      </c>
      <c r="BD6" s="12">
        <f>IF('Données projet'!$A$88&gt;35,BD5+BC6-BL5,IF(A6&lt;'Données projet'!$A$88,$BA$205^A6,IF(A6='Données projet'!$A$88,'Données projet'!$B$88,BD5+BC6-BL5)))</f>
        <v>3.2495130569072508</v>
      </c>
      <c r="BE6" s="13">
        <f>BD6*VLOOKUP('Données projet'!$B$11,Paramètres!$A$1:$I$89,3,0)*VLOOKUP('Données projet'!$B$11,Paramètres!$A$1:$I$89,5,0)</f>
        <v>1.9432088080305361</v>
      </c>
      <c r="BF6" s="13">
        <f t="shared" si="37"/>
        <v>0.82887276306350222</v>
      </c>
      <c r="BG6" s="20">
        <f t="shared" si="7"/>
        <v>4.8280420696554494</v>
      </c>
      <c r="BH6" s="59">
        <f t="shared" si="8"/>
        <v>298.16137540298877</v>
      </c>
      <c r="BI6" s="59">
        <f ca="1">AVERAGE(OFFSET($BH$3,0,0,'Données projet'!$E$11+1,1))-AVERAGE(OFFSET($H$3,0,0,'Données projet'!$E$11+1,1))</f>
        <v>243.85350804244348</v>
      </c>
      <c r="BJ6" s="59">
        <f t="shared" si="38"/>
        <v>304.60992308960545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4.3499999999999996</v>
      </c>
      <c r="BY6" s="12">
        <f>IF('Données projet'!$A$114&gt;35,BY5+BX6-CG5,IF(A6&lt;'Données projet'!$A$114,$BV$205^A6,IF(A6='Données projet'!$A$114,'Données projet'!$B$114,BY5+BX6-CG5)))</f>
        <v>1.954014975860412</v>
      </c>
      <c r="BZ6" s="13">
        <f>BY6*VLOOKUP('Données projet'!$B$12,Paramètres!$A$1:$I$89,3,0)*VLOOKUP('Données projet'!$B$12,Paramètres!$A$1:$I$89,5,0)</f>
        <v>1.1685009555645265</v>
      </c>
      <c r="CA6" s="13">
        <f t="shared" si="39"/>
        <v>0.52882151105555386</v>
      </c>
      <c r="CB6" s="20">
        <f t="shared" si="10"/>
        <v>2.9561699626966398</v>
      </c>
      <c r="CC6" s="59">
        <f t="shared" si="11"/>
        <v>296.28950329602998</v>
      </c>
      <c r="CD6" s="59">
        <f ca="1">AVERAGE(OFFSET($CC$3,0,0,'Données projet'!$E$12+1,1))-AVERAGE(OFFSET($H$3,0,0,'Données projet'!$E$12+1,1))</f>
        <v>270.30888762640245</v>
      </c>
      <c r="CE6" s="59">
        <f t="shared" si="40"/>
        <v>202.23783851977691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1.1000000000000001</v>
      </c>
      <c r="CT6" s="12">
        <f>IF('Données projet'!$A$140&gt;35,CT5+CS6-DB5,IF(A6&lt;'Données projet'!$A$140,$CQ$205^A6,IF(A6='Données projet'!$A$140,'Données projet'!$B$140,CT5+CS6-DB5)))</f>
        <v>2.0531364136588448</v>
      </c>
      <c r="CU6" s="17">
        <f>CT6*VLOOKUP('Données projet'!$B$13,Paramètres!$A$1:$I$89,3,0)*VLOOKUP('Données projet'!$B$13,Paramètres!$A$1:$I$89,5,0)</f>
        <v>1.6334753307069771</v>
      </c>
      <c r="CV6" s="13">
        <f t="shared" si="41"/>
        <v>0.71098156578295024</v>
      </c>
      <c r="CW6" s="20">
        <f t="shared" si="13"/>
        <v>4.0832624280532892</v>
      </c>
      <c r="CX6" s="59">
        <f t="shared" si="14"/>
        <v>297.41659576138659</v>
      </c>
      <c r="CY6" s="59">
        <f ca="1">AVERAGE(OFFSET($CX$3,0,0,'Données projet'!$E$13+1,1))-AVERAGE(OFFSET($H$3,0,0,'Données projet'!$E$13+1,1))</f>
        <v>260.20517190557814</v>
      </c>
      <c r="CZ6" s="59">
        <f t="shared" si="42"/>
        <v>307.22009971147133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4.0628205128205126</v>
      </c>
      <c r="DO6" s="12">
        <f>IF('Données projet'!$A$166&gt;35,DO5+DN6-DW5,IF(A6&lt;'Données projet'!$A$166,$DL$205^A6,IF(A6='Données projet'!$A$166,'Données projet'!$B$166,DO5+DN6-DW5)))</f>
        <v>1.6165713926559588</v>
      </c>
      <c r="DP6" s="17">
        <f>DO6*VLOOKUP('Données projet'!$B$14,Paramètres!$A$1:$I$89,3,0)*VLOOKUP('Données projet'!$B$14,Paramètres!$A$1:$I$89,5,0)</f>
        <v>1.6392033921531424</v>
      </c>
      <c r="DQ6" s="13">
        <f t="shared" si="43"/>
        <v>0.71318408957211055</v>
      </c>
      <c r="DR6" s="20">
        <f t="shared" si="16"/>
        <v>4.0970748640048145</v>
      </c>
      <c r="DS6" s="59">
        <f t="shared" si="17"/>
        <v>297.43040819733812</v>
      </c>
      <c r="DT6" s="59">
        <f ca="1">AVERAGE(OFFSET($DS$3,0,0,'Données projet'!$E$14+1,1))-AVERAGE(OFFSET($H$3,0,0,'Données projet'!$E$14+1,1))</f>
        <v>263.15518481854753</v>
      </c>
      <c r="DU6" s="59">
        <f t="shared" si="44"/>
        <v>210.80755370263819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1.1000000000000001</v>
      </c>
      <c r="EJ6" s="12">
        <f>IF('Données projet'!$A$192&gt;35,EJ5+EI6-ER5,IF(A6&lt;'Données projet'!$A$192,$EG$205^A6,IF(A6='Données projet'!$A$192,'Données projet'!$B$192,EJ5+EI6-ER5)))</f>
        <v>2.0531364136588448</v>
      </c>
      <c r="EK6" s="17">
        <f>EJ6*VLOOKUP('Données projet'!$B$15,Paramètres!$A$1:$I$89,3,0)*VLOOKUP('Données projet'!$B$15,Paramètres!$A$1:$I$89,5,0)</f>
        <v>1.3772439062823532</v>
      </c>
      <c r="EL6" s="13">
        <f t="shared" si="45"/>
        <v>0.61147972319350075</v>
      </c>
      <c r="EM6" s="20">
        <f t="shared" si="19"/>
        <v>3.4636936546704455</v>
      </c>
      <c r="EN6" s="59">
        <f t="shared" si="20"/>
        <v>296.79702698800378</v>
      </c>
      <c r="EO6" s="59">
        <f ca="1">AVERAGE(OFFSET($EN$3,0,0,'Données projet'!$E$15+1,1))-AVERAGE(OFFSET($H$3,0,0,'Données projet'!$E$15+1,1))</f>
        <v>207.93042467236967</v>
      </c>
      <c r="EP6" s="59">
        <f t="shared" si="46"/>
        <v>250.70954318710835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4.0628205128205126</v>
      </c>
      <c r="FE6" s="12">
        <f>IF('Données projet'!$A$218&gt;35,FE5+FD6-FM5,IF(A6&lt;'Données projet'!$A$218,$FB$205^A6,IF(A6='Données projet'!$A$218,'Données projet'!$B$218,FE5+FD6-FM5)))</f>
        <v>1.6165713926559588</v>
      </c>
      <c r="FF6" s="17">
        <f>FE6*VLOOKUP('Données projet'!$B$16,Paramètres!$A$1:$I$89,3,0)*VLOOKUP('Données projet'!$B$16,Paramètres!$A$1:$I$89,5,0)</f>
        <v>1.7400774470548741</v>
      </c>
      <c r="FG6" s="13">
        <f t="shared" si="47"/>
        <v>0.75182793882385246</v>
      </c>
      <c r="FH6" s="20">
        <f t="shared" si="22"/>
        <v>4.3400685470721152</v>
      </c>
      <c r="FI6" s="59">
        <f t="shared" si="23"/>
        <v>297.67340188040544</v>
      </c>
      <c r="FJ6" s="59">
        <f ca="1">AVERAGE(OFFSET($FI$3,0,0,'Données projet'!$E$16+1,1))-AVERAGE(OFFSET($H$3,0,0,'Données projet'!$E$16+1,1))</f>
        <v>286.77702855541287</v>
      </c>
      <c r="FK6" s="59">
        <f t="shared" si="48"/>
        <v>227.12211541860779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4.9084615384615384</v>
      </c>
      <c r="FZ6" s="12">
        <f>IF('Données projet'!$A$244&gt;35,FZ5+FY6-GH5,IF(A6&lt;'Données projet'!$A$244,$FW$205^A6,IF(A6='Données projet'!$A$244,'Données projet'!$B$244,FZ5+FY6-GH5)))</f>
        <v>1.6474288407621522</v>
      </c>
      <c r="GA6" s="17">
        <f>FZ6*VLOOKUP('Données projet'!$B$17,Paramètres!$A$1:$I$89,3,0)*VLOOKUP('Données projet'!$B$17,Paramètres!$A$1:$I$89,5,0)</f>
        <v>0.7709966974766872</v>
      </c>
      <c r="GB6" s="13">
        <f t="shared" si="49"/>
        <v>0.36622810482944673</v>
      </c>
      <c r="GC6" s="20">
        <f t="shared" si="25"/>
        <v>1.9806665306831832</v>
      </c>
      <c r="GD6" s="59">
        <f t="shared" si="26"/>
        <v>295.31399986401652</v>
      </c>
      <c r="GE6" s="59">
        <f ca="1">AVERAGE(OFFSET($GD$3,0,0,'Données projet'!$E$17+1,1))-AVERAGE(OFFSET($H$3,0,0,'Données projet'!$E$17+1,1))</f>
        <v>123.2823358462245</v>
      </c>
      <c r="GF6" s="59">
        <f t="shared" si="50"/>
        <v>92.75115399786057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7.4312217194570129</v>
      </c>
      <c r="GU6" s="12">
        <f>IF('Données projet'!$A$270&gt;35,GU5+GT6-HC5,IF(A6&lt;'Données projet'!$A$270,$GR$205^A6,IF(A6='Données projet'!$A$270,'Données projet'!$B$270,GU5+GT6-HC5)))</f>
        <v>2.3488460575455909</v>
      </c>
      <c r="GV6" s="17">
        <f>GU6*VLOOKUP('Données projet'!$B$18,Paramètres!$A$1:$I$89,3,0)*VLOOKUP('Données projet'!$B$18,Paramètres!$A$1:$I$89,5,0)</f>
        <v>1.4046099424122636</v>
      </c>
      <c r="GW6" s="13">
        <f t="shared" si="51"/>
        <v>0.62220330714804695</v>
      </c>
      <c r="GX6" s="20">
        <f t="shared" si="28"/>
        <v>3.5300330763175403</v>
      </c>
      <c r="GY6" s="59">
        <f t="shared" si="29"/>
        <v>296.86336640965084</v>
      </c>
      <c r="GZ6" s="59">
        <f ca="1">AVERAGE(OFFSET($GY$3,0,0,'Données projet'!$E$18+1,1))-AVERAGE(OFFSET($H$3,0,0,'Données projet'!$E$18+1,1))</f>
        <v>171.96009656745713</v>
      </c>
      <c r="HA6" s="59">
        <f t="shared" si="52"/>
        <v>172.37574906747716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>
        <f>EXP(-LN(2)/35)*HG5+(1-EXP(-LN(2)/35))/(LN(2)/35)*HC6*HD6*VLOOKUP('Données projet'!$B$18,Paramètres!$A$1:$I$89,3,0)*0.475*44/12</f>
        <v>0</v>
      </c>
      <c r="HH6" s="21">
        <f>EXP(-LN(2)/25)*HH5+(1-EXP(-LN(2)/25))/(LN(2)/25)*Calculateur!HC6*Calculateur!HE6*VLOOKUP('Données projet'!$B$18,Paramètres!$A$1:$I$89,3,0)*0.475*44/12</f>
        <v>0</v>
      </c>
      <c r="HI6" s="21">
        <f>EXP(-LN(2)/2)*HI5+(1-EXP(-LN(2)/2))/(LN(2)/2)*HC6*HF6*VLOOKUP('Données projet'!$B$18,Paramètres!$A$1:$I$89,3,0)*0.475*44/12</f>
        <v>0</v>
      </c>
      <c r="HJ6" s="22">
        <f t="shared" si="30"/>
        <v>0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9.3968325791855207</v>
      </c>
      <c r="N7" s="13">
        <f>IF('Données projet'!$A$36&gt;35,N6+M7-V6,IF(A7&lt;'Données projet'!$A$36,$K$205^A7,IF(A7='Données projet'!$A$36,'Données projet'!$B$36,N6+M7-V6)))</f>
        <v>3.2995462042403512</v>
      </c>
      <c r="O7" s="13">
        <f>N7*VLOOKUP('Données projet'!$B$9,Paramètres!$A$1:$I$89,3,0)*VLOOKUP('Données projet'!$B$9,Paramètres!$A$1:$I$89,5,0)</f>
        <v>1.8444463281703563</v>
      </c>
      <c r="P7" s="13">
        <f t="shared" si="33"/>
        <v>0.79153711206256949</v>
      </c>
      <c r="Q7" s="20">
        <f t="shared" si="2"/>
        <v>4.591004491739012</v>
      </c>
      <c r="R7" s="59">
        <f t="shared" si="0"/>
        <v>297.92433782507231</v>
      </c>
      <c r="S7" s="59">
        <f ca="1">AVERAGE(OFFSET($R$3,0,0,'Données projet'!$E$9+1,1))-AVERAGE(OFFSET($H$3,0,0,'Données projet'!$E$9+1,1))</f>
        <v>255.5374979188561</v>
      </c>
      <c r="T7" s="59">
        <f t="shared" si="34"/>
        <v>343.10418468620901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7.2264102564102561</v>
      </c>
      <c r="AI7" s="13">
        <f>IF('Données projet'!$A$62&gt;35,AI6+AH7-AQ6,IF(A7&lt;'Données projet'!$A$62,$AF$205^A7,IF(A7='Données projet'!$A$62,'Données projet'!$B$62,AI6+AH7-AQ6)))</f>
        <v>2.0486723961153532</v>
      </c>
      <c r="AJ7" s="13">
        <f>AI7*VLOOKUP('Données projet'!$B$10,Paramètres!$A$1:$I$89,3,0)*VLOOKUP('Données projet'!$B$10,Paramètres!$A$1:$I$89,5,0)</f>
        <v>0.95877868138198519</v>
      </c>
      <c r="AK7" s="13">
        <f t="shared" si="35"/>
        <v>0.44401579092570115</v>
      </c>
      <c r="AL7" s="20">
        <f t="shared" si="4"/>
        <v>2.4432003726025537</v>
      </c>
      <c r="AM7" s="59">
        <f t="shared" si="5"/>
        <v>295.77653370593589</v>
      </c>
      <c r="AN7" s="59">
        <f ca="1">AVERAGE(OFFSET($AM$3,0,0,'Données projet'!$E$10+1,1))-AVERAGE(OFFSET($H$3,0,0,'Données projet'!$E$10+1,1))</f>
        <v>158.58786357608489</v>
      </c>
      <c r="AO7" s="59">
        <f t="shared" si="36"/>
        <v>163.20074068819849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5.0823076923076922</v>
      </c>
      <c r="BD7" s="12">
        <f>IF('Données projet'!$A$88&gt;35,BD6+BC7-BL6,IF(A7&lt;'Données projet'!$A$88,$BA$205^A7,IF(A7='Données projet'!$A$88,'Données projet'!$B$88,BD6+BC7-BL6)))</f>
        <v>4.8130944238462225</v>
      </c>
      <c r="BE7" s="13">
        <f>BD7*VLOOKUP('Données projet'!$B$11,Paramètres!$A$1:$I$89,3,0)*VLOOKUP('Données projet'!$B$11,Paramètres!$A$1:$I$89,5,0)</f>
        <v>2.8782304654600415</v>
      </c>
      <c r="BF7" s="13">
        <f t="shared" si="37"/>
        <v>1.1728309410736422</v>
      </c>
      <c r="BG7" s="20">
        <f t="shared" si="7"/>
        <v>7.0555986163794984</v>
      </c>
      <c r="BH7" s="59">
        <f t="shared" si="8"/>
        <v>300.3889319497128</v>
      </c>
      <c r="BI7" s="59">
        <f ca="1">AVERAGE(OFFSET($BH$3,0,0,'Données projet'!$E$11+1,1))-AVERAGE(OFFSET($H$3,0,0,'Données projet'!$E$11+1,1))</f>
        <v>243.85350804244348</v>
      </c>
      <c r="BJ7" s="59">
        <f t="shared" si="38"/>
        <v>304.60992308960545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4.3499999999999996</v>
      </c>
      <c r="BY7" s="12">
        <f>IF('Données projet'!$A$114&gt;35,BY6+BX7-CG6,IF(A7&lt;'Données projet'!$A$114,$BV$205^A7,IF(A7='Données projet'!$A$114,'Données projet'!$B$114,BY6+BX7-CG6)))</f>
        <v>2.4428896557373934</v>
      </c>
      <c r="BZ7" s="13">
        <f>BY7*VLOOKUP('Données projet'!$B$12,Paramètres!$A$1:$I$89,3,0)*VLOOKUP('Données projet'!$B$12,Paramètres!$A$1:$I$89,5,0)</f>
        <v>1.4608480141309614</v>
      </c>
      <c r="CA7" s="13">
        <f t="shared" si="39"/>
        <v>0.64416492458434726</v>
      </c>
      <c r="CB7" s="20">
        <f t="shared" si="10"/>
        <v>3.6662308682624953</v>
      </c>
      <c r="CC7" s="59">
        <f t="shared" si="11"/>
        <v>296.99956420159583</v>
      </c>
      <c r="CD7" s="59">
        <f ca="1">AVERAGE(OFFSET($CC$3,0,0,'Données projet'!$E$12+1,1))-AVERAGE(OFFSET($H$3,0,0,'Données projet'!$E$12+1,1))</f>
        <v>270.30888762640245</v>
      </c>
      <c r="CE7" s="59">
        <f t="shared" si="40"/>
        <v>202.23783851977691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1.1000000000000001</v>
      </c>
      <c r="CT7" s="12">
        <f>IF('Données projet'!$A$140&gt;35,CT6+CS7-DB6,IF(A7&lt;'Données projet'!$A$140,$CQ$205^A7,IF(A7='Données projet'!$A$140,'Données projet'!$B$140,CT6+CS7-DB6)))</f>
        <v>2.6094986352788743</v>
      </c>
      <c r="CU7" s="17">
        <f>CT7*VLOOKUP('Données projet'!$B$13,Paramètres!$A$1:$I$89,3,0)*VLOOKUP('Données projet'!$B$13,Paramètres!$A$1:$I$89,5,0)</f>
        <v>2.0761171142278725</v>
      </c>
      <c r="CV7" s="13">
        <f t="shared" si="41"/>
        <v>0.87877116536856548</v>
      </c>
      <c r="CW7" s="20">
        <f t="shared" si="13"/>
        <v>5.14643042029713</v>
      </c>
      <c r="CX7" s="59">
        <f t="shared" si="14"/>
        <v>298.47976375363044</v>
      </c>
      <c r="CY7" s="59">
        <f ca="1">AVERAGE(OFFSET($CX$3,0,0,'Données projet'!$E$13+1,1))-AVERAGE(OFFSET($H$3,0,0,'Données projet'!$E$13+1,1))</f>
        <v>260.20517190557814</v>
      </c>
      <c r="CZ7" s="59">
        <f t="shared" si="42"/>
        <v>307.22009971147133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4.0628205128205126</v>
      </c>
      <c r="DO7" s="12">
        <f>IF('Données projet'!$A$166&gt;35,DO6+DN7-DW6,IF(A7&lt;'Données projet'!$A$166,$DL$205^A7,IF(A7='Données projet'!$A$166,'Données projet'!$B$166,DO6+DN7-DW6)))</f>
        <v>1.8972585507745794</v>
      </c>
      <c r="DP7" s="17">
        <f>DO7*VLOOKUP('Données projet'!$B$14,Paramètres!$A$1:$I$89,3,0)*VLOOKUP('Données projet'!$B$14,Paramètres!$A$1:$I$89,5,0)</f>
        <v>1.9238201704854236</v>
      </c>
      <c r="DQ7" s="13">
        <f t="shared" si="43"/>
        <v>0.82156096043894689</v>
      </c>
      <c r="DR7" s="20">
        <f t="shared" si="16"/>
        <v>4.7815388030266117</v>
      </c>
      <c r="DS7" s="59">
        <f t="shared" si="17"/>
        <v>298.11487213635991</v>
      </c>
      <c r="DT7" s="59">
        <f ca="1">AVERAGE(OFFSET($DS$3,0,0,'Données projet'!$E$14+1,1))-AVERAGE(OFFSET($H$3,0,0,'Données projet'!$E$14+1,1))</f>
        <v>263.15518481854753</v>
      </c>
      <c r="DU7" s="59">
        <f t="shared" si="44"/>
        <v>210.80755370263819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1.1000000000000001</v>
      </c>
      <c r="EJ7" s="12">
        <f>IF('Données projet'!$A$192&gt;35,EJ6+EI7-ER6,IF(A7&lt;'Données projet'!$A$192,$EG$205^A7,IF(A7='Données projet'!$A$192,'Données projet'!$B$192,EJ6+EI7-ER6)))</f>
        <v>2.6094986352788743</v>
      </c>
      <c r="EK7" s="17">
        <f>EJ7*VLOOKUP('Données projet'!$B$15,Paramètres!$A$1:$I$89,3,0)*VLOOKUP('Données projet'!$B$15,Paramètres!$A$1:$I$89,5,0)</f>
        <v>1.7504516845450688</v>
      </c>
      <c r="EL7" s="13">
        <f t="shared" si="45"/>
        <v>0.75578717481691204</v>
      </c>
      <c r="EM7" s="20">
        <f t="shared" si="19"/>
        <v>4.3650326800554504</v>
      </c>
      <c r="EN7" s="59">
        <f t="shared" si="20"/>
        <v>297.69836601338875</v>
      </c>
      <c r="EO7" s="59">
        <f ca="1">AVERAGE(OFFSET($EN$3,0,0,'Données projet'!$E$15+1,1))-AVERAGE(OFFSET($H$3,0,0,'Données projet'!$E$15+1,1))</f>
        <v>207.93042467236967</v>
      </c>
      <c r="EP7" s="59">
        <f t="shared" si="46"/>
        <v>250.70954318710835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4.0628205128205126</v>
      </c>
      <c r="FE7" s="12">
        <f>IF('Données projet'!$A$218&gt;35,FE6+FD7-FM6,IF(A7&lt;'Données projet'!$A$218,$FB$205^A7,IF(A7='Données projet'!$A$218,'Données projet'!$B$218,FE6+FD7-FM6)))</f>
        <v>1.8972585507745794</v>
      </c>
      <c r="FF7" s="17">
        <f>FE7*VLOOKUP('Données projet'!$B$16,Paramètres!$A$1:$I$89,3,0)*VLOOKUP('Données projet'!$B$16,Paramètres!$A$1:$I$89,5,0)</f>
        <v>2.0422091040537573</v>
      </c>
      <c r="FG7" s="13">
        <f t="shared" si="47"/>
        <v>0.86607720578223124</v>
      </c>
      <c r="FH7" s="20">
        <f t="shared" si="22"/>
        <v>5.0652653229643461</v>
      </c>
      <c r="FI7" s="59">
        <f t="shared" si="23"/>
        <v>298.39859865629768</v>
      </c>
      <c r="FJ7" s="59">
        <f ca="1">AVERAGE(OFFSET($FI$3,0,0,'Données projet'!$E$16+1,1))-AVERAGE(OFFSET($H$3,0,0,'Données projet'!$E$16+1,1))</f>
        <v>286.77702855541287</v>
      </c>
      <c r="FK7" s="59">
        <f t="shared" si="48"/>
        <v>227.12211541860779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4.9084615384615384</v>
      </c>
      <c r="FZ7" s="12">
        <f>IF('Données projet'!$A$244&gt;35,FZ6+FY7-GH6,IF(A7&lt;'Données projet'!$A$244,$FW$205^A7,IF(A7='Données projet'!$A$244,'Données projet'!$B$244,FZ6+FY7-GH6)))</f>
        <v>1.9456985396533186</v>
      </c>
      <c r="GA7" s="17">
        <f>FZ7*VLOOKUP('Données projet'!$B$17,Paramètres!$A$1:$I$89,3,0)*VLOOKUP('Données projet'!$B$17,Paramètres!$A$1:$I$89,5,0)</f>
        <v>0.91058691655775315</v>
      </c>
      <c r="GB7" s="13">
        <f t="shared" si="49"/>
        <v>0.42423691816235021</v>
      </c>
      <c r="GC7" s="20">
        <f t="shared" si="25"/>
        <v>2.32481817880418</v>
      </c>
      <c r="GD7" s="59">
        <f t="shared" si="26"/>
        <v>295.65815151213752</v>
      </c>
      <c r="GE7" s="59">
        <f ca="1">AVERAGE(OFFSET($GD$3,0,0,'Données projet'!$E$17+1,1))-AVERAGE(OFFSET($H$3,0,0,'Données projet'!$E$17+1,1))</f>
        <v>123.2823358462245</v>
      </c>
      <c r="GF7" s="59">
        <f t="shared" si="50"/>
        <v>92.75115399786057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7.4312217194570129</v>
      </c>
      <c r="GU7" s="12">
        <f>IF('Données projet'!$A$270&gt;35,GU6+GT7-HC6,IF(A7&lt;'Données projet'!$A$270,$GR$205^A7,IF(A7='Données projet'!$A$270,'Données projet'!$B$270,GU6+GT7-HC6)))</f>
        <v>3.1222864114491768</v>
      </c>
      <c r="GV7" s="17">
        <f>GU7*VLOOKUP('Données projet'!$B$18,Paramètres!$A$1:$I$89,3,0)*VLOOKUP('Données projet'!$B$18,Paramètres!$A$1:$I$89,5,0)</f>
        <v>1.8671272740466078</v>
      </c>
      <c r="GW7" s="13">
        <f t="shared" si="51"/>
        <v>0.80013145376589556</v>
      </c>
      <c r="GX7" s="20">
        <f t="shared" si="28"/>
        <v>4.6454756176067766</v>
      </c>
      <c r="GY7" s="59">
        <f t="shared" si="29"/>
        <v>297.97880895094011</v>
      </c>
      <c r="GZ7" s="59">
        <f ca="1">AVERAGE(OFFSET($GY$3,0,0,'Données projet'!$E$18+1,1))-AVERAGE(OFFSET($H$3,0,0,'Données projet'!$E$18+1,1))</f>
        <v>171.96009656745713</v>
      </c>
      <c r="HA7" s="59">
        <f t="shared" si="52"/>
        <v>172.37574906747716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>
        <f>EXP(-LN(2)/35)*HG6+(1-EXP(-LN(2)/35))/(LN(2)/35)*HC7*HD7*VLOOKUP('Données projet'!$B$18,Paramètres!$A$1:$I$89,3,0)*0.475*44/12</f>
        <v>0</v>
      </c>
      <c r="HH7" s="21">
        <f>EXP(-LN(2)/25)*HH6+(1-EXP(-LN(2)/25))/(LN(2)/25)*Calculateur!HC7*Calculateur!HE7*VLOOKUP('Données projet'!$B$18,Paramètres!$A$1:$I$89,3,0)*0.475*44/12</f>
        <v>0</v>
      </c>
      <c r="HI7" s="21">
        <f>EXP(-LN(2)/2)*HI6+(1-EXP(-LN(2)/2))/(LN(2)/2)*HC7*HF7*VLOOKUP('Données projet'!$B$18,Paramètres!$A$1:$I$89,3,0)*0.475*44/12</f>
        <v>0</v>
      </c>
      <c r="HJ7" s="22">
        <f t="shared" si="30"/>
        <v>0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9.3968325791855207</v>
      </c>
      <c r="N8" s="13">
        <f>IF('Données projet'!$A$36&gt;35,N7+M8-V7,IF(A8&lt;'Données projet'!$A$36,$K$205^A8,IF(A8='Données projet'!$A$36,'Données projet'!$B$36,N7+M8-V7)))</f>
        <v>4.4470065366897273</v>
      </c>
      <c r="O8" s="13">
        <f>N8*VLOOKUP('Données projet'!$B$9,Paramètres!$A$1:$I$89,3,0)*VLOOKUP('Données projet'!$B$9,Paramètres!$A$1:$I$89,5,0)</f>
        <v>2.4858766540095578</v>
      </c>
      <c r="P8" s="13">
        <f t="shared" si="33"/>
        <v>1.0303809434654976</v>
      </c>
      <c r="Q8" s="20">
        <f t="shared" si="2"/>
        <v>6.124148648935722</v>
      </c>
      <c r="R8" s="59">
        <f t="shared" si="0"/>
        <v>299.45748198226903</v>
      </c>
      <c r="S8" s="59">
        <f ca="1">AVERAGE(OFFSET($R$3,0,0,'Données projet'!$E$9+1,1))-AVERAGE(OFFSET($H$3,0,0,'Données projet'!$E$9+1,1))</f>
        <v>255.5374979188561</v>
      </c>
      <c r="T8" s="59">
        <f t="shared" si="34"/>
        <v>343.10418468620901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7.2264102564102561</v>
      </c>
      <c r="AI8" s="13">
        <f>IF('Données projet'!$A$62&gt;35,AI7+AH8-AQ7,IF(A8&lt;'Données projet'!$A$62,$AF$205^A8,IF(A8='Données projet'!$A$62,'Données projet'!$B$62,AI7+AH8-AQ7)))</f>
        <v>2.4509849511252071</v>
      </c>
      <c r="AJ8" s="13">
        <f>AI8*VLOOKUP('Données projet'!$B$10,Paramètres!$A$1:$I$89,3,0)*VLOOKUP('Données projet'!$B$10,Paramètres!$A$1:$I$89,5,0)</f>
        <v>1.1470609571265968</v>
      </c>
      <c r="AK8" s="13">
        <f t="shared" si="35"/>
        <v>0.52023874619045773</v>
      </c>
      <c r="AL8" s="20">
        <f t="shared" si="4"/>
        <v>2.9038803166105365</v>
      </c>
      <c r="AM8" s="59">
        <f t="shared" si="5"/>
        <v>296.23721364994384</v>
      </c>
      <c r="AN8" s="59">
        <f ca="1">AVERAGE(OFFSET($AM$3,0,0,'Données projet'!$E$10+1,1))-AVERAGE(OFFSET($H$3,0,0,'Données projet'!$E$10+1,1))</f>
        <v>158.58786357608489</v>
      </c>
      <c r="AO8" s="59">
        <f t="shared" si="36"/>
        <v>163.20074068819849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5.0823076923076922</v>
      </c>
      <c r="BD8" s="12">
        <f>IF('Données projet'!$A$88&gt;35,BD7+BC8-BL7,IF(A8&lt;'Données projet'!$A$88,$BA$205^A8,IF(A8='Données projet'!$A$88,'Données projet'!$B$88,BD7+BC8-BL7)))</f>
        <v>7.1290305738632433</v>
      </c>
      <c r="BE8" s="13">
        <f>BD8*VLOOKUP('Données projet'!$B$11,Paramètres!$A$1:$I$89,3,0)*VLOOKUP('Données projet'!$B$11,Paramètres!$A$1:$I$89,5,0)</f>
        <v>4.2631602831702198</v>
      </c>
      <c r="BF8" s="13">
        <f t="shared" si="37"/>
        <v>1.6595217959095871</v>
      </c>
      <c r="BG8" s="20">
        <f t="shared" si="7"/>
        <v>10.31533795439733</v>
      </c>
      <c r="BH8" s="59">
        <f t="shared" si="8"/>
        <v>303.64867128773062</v>
      </c>
      <c r="BI8" s="59">
        <f ca="1">AVERAGE(OFFSET($BH$3,0,0,'Données projet'!$E$11+1,1))-AVERAGE(OFFSET($H$3,0,0,'Données projet'!$E$11+1,1))</f>
        <v>243.85350804244348</v>
      </c>
      <c r="BJ8" s="59">
        <f t="shared" si="38"/>
        <v>304.60992308960545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4.3499999999999996</v>
      </c>
      <c r="BY8" s="12">
        <f>IF('Données projet'!$A$114&gt;35,BY7+BX8-CG7,IF(A8&lt;'Données projet'!$A$114,$BV$205^A8,IF(A8='Données projet'!$A$114,'Données projet'!$B$114,BY7+BX8-CG7)))</f>
        <v>3.0540758099773502</v>
      </c>
      <c r="BZ8" s="13">
        <f>BY8*VLOOKUP('Données projet'!$B$12,Paramètres!$A$1:$I$89,3,0)*VLOOKUP('Données projet'!$B$12,Paramètres!$A$1:$I$89,5,0)</f>
        <v>1.8263373343664557</v>
      </c>
      <c r="CA8" s="13">
        <f t="shared" si="39"/>
        <v>0.78466635980162813</v>
      </c>
      <c r="CB8" s="20">
        <f t="shared" si="10"/>
        <v>4.5474981006760791</v>
      </c>
      <c r="CC8" s="59">
        <f t="shared" si="11"/>
        <v>297.88083143400939</v>
      </c>
      <c r="CD8" s="59">
        <f ca="1">AVERAGE(OFFSET($CC$3,0,0,'Données projet'!$E$12+1,1))-AVERAGE(OFFSET($H$3,0,0,'Données projet'!$E$12+1,1))</f>
        <v>270.30888762640245</v>
      </c>
      <c r="CE8" s="59">
        <f t="shared" si="40"/>
        <v>202.23783851977691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1.1000000000000001</v>
      </c>
      <c r="CT8" s="12">
        <f>IF('Données projet'!$A$140&gt;35,CT7+CS8-DB7,IF(A8&lt;'Données projet'!$A$140,$CQ$205^A8,IF(A8='Données projet'!$A$140,'Données projet'!$B$140,CT7+CS8-DB7)))</f>
        <v>3.3166247903554016</v>
      </c>
      <c r="CU8" s="17">
        <f>CT8*VLOOKUP('Données projet'!$B$13,Paramètres!$A$1:$I$89,3,0)*VLOOKUP('Données projet'!$B$13,Paramètres!$A$1:$I$89,5,0)</f>
        <v>2.6387066832067574</v>
      </c>
      <c r="CV8" s="13">
        <f t="shared" si="41"/>
        <v>1.0861586266766543</v>
      </c>
      <c r="CW8" s="20">
        <f t="shared" si="13"/>
        <v>6.4874737480469413</v>
      </c>
      <c r="CX8" s="59">
        <f t="shared" si="14"/>
        <v>299.82080708138028</v>
      </c>
      <c r="CY8" s="59">
        <f ca="1">AVERAGE(OFFSET($CX$3,0,0,'Données projet'!$E$13+1,1))-AVERAGE(OFFSET($H$3,0,0,'Données projet'!$E$13+1,1))</f>
        <v>260.20517190557814</v>
      </c>
      <c r="CZ8" s="59">
        <f t="shared" si="42"/>
        <v>307.22009971147133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4.0628205128205126</v>
      </c>
      <c r="DO8" s="12">
        <f>IF('Données projet'!$A$166&gt;35,DO7+DN8-DW7,IF(A8&lt;'Données projet'!$A$166,$DL$205^A8,IF(A8='Données projet'!$A$166,'Données projet'!$B$166,DO7+DN8-DW7)))</f>
        <v>2.2266817443634719</v>
      </c>
      <c r="DP8" s="17">
        <f>DO8*VLOOKUP('Données projet'!$B$14,Paramètres!$A$1:$I$89,3,0)*VLOOKUP('Données projet'!$B$14,Paramètres!$A$1:$I$89,5,0)</f>
        <v>2.2578552887845609</v>
      </c>
      <c r="DQ8" s="13">
        <f t="shared" si="43"/>
        <v>0.94640699587440658</v>
      </c>
      <c r="DR8" s="20">
        <f t="shared" si="16"/>
        <v>5.5807568124477021</v>
      </c>
      <c r="DS8" s="59">
        <f t="shared" si="17"/>
        <v>298.91409014578102</v>
      </c>
      <c r="DT8" s="59">
        <f ca="1">AVERAGE(OFFSET($DS$3,0,0,'Données projet'!$E$14+1,1))-AVERAGE(OFFSET($H$3,0,0,'Données projet'!$E$14+1,1))</f>
        <v>263.15518481854753</v>
      </c>
      <c r="DU8" s="59">
        <f t="shared" si="44"/>
        <v>210.80755370263819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1.1000000000000001</v>
      </c>
      <c r="EJ8" s="12">
        <f>IF('Données projet'!$A$192&gt;35,EJ7+EI8-ER7,IF(A8&lt;'Données projet'!$A$192,$EG$205^A8,IF(A8='Données projet'!$A$192,'Données projet'!$B$192,EJ7+EI8-ER7)))</f>
        <v>3.3166247903554016</v>
      </c>
      <c r="EK8" s="17">
        <f>EJ8*VLOOKUP('Données projet'!$B$15,Paramètres!$A$1:$I$89,3,0)*VLOOKUP('Données projet'!$B$15,Paramètres!$A$1:$I$89,5,0)</f>
        <v>2.2247919093704032</v>
      </c>
      <c r="EL8" s="13">
        <f t="shared" si="45"/>
        <v>0.93415076894867155</v>
      </c>
      <c r="EM8" s="20">
        <f t="shared" si="19"/>
        <v>5.5018251647390555</v>
      </c>
      <c r="EN8" s="59">
        <f t="shared" si="20"/>
        <v>298.83515849807236</v>
      </c>
      <c r="EO8" s="59">
        <f ca="1">AVERAGE(OFFSET($EN$3,0,0,'Données projet'!$E$15+1,1))-AVERAGE(OFFSET($H$3,0,0,'Données projet'!$E$15+1,1))</f>
        <v>207.93042467236967</v>
      </c>
      <c r="EP8" s="59">
        <f t="shared" si="46"/>
        <v>250.70954318710835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4.0628205128205126</v>
      </c>
      <c r="FE8" s="12">
        <f>IF('Données projet'!$A$218&gt;35,FE7+FD8-FM7,IF(A8&lt;'Données projet'!$A$218,$FB$205^A8,IF(A8='Données projet'!$A$218,'Données projet'!$B$218,FE7+FD8-FM7)))</f>
        <v>2.2266817443634719</v>
      </c>
      <c r="FF8" s="17">
        <f>FE8*VLOOKUP('Données projet'!$B$16,Paramètres!$A$1:$I$89,3,0)*VLOOKUP('Données projet'!$B$16,Paramètres!$A$1:$I$89,5,0)</f>
        <v>2.396800229632841</v>
      </c>
      <c r="FG8" s="13">
        <f t="shared" si="47"/>
        <v>0.99768801828379172</v>
      </c>
      <c r="FH8" s="20">
        <f t="shared" si="22"/>
        <v>5.9120670317881361</v>
      </c>
      <c r="FI8" s="59">
        <f t="shared" si="23"/>
        <v>299.24540036512144</v>
      </c>
      <c r="FJ8" s="59">
        <f ca="1">AVERAGE(OFFSET($FI$3,0,0,'Données projet'!$E$16+1,1))-AVERAGE(OFFSET($H$3,0,0,'Données projet'!$E$16+1,1))</f>
        <v>286.77702855541287</v>
      </c>
      <c r="FK8" s="59">
        <f t="shared" si="48"/>
        <v>227.12211541860779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4.9084615384615384</v>
      </c>
      <c r="FZ8" s="12">
        <f>IF('Données projet'!$A$244&gt;35,FZ7+FY8-GH7,IF(A8&lt;'Données projet'!$A$244,$FW$205^A8,IF(A8='Données projet'!$A$244,'Données projet'!$B$244,FZ7+FY8-GH7)))</f>
        <v>2.2979704576846265</v>
      </c>
      <c r="GA8" s="17">
        <f>FZ8*VLOOKUP('Données projet'!$B$17,Paramètres!$A$1:$I$89,3,0)*VLOOKUP('Données projet'!$B$17,Paramètres!$A$1:$I$89,5,0)</f>
        <v>1.0754501741964051</v>
      </c>
      <c r="GB8" s="13">
        <f t="shared" si="49"/>
        <v>0.49143405532927165</v>
      </c>
      <c r="GC8" s="20">
        <f t="shared" si="25"/>
        <v>2.7289900330905534</v>
      </c>
      <c r="GD8" s="59">
        <f t="shared" si="26"/>
        <v>296.06232336642387</v>
      </c>
      <c r="GE8" s="59">
        <f ca="1">AVERAGE(OFFSET($GD$3,0,0,'Données projet'!$E$17+1,1))-AVERAGE(OFFSET($H$3,0,0,'Données projet'!$E$17+1,1))</f>
        <v>123.2823358462245</v>
      </c>
      <c r="GF8" s="59">
        <f t="shared" si="50"/>
        <v>92.75115399786057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7.4312217194570129</v>
      </c>
      <c r="GU8" s="12">
        <f>IF('Données projet'!$A$270&gt;35,GU7+GT8-HC7,IF(A8&lt;'Données projet'!$A$270,$GR$205^A8,IF(A8='Données projet'!$A$270,'Données projet'!$B$270,GU7+GT8-HC7)))</f>
        <v>4.1504092632222056</v>
      </c>
      <c r="GV8" s="17">
        <f>GU8*VLOOKUP('Données projet'!$B$18,Paramètres!$A$1:$I$89,3,0)*VLOOKUP('Données projet'!$B$18,Paramètres!$A$1:$I$89,5,0)</f>
        <v>2.4819447394068792</v>
      </c>
      <c r="GW8" s="13">
        <f t="shared" si="51"/>
        <v>1.0289407593154982</v>
      </c>
      <c r="GX8" s="20">
        <f t="shared" si="28"/>
        <v>6.1147922436081394</v>
      </c>
      <c r="GY8" s="59">
        <f t="shared" si="29"/>
        <v>299.44812557694144</v>
      </c>
      <c r="GZ8" s="59">
        <f ca="1">AVERAGE(OFFSET($GY$3,0,0,'Données projet'!$E$18+1,1))-AVERAGE(OFFSET($H$3,0,0,'Données projet'!$E$18+1,1))</f>
        <v>171.96009656745713</v>
      </c>
      <c r="HA8" s="59">
        <f t="shared" si="52"/>
        <v>172.37574906747716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>
        <f>EXP(-LN(2)/35)*HG7+(1-EXP(-LN(2)/35))/(LN(2)/35)*HC8*HD8*VLOOKUP('Données projet'!$B$18,Paramètres!$A$1:$I$89,3,0)*0.475*44/12</f>
        <v>0</v>
      </c>
      <c r="HH8" s="21">
        <f>EXP(-LN(2)/25)*HH7+(1-EXP(-LN(2)/25))/(LN(2)/25)*Calculateur!HC8*Calculateur!HE8*VLOOKUP('Données projet'!$B$18,Paramètres!$A$1:$I$89,3,0)*0.475*44/12</f>
        <v>0</v>
      </c>
      <c r="HI8" s="21">
        <f>EXP(-LN(2)/2)*HI7+(1-EXP(-LN(2)/2))/(LN(2)/2)*HC8*HF8*VLOOKUP('Données projet'!$B$18,Paramètres!$A$1:$I$89,3,0)*0.475*44/12</f>
        <v>0</v>
      </c>
      <c r="HJ8" s="22">
        <f t="shared" si="30"/>
        <v>0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9.3968325791855207</v>
      </c>
      <c r="N9" s="13">
        <f>IF('Données projet'!$A$36&gt;35,N8+M9-V8,IF(A9&lt;'Données projet'!$A$36,$K$205^A9,IF(A9='Données projet'!$A$36,'Données projet'!$B$36,N8+M9-V8)))</f>
        <v>5.9935112022212556</v>
      </c>
      <c r="O9" s="13">
        <f>N9*VLOOKUP('Données projet'!$B$9,Paramètres!$A$1:$I$89,3,0)*VLOOKUP('Données projet'!$B$9,Paramètres!$A$1:$I$89,5,0)</f>
        <v>3.3503727620416819</v>
      </c>
      <c r="P9" s="13">
        <f t="shared" si="33"/>
        <v>1.3412951489922369</v>
      </c>
      <c r="Q9" s="20">
        <f t="shared" si="2"/>
        <v>8.1713216117174081</v>
      </c>
      <c r="R9" s="59">
        <f t="shared" si="0"/>
        <v>301.50465494505073</v>
      </c>
      <c r="S9" s="59">
        <f ca="1">AVERAGE(OFFSET($R$3,0,0,'Données projet'!$E$9+1,1))-AVERAGE(OFFSET($H$3,0,0,'Données projet'!$E$9+1,1))</f>
        <v>255.5374979188561</v>
      </c>
      <c r="T9" s="59">
        <f t="shared" si="34"/>
        <v>343.10418468620901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7.2264102564102561</v>
      </c>
      <c r="AI9" s="13">
        <f>IF('Données projet'!$A$62&gt;35,AI8+AH9-AQ8,IF(A9&lt;'Données projet'!$A$62,$AF$205^A9,IF(A9='Données projet'!$A$62,'Données projet'!$B$62,AI8+AH9-AQ8)))</f>
        <v>2.9323025204191722</v>
      </c>
      <c r="AJ9" s="13">
        <f>AI9*VLOOKUP('Données projet'!$B$10,Paramètres!$A$1:$I$89,3,0)*VLOOKUP('Données projet'!$B$10,Paramètres!$A$1:$I$89,5,0)</f>
        <v>1.3723175795561726</v>
      </c>
      <c r="AK9" s="13">
        <f t="shared" si="35"/>
        <v>0.60954668407977464</v>
      </c>
      <c r="AL9" s="20">
        <f t="shared" si="4"/>
        <v>3.4517469258326074</v>
      </c>
      <c r="AM9" s="59">
        <f t="shared" si="5"/>
        <v>296.78508025916591</v>
      </c>
      <c r="AN9" s="59">
        <f ca="1">AVERAGE(OFFSET($AM$3,0,0,'Données projet'!$E$10+1,1))-AVERAGE(OFFSET($H$3,0,0,'Données projet'!$E$10+1,1))</f>
        <v>158.58786357608489</v>
      </c>
      <c r="AO9" s="59">
        <f t="shared" si="36"/>
        <v>163.20074068819849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5.0823076923076922</v>
      </c>
      <c r="BD9" s="12">
        <f>IF('Données projet'!$A$88&gt;35,BD8+BC9-BL8,IF(A9&lt;'Données projet'!$A$88,$BA$205^A9,IF(A9='Données projet'!$A$88,'Données projet'!$B$88,BD8+BC9-BL8)))</f>
        <v>10.559335107010707</v>
      </c>
      <c r="BE9" s="13">
        <f>BD9*VLOOKUP('Données projet'!$B$11,Paramètres!$A$1:$I$89,3,0)*VLOOKUP('Données projet'!$B$11,Paramètres!$A$1:$I$89,5,0)</f>
        <v>6.3144823939924031</v>
      </c>
      <c r="BF9" s="13">
        <f t="shared" si="37"/>
        <v>2.3481752524177799</v>
      </c>
      <c r="BG9" s="20">
        <f t="shared" si="7"/>
        <v>15.087462067497738</v>
      </c>
      <c r="BH9" s="59">
        <f t="shared" si="8"/>
        <v>308.42079540083103</v>
      </c>
      <c r="BI9" s="59">
        <f ca="1">AVERAGE(OFFSET($BH$3,0,0,'Données projet'!$E$11+1,1))-AVERAGE(OFFSET($H$3,0,0,'Données projet'!$E$11+1,1))</f>
        <v>243.85350804244348</v>
      </c>
      <c r="BJ9" s="59">
        <f t="shared" si="38"/>
        <v>304.60992308960545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4.3499999999999996</v>
      </c>
      <c r="BY9" s="12">
        <f>IF('Données projet'!$A$114&gt;35,BY8+BX9-CG8,IF(A9&lt;'Données projet'!$A$114,$BV$205^A9,IF(A9='Données projet'!$A$114,'Données projet'!$B$114,BY8+BX9-CG8)))</f>
        <v>3.8181745258867665</v>
      </c>
      <c r="BZ9" s="13">
        <f>BY9*VLOOKUP('Données projet'!$B$12,Paramètres!$A$1:$I$89,3,0)*VLOOKUP('Données projet'!$B$12,Paramètres!$A$1:$I$89,5,0)</f>
        <v>2.2832683664802866</v>
      </c>
      <c r="CA9" s="13">
        <f t="shared" si="39"/>
        <v>0.95581313527995093</v>
      </c>
      <c r="CB9" s="20">
        <f t="shared" si="10"/>
        <v>5.6414002822324134</v>
      </c>
      <c r="CC9" s="59">
        <f t="shared" si="11"/>
        <v>298.97473361556575</v>
      </c>
      <c r="CD9" s="59">
        <f ca="1">AVERAGE(OFFSET($CC$3,0,0,'Données projet'!$E$12+1,1))-AVERAGE(OFFSET($H$3,0,0,'Données projet'!$E$12+1,1))</f>
        <v>270.30888762640245</v>
      </c>
      <c r="CE9" s="59">
        <f t="shared" si="40"/>
        <v>202.23783851977691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1.1000000000000001</v>
      </c>
      <c r="CT9" s="12">
        <f>IF('Données projet'!$A$140&gt;35,CT8+CS9-DB8,IF(A9&lt;'Données projet'!$A$140,$CQ$205^A9,IF(A9='Données projet'!$A$140,'Données projet'!$B$140,CT8+CS9-DB8)))</f>
        <v>4.2153691330919028</v>
      </c>
      <c r="CU9" s="17">
        <f>CT9*VLOOKUP('Données projet'!$B$13,Paramètres!$A$1:$I$89,3,0)*VLOOKUP('Données projet'!$B$13,Paramètres!$A$1:$I$89,5,0)</f>
        <v>3.353747682287918</v>
      </c>
      <c r="CV9" s="13">
        <f t="shared" si="41"/>
        <v>1.3424889309030987</v>
      </c>
      <c r="CW9" s="20">
        <f t="shared" si="13"/>
        <v>8.1792787679743544</v>
      </c>
      <c r="CX9" s="59">
        <f t="shared" si="14"/>
        <v>301.5126121013077</v>
      </c>
      <c r="CY9" s="59">
        <f ca="1">AVERAGE(OFFSET($CX$3,0,0,'Données projet'!$E$13+1,1))-AVERAGE(OFFSET($H$3,0,0,'Données projet'!$E$13+1,1))</f>
        <v>260.20517190557814</v>
      </c>
      <c r="CZ9" s="59">
        <f t="shared" si="42"/>
        <v>307.22009971147133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4.0628205128205126</v>
      </c>
      <c r="DO9" s="12">
        <f>IF('Données projet'!$A$166&gt;35,DO8+DN9-DW8,IF(A9&lt;'Données projet'!$A$166,$DL$205^A9,IF(A9='Données projet'!$A$166,'Données projet'!$B$166,DO8+DN9-DW8)))</f>
        <v>2.6133030675536255</v>
      </c>
      <c r="DP9" s="17">
        <f>DO9*VLOOKUP('Données projet'!$B$14,Paramètres!$A$1:$I$89,3,0)*VLOOKUP('Données projet'!$B$14,Paramètres!$A$1:$I$89,5,0)</f>
        <v>2.6498893104993768</v>
      </c>
      <c r="DQ9" s="13">
        <f t="shared" si="43"/>
        <v>1.0902248828394525</v>
      </c>
      <c r="DR9" s="20">
        <f t="shared" si="16"/>
        <v>6.5140322200651282</v>
      </c>
      <c r="DS9" s="59">
        <f t="shared" si="17"/>
        <v>299.84736555339845</v>
      </c>
      <c r="DT9" s="59">
        <f ca="1">AVERAGE(OFFSET($DS$3,0,0,'Données projet'!$E$14+1,1))-AVERAGE(OFFSET($H$3,0,0,'Données projet'!$E$14+1,1))</f>
        <v>263.15518481854753</v>
      </c>
      <c r="DU9" s="59">
        <f t="shared" si="44"/>
        <v>210.80755370263819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1.1000000000000001</v>
      </c>
      <c r="EJ9" s="12">
        <f>IF('Données projet'!$A$192&gt;35,EJ8+EI9-ER8,IF(A9&lt;'Données projet'!$A$192,$EG$205^A9,IF(A9='Données projet'!$A$192,'Données projet'!$B$192,EJ8+EI9-ER8)))</f>
        <v>4.2153691330919028</v>
      </c>
      <c r="EK9" s="17">
        <f>EJ9*VLOOKUP('Données projet'!$B$15,Paramètres!$A$1:$I$89,3,0)*VLOOKUP('Données projet'!$B$15,Paramètres!$A$1:$I$89,5,0)</f>
        <v>2.8276696144780482</v>
      </c>
      <c r="EL9" s="13">
        <f t="shared" si="45"/>
        <v>1.1546076570283019</v>
      </c>
      <c r="EM9" s="20">
        <f t="shared" si="19"/>
        <v>6.9357995812068935</v>
      </c>
      <c r="EN9" s="59">
        <f t="shared" si="20"/>
        <v>300.26913291454019</v>
      </c>
      <c r="EO9" s="59">
        <f ca="1">AVERAGE(OFFSET($EN$3,0,0,'Données projet'!$E$15+1,1))-AVERAGE(OFFSET($H$3,0,0,'Données projet'!$E$15+1,1))</f>
        <v>207.93042467236967</v>
      </c>
      <c r="EP9" s="59">
        <f t="shared" si="46"/>
        <v>250.70954318710835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4.0628205128205126</v>
      </c>
      <c r="FE9" s="12">
        <f>IF('Données projet'!$A$218&gt;35,FE8+FD9-FM8,IF(A9&lt;'Données projet'!$A$218,$FB$205^A9,IF(A9='Données projet'!$A$218,'Données projet'!$B$218,FE8+FD9-FM8)))</f>
        <v>2.6133030675536255</v>
      </c>
      <c r="FF9" s="17">
        <f>FE9*VLOOKUP('Données projet'!$B$16,Paramètres!$A$1:$I$89,3,0)*VLOOKUP('Données projet'!$B$16,Paramètres!$A$1:$I$89,5,0)</f>
        <v>2.8129594219147225</v>
      </c>
      <c r="FG9" s="13">
        <f t="shared" si="47"/>
        <v>1.14929867127495</v>
      </c>
      <c r="FH9" s="20">
        <f t="shared" si="22"/>
        <v>6.9009328456386783</v>
      </c>
      <c r="FI9" s="59">
        <f t="shared" si="23"/>
        <v>300.23426617897201</v>
      </c>
      <c r="FJ9" s="59">
        <f ca="1">AVERAGE(OFFSET($FI$3,0,0,'Données projet'!$E$16+1,1))-AVERAGE(OFFSET($H$3,0,0,'Données projet'!$E$16+1,1))</f>
        <v>286.77702855541287</v>
      </c>
      <c r="FK9" s="59">
        <f t="shared" si="48"/>
        <v>227.12211541860779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4.9084615384615384</v>
      </c>
      <c r="FZ9" s="12">
        <f>IF('Données projet'!$A$244&gt;35,FZ8+FY9-GH8,IF(A9&lt;'Données projet'!$A$244,$FW$205^A9,IF(A9='Données projet'!$A$244,'Données projet'!$B$244,FZ8+FY9-GH8)))</f>
        <v>2.7140217853749289</v>
      </c>
      <c r="GA9" s="17">
        <f>FZ9*VLOOKUP('Données projet'!$B$17,Paramètres!$A$1:$I$89,3,0)*VLOOKUP('Données projet'!$B$17,Paramètres!$A$1:$I$89,5,0)</f>
        <v>1.2701621955554667</v>
      </c>
      <c r="GB9" s="13">
        <f t="shared" si="49"/>
        <v>0.56927490371064715</v>
      </c>
      <c r="GC9" s="20">
        <f t="shared" si="25"/>
        <v>3.203686281221815</v>
      </c>
      <c r="GD9" s="59">
        <f t="shared" si="26"/>
        <v>296.53701961455511</v>
      </c>
      <c r="GE9" s="59">
        <f ca="1">AVERAGE(OFFSET($GD$3,0,0,'Données projet'!$E$17+1,1))-AVERAGE(OFFSET($H$3,0,0,'Données projet'!$E$17+1,1))</f>
        <v>123.2823358462245</v>
      </c>
      <c r="GF9" s="59">
        <f t="shared" si="50"/>
        <v>92.75115399786057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7.4312217194570129</v>
      </c>
      <c r="GU9" s="12">
        <f>IF('Données projet'!$A$270&gt;35,GU8+GT9-HC8,IF(A9&lt;'Données projet'!$A$270,$GR$205^A9,IF(A9='Données projet'!$A$270,'Données projet'!$B$270,GU8+GT9-HC8)))</f>
        <v>5.5170778020474653</v>
      </c>
      <c r="GV9" s="17">
        <f>GU9*VLOOKUP('Données projet'!$B$18,Paramètres!$A$1:$I$89,3,0)*VLOOKUP('Données projet'!$B$18,Paramètres!$A$1:$I$89,5,0)</f>
        <v>3.2992125256243843</v>
      </c>
      <c r="GW9" s="13">
        <f t="shared" si="51"/>
        <v>1.3231814362474952</v>
      </c>
      <c r="GX9" s="20">
        <f t="shared" si="28"/>
        <v>8.0506694835935235</v>
      </c>
      <c r="GY9" s="59">
        <f t="shared" si="29"/>
        <v>301.38400281692685</v>
      </c>
      <c r="GZ9" s="59">
        <f ca="1">AVERAGE(OFFSET($GY$3,0,0,'Données projet'!$E$18+1,1))-AVERAGE(OFFSET($H$3,0,0,'Données projet'!$E$18+1,1))</f>
        <v>171.96009656745713</v>
      </c>
      <c r="HA9" s="59">
        <f t="shared" si="52"/>
        <v>172.37574906747716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>
        <f>EXP(-LN(2)/35)*HG8+(1-EXP(-LN(2)/35))/(LN(2)/35)*HC9*HD9*VLOOKUP('Données projet'!$B$18,Paramètres!$A$1:$I$89,3,0)*0.475*44/12</f>
        <v>0</v>
      </c>
      <c r="HH9" s="21">
        <f>EXP(-LN(2)/25)*HH8+(1-EXP(-LN(2)/25))/(LN(2)/25)*Calculateur!HC9*Calculateur!HE9*VLOOKUP('Données projet'!$B$18,Paramètres!$A$1:$I$89,3,0)*0.475*44/12</f>
        <v>0</v>
      </c>
      <c r="HI9" s="21">
        <f>EXP(-LN(2)/2)*HI8+(1-EXP(-LN(2)/2))/(LN(2)/2)*HC9*HF9*VLOOKUP('Données projet'!$B$18,Paramètres!$A$1:$I$89,3,0)*0.475*44/12</f>
        <v>0</v>
      </c>
      <c r="HJ9" s="22">
        <f t="shared" si="30"/>
        <v>0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9.3968325791855207</v>
      </c>
      <c r="N10" s="13">
        <f>IF('Données projet'!$A$36&gt;35,N9+M10-V9,IF(A10&lt;'Données projet'!$A$36,$K$205^A10,IF(A10='Données projet'!$A$36,'Données projet'!$B$36,N9+M10-V9)))</f>
        <v>8.0778330849703455</v>
      </c>
      <c r="O10" s="13">
        <f>N10*VLOOKUP('Données projet'!$B$9,Paramètres!$A$1:$I$89,3,0)*VLOOKUP('Données projet'!$B$9,Paramètres!$A$1:$I$89,5,0)</f>
        <v>4.5155086944984228</v>
      </c>
      <c r="P10" s="13">
        <f t="shared" si="33"/>
        <v>1.7460267371204046</v>
      </c>
      <c r="Q10" s="20">
        <f t="shared" si="2"/>
        <v>10.905507543402789</v>
      </c>
      <c r="R10" s="59">
        <f t="shared" si="0"/>
        <v>304.23884087673611</v>
      </c>
      <c r="S10" s="59">
        <f ca="1">AVERAGE(OFFSET($R$3,0,0,'Données projet'!$E$9+1,1))-AVERAGE(OFFSET($H$3,0,0,'Données projet'!$E$9+1,1))</f>
        <v>255.5374979188561</v>
      </c>
      <c r="T10" s="59">
        <f t="shared" si="34"/>
        <v>343.10418468620901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7.2264102564102561</v>
      </c>
      <c r="AI10" s="13">
        <f>IF('Données projet'!$A$62&gt;35,AI9+AH10-AQ9,IF(A10&lt;'Données projet'!$A$62,$AF$205^A10,IF(A10='Données projet'!$A$62,'Données projet'!$B$62,AI9+AH10-AQ9)))</f>
        <v>3.5081398877252363</v>
      </c>
      <c r="AJ10" s="13">
        <f>AI10*VLOOKUP('Données projet'!$B$10,Paramètres!$A$1:$I$89,3,0)*VLOOKUP('Données projet'!$B$10,Paramètres!$A$1:$I$89,5,0)</f>
        <v>1.6418094674554107</v>
      </c>
      <c r="AK10" s="13">
        <f t="shared" si="35"/>
        <v>0.71418586714920729</v>
      </c>
      <c r="AL10" s="20">
        <f t="shared" si="4"/>
        <v>4.1033585411030424</v>
      </c>
      <c r="AM10" s="59">
        <f t="shared" si="5"/>
        <v>297.43669187443635</v>
      </c>
      <c r="AN10" s="59">
        <f ca="1">AVERAGE(OFFSET($AM$3,0,0,'Données projet'!$E$10+1,1))-AVERAGE(OFFSET($H$3,0,0,'Données projet'!$E$10+1,1))</f>
        <v>158.58786357608489</v>
      </c>
      <c r="AO10" s="59">
        <f t="shared" si="36"/>
        <v>163.20074068819849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5.0823076923076922</v>
      </c>
      <c r="BD10" s="12">
        <f>IF('Données projet'!$A$88&gt;35,BD9+BC10-BL9,IF(A10&lt;'Données projet'!$A$88,$BA$205^A10,IF(A10='Données projet'!$A$88,'Données projet'!$B$88,BD9+BC10-BL9)))</f>
        <v>15.640213174415782</v>
      </c>
      <c r="BE10" s="13">
        <f>BD10*VLOOKUP('Données projet'!$B$11,Paramètres!$A$1:$I$89,3,0)*VLOOKUP('Données projet'!$B$11,Paramètres!$A$1:$I$89,5,0)</f>
        <v>9.3528474783006388</v>
      </c>
      <c r="BF10" s="13">
        <f t="shared" si="37"/>
        <v>3.322599937920736</v>
      </c>
      <c r="BG10" s="20">
        <f t="shared" si="7"/>
        <v>22.076404249918891</v>
      </c>
      <c r="BH10" s="59">
        <f t="shared" si="8"/>
        <v>315.40973758325219</v>
      </c>
      <c r="BI10" s="59">
        <f ca="1">AVERAGE(OFFSET($BH$3,0,0,'Données projet'!$E$11+1,1))-AVERAGE(OFFSET($H$3,0,0,'Données projet'!$E$11+1,1))</f>
        <v>243.85350804244348</v>
      </c>
      <c r="BJ10" s="59">
        <f t="shared" si="38"/>
        <v>304.60992308960545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4.3499999999999996</v>
      </c>
      <c r="BY10" s="12">
        <f>IF('Données projet'!$A$114&gt;35,BY9+BX10-CG9,IF(A10&lt;'Données projet'!$A$114,$BV$205^A10,IF(A10='Données projet'!$A$114,'Données projet'!$B$114,BY9+BX10-CG9)))</f>
        <v>4.7734429716853528</v>
      </c>
      <c r="BZ10" s="13">
        <f>BY10*VLOOKUP('Données projet'!$B$12,Paramètres!$A$1:$I$89,3,0)*VLOOKUP('Données projet'!$B$12,Paramètres!$A$1:$I$89,5,0)</f>
        <v>2.8545188970678415</v>
      </c>
      <c r="CA10" s="13">
        <f t="shared" si="39"/>
        <v>1.1642894309941516</v>
      </c>
      <c r="CB10" s="20">
        <f t="shared" si="10"/>
        <v>6.9994245047079717</v>
      </c>
      <c r="CC10" s="59">
        <f t="shared" si="11"/>
        <v>300.33275783804129</v>
      </c>
      <c r="CD10" s="59">
        <f ca="1">AVERAGE(OFFSET($CC$3,0,0,'Données projet'!$E$12+1,1))-AVERAGE(OFFSET($H$3,0,0,'Données projet'!$E$12+1,1))</f>
        <v>270.30888762640245</v>
      </c>
      <c r="CE10" s="59">
        <f t="shared" si="40"/>
        <v>202.23783851977691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1.1000000000000001</v>
      </c>
      <c r="CT10" s="12">
        <f>IF('Données projet'!$A$140&gt;35,CT9+CS10-DB9,IF(A10&lt;'Données projet'!$A$140,$CQ$205^A10,IF(A10='Données projet'!$A$140,'Données projet'!$B$140,CT9+CS10-DB9)))</f>
        <v>5.3576566694841175</v>
      </c>
      <c r="CU10" s="17">
        <f>CT10*VLOOKUP('Données projet'!$B$13,Paramètres!$A$1:$I$89,3,0)*VLOOKUP('Données projet'!$B$13,Paramètres!$A$1:$I$89,5,0)</f>
        <v>4.2625516462415645</v>
      </c>
      <c r="CV10" s="13">
        <f t="shared" si="41"/>
        <v>1.6593124478620722</v>
      </c>
      <c r="CW10" s="20">
        <f t="shared" si="13"/>
        <v>10.313913297230501</v>
      </c>
      <c r="CX10" s="59">
        <f t="shared" si="14"/>
        <v>303.64724663056381</v>
      </c>
      <c r="CY10" s="59">
        <f ca="1">AVERAGE(OFFSET($CX$3,0,0,'Données projet'!$E$13+1,1))-AVERAGE(OFFSET($H$3,0,0,'Données projet'!$E$13+1,1))</f>
        <v>260.20517190557814</v>
      </c>
      <c r="CZ10" s="59">
        <f t="shared" si="42"/>
        <v>307.22009971147133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4.0628205128205126</v>
      </c>
      <c r="DO10" s="12">
        <f>IF('Données projet'!$A$166&gt;35,DO9+DN10-DW9,IF(A10&lt;'Données projet'!$A$166,$DL$205^A10,IF(A10='Données projet'!$A$166,'Données projet'!$B$166,DO9+DN10-DW9)))</f>
        <v>3.067053897654088</v>
      </c>
      <c r="DP10" s="17">
        <f>DO10*VLOOKUP('Données projet'!$B$14,Paramètres!$A$1:$I$89,3,0)*VLOOKUP('Données projet'!$B$14,Paramètres!$A$1:$I$89,5,0)</f>
        <v>3.1099926522212455</v>
      </c>
      <c r="DQ10" s="13">
        <f t="shared" si="43"/>
        <v>1.2558976215767859</v>
      </c>
      <c r="DR10" s="20">
        <f t="shared" si="16"/>
        <v>7.6039255601982383</v>
      </c>
      <c r="DS10" s="59">
        <f t="shared" si="17"/>
        <v>300.93725889353158</v>
      </c>
      <c r="DT10" s="59">
        <f ca="1">AVERAGE(OFFSET($DS$3,0,0,'Données projet'!$E$14+1,1))-AVERAGE(OFFSET($H$3,0,0,'Données projet'!$E$14+1,1))</f>
        <v>263.15518481854753</v>
      </c>
      <c r="DU10" s="59">
        <f t="shared" si="44"/>
        <v>210.80755370263819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1.1000000000000001</v>
      </c>
      <c r="EJ10" s="12">
        <f>IF('Données projet'!$A$192&gt;35,EJ9+EI10-ER9,IF(A10&lt;'Données projet'!$A$192,$EG$205^A10,IF(A10='Données projet'!$A$192,'Données projet'!$B$192,EJ9+EI10-ER9)))</f>
        <v>5.3576566694841175</v>
      </c>
      <c r="EK10" s="17">
        <f>EJ10*VLOOKUP('Données projet'!$B$15,Paramètres!$A$1:$I$89,3,0)*VLOOKUP('Données projet'!$B$15,Paramètres!$A$1:$I$89,5,0)</f>
        <v>3.5939160938899462</v>
      </c>
      <c r="EL10" s="13">
        <f t="shared" si="45"/>
        <v>1.4270917350619183</v>
      </c>
      <c r="EM10" s="20">
        <f t="shared" si="19"/>
        <v>8.7449219687578292</v>
      </c>
      <c r="EN10" s="59">
        <f t="shared" si="20"/>
        <v>302.07825530209112</v>
      </c>
      <c r="EO10" s="59">
        <f ca="1">AVERAGE(OFFSET($EN$3,0,0,'Données projet'!$E$15+1,1))-AVERAGE(OFFSET($H$3,0,0,'Données projet'!$E$15+1,1))</f>
        <v>207.93042467236967</v>
      </c>
      <c r="EP10" s="59">
        <f t="shared" si="46"/>
        <v>250.70954318710835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4.0628205128205126</v>
      </c>
      <c r="FE10" s="12">
        <f>IF('Données projet'!$A$218&gt;35,FE9+FD10-FM9,IF(A10&lt;'Données projet'!$A$218,$FB$205^A10,IF(A10='Données projet'!$A$218,'Données projet'!$B$218,FE9+FD10-FM9)))</f>
        <v>3.067053897654088</v>
      </c>
      <c r="FF10" s="17">
        <f>FE10*VLOOKUP('Données projet'!$B$16,Paramètres!$A$1:$I$89,3,0)*VLOOKUP('Données projet'!$B$16,Paramètres!$A$1:$I$89,5,0)</f>
        <v>3.3013768154348599</v>
      </c>
      <c r="FG10" s="13">
        <f t="shared" si="47"/>
        <v>1.3239483802426903</v>
      </c>
      <c r="FH10" s="20">
        <f t="shared" si="22"/>
        <v>8.0557747158050663</v>
      </c>
      <c r="FI10" s="59">
        <f t="shared" si="23"/>
        <v>301.38910804913837</v>
      </c>
      <c r="FJ10" s="59">
        <f ca="1">AVERAGE(OFFSET($FI$3,0,0,'Données projet'!$E$16+1,1))-AVERAGE(OFFSET($H$3,0,0,'Données projet'!$E$16+1,1))</f>
        <v>286.77702855541287</v>
      </c>
      <c r="FK10" s="59">
        <f t="shared" si="48"/>
        <v>227.12211541860779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4.9084615384615384</v>
      </c>
      <c r="FZ10" s="12">
        <f>IF('Données projet'!$A$244&gt;35,FZ9+FY10-GH9,IF(A10&lt;'Données projet'!$A$244,$FW$205^A10,IF(A10='Données projet'!$A$244,'Données projet'!$B$244,FZ9+FY10-GH9)))</f>
        <v>3.2053998896536791</v>
      </c>
      <c r="GA10" s="17">
        <f>FZ10*VLOOKUP('Données projet'!$B$17,Paramètres!$A$1:$I$89,3,0)*VLOOKUP('Données projet'!$B$17,Paramètres!$A$1:$I$89,5,0)</f>
        <v>1.5001271483579217</v>
      </c>
      <c r="GB10" s="13">
        <f t="shared" si="49"/>
        <v>0.65944537721878049</v>
      </c>
      <c r="GC10" s="20">
        <f t="shared" si="25"/>
        <v>3.7612554820460891</v>
      </c>
      <c r="GD10" s="59">
        <f t="shared" si="26"/>
        <v>297.09458881537938</v>
      </c>
      <c r="GE10" s="59">
        <f ca="1">AVERAGE(OFFSET($GD$3,0,0,'Données projet'!$E$17+1,1))-AVERAGE(OFFSET($H$3,0,0,'Données projet'!$E$17+1,1))</f>
        <v>123.2823358462245</v>
      </c>
      <c r="GF10" s="59">
        <f t="shared" si="50"/>
        <v>92.75115399786057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7.4312217194570129</v>
      </c>
      <c r="GU10" s="12">
        <f>IF('Données projet'!$A$270&gt;35,GU9+GT10-HC9,IF(A10&lt;'Données projet'!$A$270,$GR$205^A10,IF(A10='Données projet'!$A$270,'Données projet'!$B$270,GU9+GT10-HC9)))</f>
        <v>7.3337701280605696</v>
      </c>
      <c r="GV10" s="17">
        <f>GU10*VLOOKUP('Données projet'!$B$18,Paramètres!$A$1:$I$89,3,0)*VLOOKUP('Données projet'!$B$18,Paramètres!$A$1:$I$89,5,0)</f>
        <v>4.3855945365802205</v>
      </c>
      <c r="GW10" s="13">
        <f t="shared" si="51"/>
        <v>1.7015645433219191</v>
      </c>
      <c r="GX10" s="20">
        <f t="shared" si="28"/>
        <v>10.601802064162893</v>
      </c>
      <c r="GY10" s="59">
        <f t="shared" si="29"/>
        <v>303.9351353974962</v>
      </c>
      <c r="GZ10" s="59">
        <f ca="1">AVERAGE(OFFSET($GY$3,0,0,'Données projet'!$E$18+1,1))-AVERAGE(OFFSET($H$3,0,0,'Données projet'!$E$18+1,1))</f>
        <v>171.96009656745713</v>
      </c>
      <c r="HA10" s="59">
        <f t="shared" si="52"/>
        <v>172.37574906747716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>
        <f>EXP(-LN(2)/35)*HG9+(1-EXP(-LN(2)/35))/(LN(2)/35)*HC10*HD10*VLOOKUP('Données projet'!$B$18,Paramètres!$A$1:$I$89,3,0)*0.475*44/12</f>
        <v>0</v>
      </c>
      <c r="HH10" s="21">
        <f>EXP(-LN(2)/25)*HH9+(1-EXP(-LN(2)/25))/(LN(2)/25)*Calculateur!HC10*Calculateur!HE10*VLOOKUP('Données projet'!$B$18,Paramètres!$A$1:$I$89,3,0)*0.475*44/12</f>
        <v>0</v>
      </c>
      <c r="HI10" s="21">
        <f>EXP(-LN(2)/2)*HI9+(1-EXP(-LN(2)/2))/(LN(2)/2)*HC10*HF10*VLOOKUP('Données projet'!$B$18,Paramètres!$A$1:$I$89,3,0)*0.475*44/12</f>
        <v>0</v>
      </c>
      <c r="HJ10" s="22">
        <f t="shared" si="30"/>
        <v>0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9.3968325791855207</v>
      </c>
      <c r="N11" s="13">
        <f>IF('Données projet'!$A$36&gt;35,N10+M11-V10,IF(A11&lt;'Données projet'!$A$36,$K$205^A11,IF(A11='Données projet'!$A$36,'Données projet'!$B$36,N10+M11-V10)))</f>
        <v>10.88700515391691</v>
      </c>
      <c r="O11" s="13">
        <f>N11*VLOOKUP('Données projet'!$B$9,Paramètres!$A$1:$I$89,3,0)*VLOOKUP('Données projet'!$B$9,Paramètres!$A$1:$I$89,5,0)</f>
        <v>6.0858358810395528</v>
      </c>
      <c r="P11" s="13">
        <f t="shared" si="33"/>
        <v>2.2728848076650809</v>
      </c>
      <c r="Q11" s="20">
        <f t="shared" si="2"/>
        <v>14.558105199493902</v>
      </c>
      <c r="R11" s="59">
        <f t="shared" si="0"/>
        <v>307.89143853282724</v>
      </c>
      <c r="S11" s="59">
        <f ca="1">AVERAGE(OFFSET($R$3,0,0,'Données projet'!$E$9+1,1))-AVERAGE(OFFSET($H$3,0,0,'Données projet'!$E$9+1,1))</f>
        <v>255.5374979188561</v>
      </c>
      <c r="T11" s="59">
        <f t="shared" si="34"/>
        <v>343.10418468620901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7.2264102564102561</v>
      </c>
      <c r="AI11" s="13">
        <f>IF('Données projet'!$A$62&gt;35,AI10+AH11-AQ10,IF(A11&lt;'Données projet'!$A$62,$AF$205^A11,IF(A11='Données projet'!$A$62,'Données projet'!$B$62,AI10+AH11-AQ10)))</f>
        <v>4.1970585866050225</v>
      </c>
      <c r="AJ11" s="13">
        <f>AI11*VLOOKUP('Données projet'!$B$10,Paramètres!$A$1:$I$89,3,0)*VLOOKUP('Données projet'!$B$10,Paramètres!$A$1:$I$89,5,0)</f>
        <v>1.9642234185311505</v>
      </c>
      <c r="AK11" s="13">
        <f t="shared" si="35"/>
        <v>0.83678816759654573</v>
      </c>
      <c r="AL11" s="20">
        <f t="shared" si="4"/>
        <v>4.8784285125057369</v>
      </c>
      <c r="AM11" s="59">
        <f t="shared" si="5"/>
        <v>298.21176184583908</v>
      </c>
      <c r="AN11" s="59">
        <f ca="1">AVERAGE(OFFSET($AM$3,0,0,'Données projet'!$E$10+1,1))-AVERAGE(OFFSET($H$3,0,0,'Données projet'!$E$10+1,1))</f>
        <v>158.58786357608489</v>
      </c>
      <c r="AO11" s="59">
        <f t="shared" si="36"/>
        <v>163.20074068819849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5.0823076923076922</v>
      </c>
      <c r="BD11" s="12">
        <f>IF('Données projet'!$A$88&gt;35,BD10+BC11-BL10,IF(A11&lt;'Données projet'!$A$88,$BA$205^A11,IF(A11='Données projet'!$A$88,'Données projet'!$B$88,BD10+BC11-BL10)))</f>
        <v>23.165877932859601</v>
      </c>
      <c r="BE11" s="13">
        <f>BD11*VLOOKUP('Données projet'!$B$11,Paramètres!$A$1:$I$89,3,0)*VLOOKUP('Données projet'!$B$11,Paramètres!$A$1:$I$89,5,0)</f>
        <v>13.853195003850043</v>
      </c>
      <c r="BF11" s="13">
        <f t="shared" si="37"/>
        <v>4.7013826315152487</v>
      </c>
      <c r="BG11" s="20">
        <f t="shared" si="7"/>
        <v>32.315889381594552</v>
      </c>
      <c r="BH11" s="59">
        <f t="shared" si="8"/>
        <v>325.64922271492787</v>
      </c>
      <c r="BI11" s="59">
        <f ca="1">AVERAGE(OFFSET($BH$3,0,0,'Données projet'!$E$11+1,1))-AVERAGE(OFFSET($H$3,0,0,'Données projet'!$E$11+1,1))</f>
        <v>243.85350804244348</v>
      </c>
      <c r="BJ11" s="59">
        <f t="shared" si="38"/>
        <v>304.60992308960545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4.3499999999999996</v>
      </c>
      <c r="BY11" s="12">
        <f>IF('Données projet'!$A$114&gt;35,BY10+BX11-CG10,IF(A11&lt;'Données projet'!$A$114,$BV$205^A11,IF(A11='Données projet'!$A$114,'Données projet'!$B$114,BY10+BX11-CG10)))</f>
        <v>5.9677098701087603</v>
      </c>
      <c r="BZ11" s="13">
        <f>BY11*VLOOKUP('Données projet'!$B$12,Paramètres!$A$1:$I$89,3,0)*VLOOKUP('Données projet'!$B$12,Paramètres!$A$1:$I$89,5,0)</f>
        <v>3.5686905023250386</v>
      </c>
      <c r="CA11" s="13">
        <f t="shared" si="39"/>
        <v>1.4182373406363031</v>
      </c>
      <c r="CB11" s="20">
        <f t="shared" si="10"/>
        <v>8.6855659931576685</v>
      </c>
      <c r="CC11" s="59">
        <f t="shared" si="11"/>
        <v>302.01889932649101</v>
      </c>
      <c r="CD11" s="59">
        <f ca="1">AVERAGE(OFFSET($CC$3,0,0,'Données projet'!$E$12+1,1))-AVERAGE(OFFSET($H$3,0,0,'Données projet'!$E$12+1,1))</f>
        <v>270.30888762640245</v>
      </c>
      <c r="CE11" s="59">
        <f t="shared" si="40"/>
        <v>202.23783851977691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1.1000000000000001</v>
      </c>
      <c r="CT11" s="12">
        <f>IF('Données projet'!$A$140&gt;35,CT10+CS11-DB10,IF(A11&lt;'Données projet'!$A$140,$CQ$205^A11,IF(A11='Données projet'!$A$140,'Données projet'!$B$140,CT10+CS11-DB10)))</f>
        <v>6.8094831275223076</v>
      </c>
      <c r="CU11" s="17">
        <f>CT11*VLOOKUP('Données projet'!$B$13,Paramètres!$A$1:$I$89,3,0)*VLOOKUP('Données projet'!$B$13,Paramètres!$A$1:$I$89,5,0)</f>
        <v>5.4176247762567487</v>
      </c>
      <c r="CV11" s="13">
        <f t="shared" si="41"/>
        <v>2.0509054013412618</v>
      </c>
      <c r="CW11" s="20">
        <f t="shared" si="13"/>
        <v>13.007690059316532</v>
      </c>
      <c r="CX11" s="59">
        <f t="shared" si="14"/>
        <v>306.34102339264984</v>
      </c>
      <c r="CY11" s="59">
        <f ca="1">AVERAGE(OFFSET($CX$3,0,0,'Données projet'!$E$13+1,1))-AVERAGE(OFFSET($H$3,0,0,'Données projet'!$E$13+1,1))</f>
        <v>260.20517190557814</v>
      </c>
      <c r="CZ11" s="59">
        <f t="shared" si="42"/>
        <v>307.22009971147133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4.0628205128205126</v>
      </c>
      <c r="DO11" s="12">
        <f>IF('Données projet'!$A$166&gt;35,DO10+DN11-DW10,IF(A11&lt;'Données projet'!$A$166,$DL$205^A11,IF(A11='Données projet'!$A$166,'Données projet'!$B$166,DO10+DN11-DW10)))</f>
        <v>3.5995900084872572</v>
      </c>
      <c r="DP11" s="17">
        <f>DO11*VLOOKUP('Données projet'!$B$14,Paramètres!$A$1:$I$89,3,0)*VLOOKUP('Données projet'!$B$14,Paramètres!$A$1:$I$89,5,0)</f>
        <v>3.6499842686060791</v>
      </c>
      <c r="DQ11" s="13">
        <f t="shared" si="43"/>
        <v>1.4467463187725633</v>
      </c>
      <c r="DR11" s="20">
        <f t="shared" si="16"/>
        <v>8.8768057730178018</v>
      </c>
      <c r="DS11" s="59">
        <f t="shared" si="17"/>
        <v>302.21013910635111</v>
      </c>
      <c r="DT11" s="59">
        <f ca="1">AVERAGE(OFFSET($DS$3,0,0,'Données projet'!$E$14+1,1))-AVERAGE(OFFSET($H$3,0,0,'Données projet'!$E$14+1,1))</f>
        <v>263.15518481854753</v>
      </c>
      <c r="DU11" s="59">
        <f t="shared" si="44"/>
        <v>210.80755370263819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1.1000000000000001</v>
      </c>
      <c r="EJ11" s="12">
        <f>IF('Données projet'!$A$192&gt;35,EJ10+EI11-ER10,IF(A11&lt;'Données projet'!$A$192,$EG$205^A11,IF(A11='Données projet'!$A$192,'Données projet'!$B$192,EJ10+EI11-ER10)))</f>
        <v>6.8094831275223076</v>
      </c>
      <c r="EK11" s="17">
        <f>EJ11*VLOOKUP('Données projet'!$B$15,Paramètres!$A$1:$I$89,3,0)*VLOOKUP('Données projet'!$B$15,Paramètres!$A$1:$I$89,5,0)</f>
        <v>4.5678012819419642</v>
      </c>
      <c r="EL11" s="13">
        <f t="shared" si="45"/>
        <v>1.7638812698711521</v>
      </c>
      <c r="EM11" s="20">
        <f t="shared" si="19"/>
        <v>11.027680444407844</v>
      </c>
      <c r="EN11" s="59">
        <f t="shared" si="20"/>
        <v>304.36101377774116</v>
      </c>
      <c r="EO11" s="59">
        <f ca="1">AVERAGE(OFFSET($EN$3,0,0,'Données projet'!$E$15+1,1))-AVERAGE(OFFSET($H$3,0,0,'Données projet'!$E$15+1,1))</f>
        <v>207.93042467236967</v>
      </c>
      <c r="EP11" s="59">
        <f t="shared" si="46"/>
        <v>250.70954318710835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4.0628205128205126</v>
      </c>
      <c r="FE11" s="12">
        <f>IF('Données projet'!$A$218&gt;35,FE10+FD11-FM10,IF(A11&lt;'Données projet'!$A$218,$FB$205^A11,IF(A11='Données projet'!$A$218,'Données projet'!$B$218,FE10+FD11-FM10)))</f>
        <v>3.5995900084872572</v>
      </c>
      <c r="FF11" s="17">
        <f>FE11*VLOOKUP('Données projet'!$B$16,Paramètres!$A$1:$I$89,3,0)*VLOOKUP('Données projet'!$B$16,Paramètres!$A$1:$I$89,5,0)</f>
        <v>3.8745986851356835</v>
      </c>
      <c r="FG11" s="13">
        <f t="shared" si="47"/>
        <v>1.5251382058962688</v>
      </c>
      <c r="FH11" s="20">
        <f t="shared" si="22"/>
        <v>9.4045417518806484</v>
      </c>
      <c r="FI11" s="59">
        <f t="shared" si="23"/>
        <v>302.73787508521394</v>
      </c>
      <c r="FJ11" s="59">
        <f ca="1">AVERAGE(OFFSET($FI$3,0,0,'Données projet'!$E$16+1,1))-AVERAGE(OFFSET($H$3,0,0,'Données projet'!$E$16+1,1))</f>
        <v>286.77702855541287</v>
      </c>
      <c r="FK11" s="59">
        <f t="shared" si="48"/>
        <v>227.12211541860779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4.9084615384615384</v>
      </c>
      <c r="FZ11" s="12">
        <f>IF('Données projet'!$A$244&gt;35,FZ10+FY11-GH10,IF(A11&lt;'Données projet'!$A$244,$FW$205^A11,IF(A11='Données projet'!$A$244,'Données projet'!$B$244,FZ10+FY11-GH10)))</f>
        <v>3.7857428072090569</v>
      </c>
      <c r="GA11" s="17">
        <f>FZ11*VLOOKUP('Données projet'!$B$17,Paramètres!$A$1:$I$89,3,0)*VLOOKUP('Données projet'!$B$17,Paramètres!$A$1:$I$89,5,0)</f>
        <v>1.7717276337738388</v>
      </c>
      <c r="GB11" s="13">
        <f t="shared" si="49"/>
        <v>0.76389843061877893</v>
      </c>
      <c r="GC11" s="20">
        <f t="shared" si="25"/>
        <v>4.4162153954838086</v>
      </c>
      <c r="GD11" s="59">
        <f t="shared" si="26"/>
        <v>297.7495487288171</v>
      </c>
      <c r="GE11" s="59">
        <f ca="1">AVERAGE(OFFSET($GD$3,0,0,'Données projet'!$E$17+1,1))-AVERAGE(OFFSET($H$3,0,0,'Données projet'!$E$17+1,1))</f>
        <v>123.2823358462245</v>
      </c>
      <c r="GF11" s="59">
        <f t="shared" si="50"/>
        <v>92.75115399786057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7.4312217194570129</v>
      </c>
      <c r="GU11" s="12">
        <f>IF('Données projet'!$A$270&gt;35,GU10+GT11-HC10,IF(A11&lt;'Données projet'!$A$270,$GR$205^A11,IF(A11='Données projet'!$A$270,'Données projet'!$B$270,GU10+GT11-HC10)))</f>
        <v>9.748672435120179</v>
      </c>
      <c r="GV11" s="17">
        <f>GU11*VLOOKUP('Données projet'!$B$18,Paramètres!$A$1:$I$89,3,0)*VLOOKUP('Données projet'!$B$18,Paramètres!$A$1:$I$89,5,0)</f>
        <v>5.8297061162018684</v>
      </c>
      <c r="GW11" s="13">
        <f t="shared" si="51"/>
        <v>2.1881518405377438</v>
      </c>
      <c r="GX11" s="20">
        <f t="shared" si="28"/>
        <v>13.96443594132149</v>
      </c>
      <c r="GY11" s="59">
        <f t="shared" si="29"/>
        <v>307.2977692746548</v>
      </c>
      <c r="GZ11" s="59">
        <f ca="1">AVERAGE(OFFSET($GY$3,0,0,'Données projet'!$E$18+1,1))-AVERAGE(OFFSET($H$3,0,0,'Données projet'!$E$18+1,1))</f>
        <v>171.96009656745713</v>
      </c>
      <c r="HA11" s="59">
        <f t="shared" si="52"/>
        <v>172.37574906747716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>
        <f>EXP(-LN(2)/35)*HG10+(1-EXP(-LN(2)/35))/(LN(2)/35)*HC11*HD11*VLOOKUP('Données projet'!$B$18,Paramètres!$A$1:$I$89,3,0)*0.475*44/12</f>
        <v>0</v>
      </c>
      <c r="HH11" s="21">
        <f>EXP(-LN(2)/25)*HH10+(1-EXP(-LN(2)/25))/(LN(2)/25)*Calculateur!HC11*Calculateur!HE11*VLOOKUP('Données projet'!$B$18,Paramètres!$A$1:$I$89,3,0)*0.475*44/12</f>
        <v>0</v>
      </c>
      <c r="HI11" s="21">
        <f>EXP(-LN(2)/2)*HI10+(1-EXP(-LN(2)/2))/(LN(2)/2)*HC11*HF11*VLOOKUP('Données projet'!$B$18,Paramètres!$A$1:$I$89,3,0)*0.475*44/12</f>
        <v>0</v>
      </c>
      <c r="HJ11" s="22">
        <f t="shared" si="30"/>
        <v>0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9.3968325791855207</v>
      </c>
      <c r="N12" s="13">
        <f>IF('Données projet'!$A$36&gt;35,N11+M12-V11,IF(A12&lt;'Données projet'!$A$36,$K$205^A12,IF(A12='Données projet'!$A$36,'Données projet'!$B$36,N11+M12-V11)))</f>
        <v>14.673103538366622</v>
      </c>
      <c r="O12" s="13">
        <f>N12*VLOOKUP('Données projet'!$B$9,Paramètres!$A$1:$I$89,3,0)*VLOOKUP('Données projet'!$B$9,Paramètres!$A$1:$I$89,5,0)</f>
        <v>8.2022648779469414</v>
      </c>
      <c r="P12" s="13">
        <f t="shared" si="33"/>
        <v>2.9587206421790828</v>
      </c>
      <c r="Q12" s="20">
        <f t="shared" si="2"/>
        <v>19.438716447552824</v>
      </c>
      <c r="R12" s="59">
        <f t="shared" si="0"/>
        <v>312.77204978088616</v>
      </c>
      <c r="S12" s="59">
        <f ca="1">AVERAGE(OFFSET($R$3,0,0,'Données projet'!$E$9+1,1))-AVERAGE(OFFSET($H$3,0,0,'Données projet'!$E$9+1,1))</f>
        <v>255.5374979188561</v>
      </c>
      <c r="T12" s="59">
        <f t="shared" si="34"/>
        <v>343.10418468620901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7.2264102564102561</v>
      </c>
      <c r="AI12" s="13">
        <f>IF('Données projet'!$A$62&gt;35,AI11+AH12-AQ11,IF(A12&lt;'Données projet'!$A$62,$AF$205^A12,IF(A12='Données projet'!$A$62,'Données projet'!$B$62,AI11+AH12-AQ11)))</f>
        <v>5.0212652126643498</v>
      </c>
      <c r="AJ12" s="13">
        <f>AI12*VLOOKUP('Données projet'!$B$10,Paramètres!$A$1:$I$89,3,0)*VLOOKUP('Données projet'!$B$10,Paramètres!$A$1:$I$89,5,0)</f>
        <v>2.349952119526916</v>
      </c>
      <c r="AK12" s="13">
        <f t="shared" si="35"/>
        <v>0.98043726379605944</v>
      </c>
      <c r="AL12" s="20">
        <f t="shared" si="4"/>
        <v>5.8004281759541811</v>
      </c>
      <c r="AM12" s="59">
        <f t="shared" si="5"/>
        <v>299.13376150928752</v>
      </c>
      <c r="AN12" s="59">
        <f ca="1">AVERAGE(OFFSET($AM$3,0,0,'Données projet'!$E$10+1,1))-AVERAGE(OFFSET($H$3,0,0,'Données projet'!$E$10+1,1))</f>
        <v>158.58786357608489</v>
      </c>
      <c r="AO12" s="59">
        <f t="shared" si="36"/>
        <v>163.20074068819849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5.0823076923076922</v>
      </c>
      <c r="BD12" s="12">
        <f>IF('Données projet'!$A$88&gt;35,BD11+BC12-BL11,IF(A12&lt;'Données projet'!$A$88,$BA$205^A12,IF(A12='Données projet'!$A$88,'Données projet'!$B$88,BD11+BC12-BL11)))</f>
        <v>34.312697302490413</v>
      </c>
      <c r="BE12" s="13">
        <f>BD12*VLOOKUP('Données projet'!$B$11,Paramètres!$A$1:$I$89,3,0)*VLOOKUP('Données projet'!$B$11,Paramètres!$A$1:$I$89,5,0)</f>
        <v>20.51899298688927</v>
      </c>
      <c r="BF12" s="13">
        <f t="shared" si="37"/>
        <v>6.6523201892747759</v>
      </c>
      <c r="BG12" s="20">
        <f t="shared" si="7"/>
        <v>47.323370448485711</v>
      </c>
      <c r="BH12" s="59">
        <f t="shared" si="8"/>
        <v>340.65670378181903</v>
      </c>
      <c r="BI12" s="59">
        <f ca="1">AVERAGE(OFFSET($BH$3,0,0,'Données projet'!$E$11+1,1))-AVERAGE(OFFSET($H$3,0,0,'Données projet'!$E$11+1,1))</f>
        <v>243.85350804244348</v>
      </c>
      <c r="BJ12" s="59">
        <f t="shared" si="38"/>
        <v>304.60992308960545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4.3499999999999996</v>
      </c>
      <c r="BY12" s="12">
        <f>IF('Données projet'!$A$114&gt;35,BY11+BX12-CG11,IF(A12&lt;'Données projet'!$A$114,$BV$205^A12,IF(A12='Données projet'!$A$114,'Données projet'!$B$114,BY11+BX12-CG11)))</f>
        <v>7.4607702040314701</v>
      </c>
      <c r="BZ12" s="13">
        <f>BY12*VLOOKUP('Données projet'!$B$12,Paramètres!$A$1:$I$89,3,0)*VLOOKUP('Données projet'!$B$12,Paramètres!$A$1:$I$89,5,0)</f>
        <v>4.4615405820108194</v>
      </c>
      <c r="CA12" s="13">
        <f t="shared" si="39"/>
        <v>1.7275748631142889</v>
      </c>
      <c r="CB12" s="20">
        <f t="shared" si="10"/>
        <v>10.779376066926231</v>
      </c>
      <c r="CC12" s="59">
        <f t="shared" si="11"/>
        <v>304.11270940025952</v>
      </c>
      <c r="CD12" s="59">
        <f ca="1">AVERAGE(OFFSET($CC$3,0,0,'Données projet'!$E$12+1,1))-AVERAGE(OFFSET($H$3,0,0,'Données projet'!$E$12+1,1))</f>
        <v>270.30888762640245</v>
      </c>
      <c r="CE12" s="59">
        <f t="shared" si="40"/>
        <v>202.23783851977691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1.1000000000000001</v>
      </c>
      <c r="CT12" s="12">
        <f>IF('Données projet'!$A$140&gt;35,CT11+CS12-DB11,IF(A12&lt;'Données projet'!$A$140,$CQ$205^A12,IF(A12='Données projet'!$A$140,'Données projet'!$B$140,CT11+CS12-DB11)))</f>
        <v>8.6547278641645029</v>
      </c>
      <c r="CU12" s="17">
        <f>CT12*VLOOKUP('Données projet'!$B$13,Paramètres!$A$1:$I$89,3,0)*VLOOKUP('Données projet'!$B$13,Paramètres!$A$1:$I$89,5,0)</f>
        <v>6.8857014887292793</v>
      </c>
      <c r="CV12" s="13">
        <f t="shared" si="41"/>
        <v>2.5349131627802968</v>
      </c>
      <c r="CW12" s="20">
        <f t="shared" si="13"/>
        <v>16.407570518045844</v>
      </c>
      <c r="CX12" s="59">
        <f t="shared" si="14"/>
        <v>309.74090385137913</v>
      </c>
      <c r="CY12" s="59">
        <f ca="1">AVERAGE(OFFSET($CX$3,0,0,'Données projet'!$E$13+1,1))-AVERAGE(OFFSET($H$3,0,0,'Données projet'!$E$13+1,1))</f>
        <v>260.20517190557814</v>
      </c>
      <c r="CZ12" s="59">
        <f t="shared" si="42"/>
        <v>307.22009971147133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4.0628205128205126</v>
      </c>
      <c r="DO12" s="12">
        <f>IF('Données projet'!$A$166&gt;35,DO11+DN12-DW11,IF(A12&lt;'Données projet'!$A$166,$DL$205^A12,IF(A12='Données projet'!$A$166,'Données projet'!$B$166,DO11+DN12-DW11)))</f>
        <v>4.2245909793472531</v>
      </c>
      <c r="DP12" s="17">
        <f>DO12*VLOOKUP('Données projet'!$B$14,Paramètres!$A$1:$I$89,3,0)*VLOOKUP('Données projet'!$B$14,Paramètres!$A$1:$I$89,5,0)</f>
        <v>4.283735253058115</v>
      </c>
      <c r="DQ12" s="13">
        <f t="shared" si="43"/>
        <v>1.6665967630817691</v>
      </c>
      <c r="DR12" s="20">
        <f t="shared" si="16"/>
        <v>10.363494928110297</v>
      </c>
      <c r="DS12" s="59">
        <f t="shared" si="17"/>
        <v>303.69682826144361</v>
      </c>
      <c r="DT12" s="59">
        <f ca="1">AVERAGE(OFFSET($DS$3,0,0,'Données projet'!$E$14+1,1))-AVERAGE(OFFSET($H$3,0,0,'Données projet'!$E$14+1,1))</f>
        <v>263.15518481854753</v>
      </c>
      <c r="DU12" s="59">
        <f t="shared" si="44"/>
        <v>210.80755370263819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1.1000000000000001</v>
      </c>
      <c r="EJ12" s="12">
        <f>IF('Données projet'!$A$192&gt;35,EJ11+EI12-ER11,IF(A12&lt;'Données projet'!$A$192,$EG$205^A12,IF(A12='Données projet'!$A$192,'Données projet'!$B$192,EJ11+EI12-ER11)))</f>
        <v>8.6547278641645029</v>
      </c>
      <c r="EK12" s="17">
        <f>EJ12*VLOOKUP('Données projet'!$B$15,Paramètres!$A$1:$I$89,3,0)*VLOOKUP('Données projet'!$B$15,Paramètres!$A$1:$I$89,5,0)</f>
        <v>5.8055914512815487</v>
      </c>
      <c r="EL12" s="13">
        <f t="shared" si="45"/>
        <v>2.1801521638461985</v>
      </c>
      <c r="EM12" s="20">
        <f t="shared" si="19"/>
        <v>13.908503463014158</v>
      </c>
      <c r="EN12" s="59">
        <f t="shared" si="20"/>
        <v>307.24183679634746</v>
      </c>
      <c r="EO12" s="59">
        <f ca="1">AVERAGE(OFFSET($EN$3,0,0,'Données projet'!$E$15+1,1))-AVERAGE(OFFSET($H$3,0,0,'Données projet'!$E$15+1,1))</f>
        <v>207.93042467236967</v>
      </c>
      <c r="EP12" s="59">
        <f t="shared" si="46"/>
        <v>250.70954318710835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4.0628205128205126</v>
      </c>
      <c r="FE12" s="12">
        <f>IF('Données projet'!$A$218&gt;35,FE11+FD12-FM11,IF(A12&lt;'Données projet'!$A$218,$FB$205^A12,IF(A12='Données projet'!$A$218,'Données projet'!$B$218,FE11+FD12-FM11)))</f>
        <v>4.2245909793472531</v>
      </c>
      <c r="FF12" s="17">
        <f>FE12*VLOOKUP('Données projet'!$B$16,Paramètres!$A$1:$I$89,3,0)*VLOOKUP('Données projet'!$B$16,Paramètres!$A$1:$I$89,5,0)</f>
        <v>4.5473497301693833</v>
      </c>
      <c r="FG12" s="13">
        <f t="shared" si="47"/>
        <v>1.756901237084566</v>
      </c>
      <c r="FH12" s="20">
        <f t="shared" si="22"/>
        <v>10.979903767967294</v>
      </c>
      <c r="FI12" s="59">
        <f t="shared" si="23"/>
        <v>304.31323710130061</v>
      </c>
      <c r="FJ12" s="59">
        <f ca="1">AVERAGE(OFFSET($FI$3,0,0,'Données projet'!$E$16+1,1))-AVERAGE(OFFSET($H$3,0,0,'Données projet'!$E$16+1,1))</f>
        <v>286.77702855541287</v>
      </c>
      <c r="FK12" s="59">
        <f t="shared" si="48"/>
        <v>227.12211541860779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4.9084615384615384</v>
      </c>
      <c r="FZ12" s="12">
        <f>IF('Données projet'!$A$244&gt;35,FZ11+FY12-GH11,IF(A12&lt;'Données projet'!$A$244,$FW$205^A12,IF(A12='Données projet'!$A$244,'Données projet'!$B$244,FZ11+FY12-GH11)))</f>
        <v>4.4711577636834461</v>
      </c>
      <c r="GA12" s="17">
        <f>FZ12*VLOOKUP('Données projet'!$B$17,Paramètres!$A$1:$I$89,3,0)*VLOOKUP('Données projet'!$B$17,Paramètres!$A$1:$I$89,5,0)</f>
        <v>2.0925018334038525</v>
      </c>
      <c r="GB12" s="13">
        <f t="shared" si="49"/>
        <v>0.8848963575465858</v>
      </c>
      <c r="GC12" s="20">
        <f t="shared" si="25"/>
        <v>5.1856351825720131</v>
      </c>
      <c r="GD12" s="59">
        <f t="shared" si="26"/>
        <v>298.51896851590533</v>
      </c>
      <c r="GE12" s="59">
        <f ca="1">AVERAGE(OFFSET($GD$3,0,0,'Données projet'!$E$17+1,1))-AVERAGE(OFFSET($H$3,0,0,'Données projet'!$E$17+1,1))</f>
        <v>123.2823358462245</v>
      </c>
      <c r="GF12" s="59">
        <f t="shared" si="50"/>
        <v>92.75115399786057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7.4312217194570129</v>
      </c>
      <c r="GU12" s="12">
        <f>IF('Données projet'!$A$270&gt;35,GU11+GT12-HC11,IF(A12&lt;'Données projet'!$A$270,$GR$205^A12,IF(A12='Données projet'!$A$270,'Données projet'!$B$270,GU11+GT12-HC11)))</f>
        <v>12.958766444511483</v>
      </c>
      <c r="GV12" s="17">
        <f>GU12*VLOOKUP('Données projet'!$B$18,Paramètres!$A$1:$I$89,3,0)*VLOOKUP('Données projet'!$B$18,Paramètres!$A$1:$I$89,5,0)</f>
        <v>7.7493423338178671</v>
      </c>
      <c r="GW12" s="13">
        <f t="shared" si="51"/>
        <v>2.8138859005026107</v>
      </c>
      <c r="GX12" s="20">
        <f t="shared" si="28"/>
        <v>18.397622508108167</v>
      </c>
      <c r="GY12" s="59">
        <f t="shared" si="29"/>
        <v>311.73095584144147</v>
      </c>
      <c r="GZ12" s="59">
        <f ca="1">AVERAGE(OFFSET($GY$3,0,0,'Données projet'!$E$18+1,1))-AVERAGE(OFFSET($H$3,0,0,'Données projet'!$E$18+1,1))</f>
        <v>171.96009656745713</v>
      </c>
      <c r="HA12" s="59">
        <f t="shared" si="52"/>
        <v>172.37574906747716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>
        <f>EXP(-LN(2)/35)*HG11+(1-EXP(-LN(2)/35))/(LN(2)/35)*HC12*HD12*VLOOKUP('Données projet'!$B$18,Paramètres!$A$1:$I$89,3,0)*0.475*44/12</f>
        <v>0</v>
      </c>
      <c r="HH12" s="21">
        <f>EXP(-LN(2)/25)*HH11+(1-EXP(-LN(2)/25))/(LN(2)/25)*Calculateur!HC12*Calculateur!HE12*VLOOKUP('Données projet'!$B$18,Paramètres!$A$1:$I$89,3,0)*0.475*44/12</f>
        <v>0</v>
      </c>
      <c r="HI12" s="21">
        <f>EXP(-LN(2)/2)*HI11+(1-EXP(-LN(2)/2))/(LN(2)/2)*HC12*HF12*VLOOKUP('Données projet'!$B$18,Paramètres!$A$1:$I$89,3,0)*0.475*44/12</f>
        <v>0</v>
      </c>
      <c r="HJ12" s="22">
        <f t="shared" si="30"/>
        <v>0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9.3968325791855207</v>
      </c>
      <c r="N13" s="13">
        <f>IF('Données projet'!$A$36&gt;35,N12+M13-V12,IF(A13&lt;'Données projet'!$A$36,$K$205^A13,IF(A13='Données projet'!$A$36,'Données projet'!$B$36,N12+M13-V12)))</f>
        <v>19.775867137361168</v>
      </c>
      <c r="O13" s="13">
        <f>N13*VLOOKUP('Données projet'!$B$9,Paramètres!$A$1:$I$89,3,0)*VLOOKUP('Données projet'!$B$9,Paramètres!$A$1:$I$89,5,0)</f>
        <v>11.054709729784893</v>
      </c>
      <c r="P13" s="13">
        <f t="shared" si="33"/>
        <v>3.851505280397189</v>
      </c>
      <c r="Q13" s="20">
        <f t="shared" si="2"/>
        <v>25.96165780940046</v>
      </c>
      <c r="R13" s="59">
        <f t="shared" si="0"/>
        <v>319.29499114273375</v>
      </c>
      <c r="S13" s="59">
        <f ca="1">AVERAGE(OFFSET($R$3,0,0,'Données projet'!$E$9+1,1))-AVERAGE(OFFSET($H$3,0,0,'Données projet'!$E$9+1,1))</f>
        <v>255.5374979188561</v>
      </c>
      <c r="T13" s="59">
        <f t="shared" si="34"/>
        <v>343.10418468620901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7.2264102564102561</v>
      </c>
      <c r="AI13" s="13">
        <f>IF('Données projet'!$A$62&gt;35,AI12+AH13-AQ12,IF(A13&lt;'Données projet'!$A$62,$AF$205^A13,IF(A13='Données projet'!$A$62,'Données projet'!$B$62,AI12+AH13-AQ12)))</f>
        <v>6.0073272306422343</v>
      </c>
      <c r="AJ13" s="13">
        <f>AI13*VLOOKUP('Données projet'!$B$10,Paramètres!$A$1:$I$89,3,0)*VLOOKUP('Données projet'!$B$10,Paramètres!$A$1:$I$89,5,0)</f>
        <v>2.8114291439405656</v>
      </c>
      <c r="AK13" s="13">
        <f t="shared" si="35"/>
        <v>1.1487462006075717</v>
      </c>
      <c r="AL13" s="20">
        <f t="shared" si="4"/>
        <v>6.8973053917546716</v>
      </c>
      <c r="AM13" s="59">
        <f t="shared" si="5"/>
        <v>300.230638725088</v>
      </c>
      <c r="AN13" s="59">
        <f ca="1">AVERAGE(OFFSET($AM$3,0,0,'Données projet'!$E$10+1,1))-AVERAGE(OFFSET($H$3,0,0,'Données projet'!$E$10+1,1))</f>
        <v>158.58786357608489</v>
      </c>
      <c r="AO13" s="59">
        <f t="shared" si="36"/>
        <v>163.20074068819849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>
        <f>VLOOKUP(A13,'Données projet'!$A$87:$I$107,2,0)</f>
        <v>50.823076923076918</v>
      </c>
      <c r="BB13" s="12">
        <f>VLOOKUP(A13,'Données projet'!$A$87:$I$107,9,0)</f>
        <v>5.0823076923076922</v>
      </c>
      <c r="BC13" s="12">
        <f t="array" ref="BC13">INDEX(BB:BB,MIN(IF(ISNUMBER(BB13:BB209),ROW(BB13:BB209),"")))</f>
        <v>5.0823076923076922</v>
      </c>
      <c r="BD13" s="12">
        <f>IF('Données projet'!$A$88&gt;35,BD12+BC13-BL12,IF(A13&lt;'Données projet'!$A$88,$BA$205^A13,IF(A13='Données projet'!$A$88,'Données projet'!$B$88,BD12+BC13-BL12)))</f>
        <v>50.823076923076918</v>
      </c>
      <c r="BE13" s="13">
        <f>BD13*VLOOKUP('Données projet'!$B$11,Paramètres!$A$1:$I$89,3,0)*VLOOKUP('Données projet'!$B$11,Paramètres!$A$1:$I$89,5,0)</f>
        <v>30.392199999999999</v>
      </c>
      <c r="BF13" s="13">
        <f t="shared" si="37"/>
        <v>9.4128403002097283</v>
      </c>
      <c r="BG13" s="20">
        <f t="shared" si="7"/>
        <v>69.327111856198599</v>
      </c>
      <c r="BH13" s="59">
        <f t="shared" si="8"/>
        <v>362.66044518953191</v>
      </c>
      <c r="BI13" s="59">
        <f ca="1">AVERAGE(OFFSET($BH$3,0,0,'Données projet'!$E$11+1,1))-AVERAGE(OFFSET($H$3,0,0,'Données projet'!$E$11+1,1))</f>
        <v>243.85350804244348</v>
      </c>
      <c r="BJ13" s="59">
        <f t="shared" si="38"/>
        <v>304.60992308960545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4.3499999999999996</v>
      </c>
      <c r="BY13" s="12">
        <f>IF('Données projet'!$A$114&gt;35,BY12+BX13-CG12,IF(A13&lt;'Données projet'!$A$114,$BV$205^A13,IF(A13='Données projet'!$A$114,'Données projet'!$B$114,BY12+BX13-CG12)))</f>
        <v>9.3273790530888085</v>
      </c>
      <c r="BZ13" s="13">
        <f>BY13*VLOOKUP('Données projet'!$B$12,Paramètres!$A$1:$I$89,3,0)*VLOOKUP('Données projet'!$B$12,Paramètres!$A$1:$I$89,5,0)</f>
        <v>5.5777726737471083</v>
      </c>
      <c r="CA13" s="13">
        <f t="shared" si="39"/>
        <v>2.1043832524712172</v>
      </c>
      <c r="CB13" s="20">
        <f t="shared" si="10"/>
        <v>13.379754904830248</v>
      </c>
      <c r="CC13" s="59">
        <f t="shared" si="11"/>
        <v>306.71308823816355</v>
      </c>
      <c r="CD13" s="59">
        <f ca="1">AVERAGE(OFFSET($CC$3,0,0,'Données projet'!$E$12+1,1))-AVERAGE(OFFSET($H$3,0,0,'Données projet'!$E$12+1,1))</f>
        <v>270.30888762640245</v>
      </c>
      <c r="CE13" s="59">
        <f t="shared" si="40"/>
        <v>202.23783851977691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>
        <f>VLOOKUP(A13,'Données projet'!$A$139:$I$159,2,0)</f>
        <v>11</v>
      </c>
      <c r="CR13" s="12">
        <f>VLOOKUP(A13,'Données projet'!$A$139:$I$159,9,0)</f>
        <v>1.1000000000000001</v>
      </c>
      <c r="CS13" s="12">
        <f t="array" ref="CS13">INDEX(CR:CR,MIN(IF(ISNUMBER(CR13:CR209),ROW(CR13:CR209),"")))</f>
        <v>1.1000000000000001</v>
      </c>
      <c r="CT13" s="12">
        <f>IF('Données projet'!$A$140&gt;35,CT12+CS13-DB12,IF(A13&lt;'Données projet'!$A$140,$CQ$205^A13,IF(A13='Données projet'!$A$140,'Données projet'!$B$140,CT12+CS13-DB12)))</f>
        <v>11</v>
      </c>
      <c r="CU13" s="17">
        <f>CT13*VLOOKUP('Données projet'!$B$13,Paramètres!$A$1:$I$89,3,0)*VLOOKUP('Données projet'!$B$13,Paramètres!$A$1:$I$89,5,0)</f>
        <v>8.7516000000000016</v>
      </c>
      <c r="CV13" s="13">
        <f t="shared" si="41"/>
        <v>3.1331453604025001</v>
      </c>
      <c r="CW13" s="20">
        <f t="shared" si="13"/>
        <v>20.699264836034356</v>
      </c>
      <c r="CX13" s="59">
        <f t="shared" si="14"/>
        <v>314.03259816936765</v>
      </c>
      <c r="CY13" s="59">
        <f ca="1">AVERAGE(OFFSET($CX$3,0,0,'Données projet'!$E$13+1,1))-AVERAGE(OFFSET($H$3,0,0,'Données projet'!$E$13+1,1))</f>
        <v>260.20517190557814</v>
      </c>
      <c r="CZ13" s="59">
        <f t="shared" si="42"/>
        <v>307.22009971147133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0.13250000000000001</v>
      </c>
      <c r="DE13" s="16">
        <f>IF(ISNA(VLOOKUP(A13,'Données projet'!$A$139:$I$159,7,0)),0%,VLOOKUP(A13,'Données projet'!$A$139:$I$159,7,0))</f>
        <v>0.25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4.0628205128205126</v>
      </c>
      <c r="DO13" s="12">
        <f>IF('Données projet'!$A$166&gt;35,DO12+DN13-DW12,IF(A13&lt;'Données projet'!$A$166,$DL$205^A13,IF(A13='Données projet'!$A$166,'Données projet'!$B$166,DO12+DN13-DW12)))</f>
        <v>4.9581115906815549</v>
      </c>
      <c r="DP13" s="17">
        <f>DO13*VLOOKUP('Données projet'!$B$14,Paramètres!$A$1:$I$89,3,0)*VLOOKUP('Données projet'!$B$14,Paramètres!$A$1:$I$89,5,0)</f>
        <v>5.0275251529510969</v>
      </c>
      <c r="DQ13" s="13">
        <f t="shared" si="43"/>
        <v>1.9198561176026576</v>
      </c>
      <c r="DR13" s="20">
        <f t="shared" si="16"/>
        <v>12.10002237954779</v>
      </c>
      <c r="DS13" s="59">
        <f t="shared" si="17"/>
        <v>305.43335571288111</v>
      </c>
      <c r="DT13" s="59">
        <f ca="1">AVERAGE(OFFSET($DS$3,0,0,'Données projet'!$E$14+1,1))-AVERAGE(OFFSET($H$3,0,0,'Données projet'!$E$14+1,1))</f>
        <v>263.15518481854753</v>
      </c>
      <c r="DU13" s="59">
        <f t="shared" si="44"/>
        <v>210.80755370263819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>
        <f>VLOOKUP(A13,'Données projet'!$A$191:$I$211,2,0)</f>
        <v>11</v>
      </c>
      <c r="EH13" s="12">
        <f>VLOOKUP(A13,'Données projet'!$A$191:$I$211,9,0)</f>
        <v>1.1000000000000001</v>
      </c>
      <c r="EI13" s="12">
        <f t="array" ref="EI13">INDEX(EH:EH,MIN(IF(ISNUMBER(EH13:EH209),ROW(EH13:EH209),"")))</f>
        <v>1.1000000000000001</v>
      </c>
      <c r="EJ13" s="12">
        <f>IF('Données projet'!$A$192&gt;35,EJ12+EI13-ER12,IF(A13&lt;'Données projet'!$A$192,$EG$205^A13,IF(A13='Données projet'!$A$192,'Données projet'!$B$192,EJ12+EI13-ER12)))</f>
        <v>11</v>
      </c>
      <c r="EK13" s="17">
        <f>EJ13*VLOOKUP('Données projet'!$B$15,Paramètres!$A$1:$I$89,3,0)*VLOOKUP('Données projet'!$B$15,Paramètres!$A$1:$I$89,5,0)</f>
        <v>7.3787999999999991</v>
      </c>
      <c r="EL13" s="13">
        <f t="shared" si="45"/>
        <v>2.6946617885853841</v>
      </c>
      <c r="EM13" s="20">
        <f t="shared" si="19"/>
        <v>17.544612615119544</v>
      </c>
      <c r="EN13" s="59">
        <f t="shared" si="20"/>
        <v>310.87794594845286</v>
      </c>
      <c r="EO13" s="59">
        <f ca="1">AVERAGE(OFFSET($EN$3,0,0,'Données projet'!$E$15+1,1))-AVERAGE(OFFSET($H$3,0,0,'Données projet'!$E$15+1,1))</f>
        <v>207.93042467236967</v>
      </c>
      <c r="EP13" s="59">
        <f t="shared" si="46"/>
        <v>250.70954318710835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0.13250000000000001</v>
      </c>
      <c r="EU13" s="16">
        <f>IF(ISNA(VLOOKUP(A13,'Données projet'!$A$191:$I$211,7,0)),0%,VLOOKUP(A13,'Données projet'!$A$191:$I$211,7,0))</f>
        <v>0.25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4.0628205128205126</v>
      </c>
      <c r="FE13" s="12">
        <f>IF('Données projet'!$A$218&gt;35,FE12+FD13-FM12,IF(A13&lt;'Données projet'!$A$218,$FB$205^A13,IF(A13='Données projet'!$A$218,'Données projet'!$B$218,FE12+FD13-FM12)))</f>
        <v>4.9581115906815549</v>
      </c>
      <c r="FF13" s="17">
        <f>FE13*VLOOKUP('Données projet'!$B$16,Paramètres!$A$1:$I$89,3,0)*VLOOKUP('Données projet'!$B$16,Paramètres!$A$1:$I$89,5,0)</f>
        <v>5.3369113162096253</v>
      </c>
      <c r="FG13" s="13">
        <f t="shared" si="47"/>
        <v>2.023883438848963</v>
      </c>
      <c r="FH13" s="20">
        <f t="shared" si="22"/>
        <v>12.820050865060374</v>
      </c>
      <c r="FI13" s="59">
        <f t="shared" si="23"/>
        <v>306.15338419839367</v>
      </c>
      <c r="FJ13" s="59">
        <f ca="1">AVERAGE(OFFSET($FI$3,0,0,'Données projet'!$E$16+1,1))-AVERAGE(OFFSET($H$3,0,0,'Données projet'!$E$16+1,1))</f>
        <v>286.77702855541287</v>
      </c>
      <c r="FK13" s="59">
        <f t="shared" si="48"/>
        <v>227.12211541860779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4.9084615384615384</v>
      </c>
      <c r="FZ13" s="12">
        <f>IF('Données projet'!$A$244&gt;35,FZ12+FY13-GH12,IF(A13&lt;'Données projet'!$A$244,$FW$205^A13,IF(A13='Données projet'!$A$244,'Données projet'!$B$244,FZ12+FY13-GH12)))</f>
        <v>5.2806682243912917</v>
      </c>
      <c r="GA13" s="17">
        <f>FZ13*VLOOKUP('Données projet'!$B$17,Paramètres!$A$1:$I$89,3,0)*VLOOKUP('Données projet'!$B$17,Paramètres!$A$1:$I$89,5,0)</f>
        <v>2.4713527290151243</v>
      </c>
      <c r="GB13" s="13">
        <f t="shared" si="49"/>
        <v>1.0250597883345953</v>
      </c>
      <c r="GC13" s="20">
        <f t="shared" si="25"/>
        <v>6.0895851343840945</v>
      </c>
      <c r="GD13" s="59">
        <f t="shared" si="26"/>
        <v>299.42291846771741</v>
      </c>
      <c r="GE13" s="59">
        <f ca="1">AVERAGE(OFFSET($GD$3,0,0,'Données projet'!$E$17+1,1))-AVERAGE(OFFSET($H$3,0,0,'Données projet'!$E$17+1,1))</f>
        <v>123.2823358462245</v>
      </c>
      <c r="GF13" s="59">
        <f t="shared" si="50"/>
        <v>92.75115399786057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7.4312217194570129</v>
      </c>
      <c r="GU13" s="12">
        <f>IF('Données projet'!$A$270&gt;35,GU12+GT13-HC12,IF(A13&lt;'Données projet'!$A$270,$GR$205^A13,IF(A13='Données projet'!$A$270,'Données projet'!$B$270,GU12+GT13-HC12)))</f>
        <v>17.225897052240693</v>
      </c>
      <c r="GV13" s="17">
        <f>GU13*VLOOKUP('Données projet'!$B$18,Paramètres!$A$1:$I$89,3,0)*VLOOKUP('Données projet'!$B$18,Paramètres!$A$1:$I$89,5,0)</f>
        <v>10.301086437239935</v>
      </c>
      <c r="GW13" s="13">
        <f t="shared" si="51"/>
        <v>3.6185577775542006</v>
      </c>
      <c r="GX13" s="20">
        <f t="shared" si="28"/>
        <v>24.243380340766453</v>
      </c>
      <c r="GY13" s="59">
        <f t="shared" si="29"/>
        <v>317.57671367409978</v>
      </c>
      <c r="GZ13" s="59">
        <f ca="1">AVERAGE(OFFSET($GY$3,0,0,'Données projet'!$E$18+1,1))-AVERAGE(OFFSET($H$3,0,0,'Données projet'!$E$18+1,1))</f>
        <v>171.96009656745713</v>
      </c>
      <c r="HA13" s="59">
        <f t="shared" si="52"/>
        <v>172.37574906747716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>
        <f>EXP(-LN(2)/35)*HG12+(1-EXP(-LN(2)/35))/(LN(2)/35)*HC13*HD13*VLOOKUP('Données projet'!$B$18,Paramètres!$A$1:$I$89,3,0)*0.475*44/12</f>
        <v>0</v>
      </c>
      <c r="HH13" s="21">
        <f>EXP(-LN(2)/25)*HH12+(1-EXP(-LN(2)/25))/(LN(2)/25)*Calculateur!HC13*Calculateur!HE13*VLOOKUP('Données projet'!$B$18,Paramètres!$A$1:$I$89,3,0)*0.475*44/12</f>
        <v>0</v>
      </c>
      <c r="HI13" s="21">
        <f>EXP(-LN(2)/2)*HI12+(1-EXP(-LN(2)/2))/(LN(2)/2)*HC13*HF13*VLOOKUP('Données projet'!$B$18,Paramètres!$A$1:$I$89,3,0)*0.475*44/12</f>
        <v>0</v>
      </c>
      <c r="HJ13" s="22">
        <f t="shared" si="30"/>
        <v>0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9.3968325791855207</v>
      </c>
      <c r="N14" s="13">
        <f>IF('Données projet'!$A$36&gt;35,N13+M14-V13,IF(A14&lt;'Données projet'!$A$36,$K$205^A14,IF(A14='Données projet'!$A$36,'Données projet'!$B$36,N13+M14-V13)))</f>
        <v>26.653183494001031</v>
      </c>
      <c r="O14" s="13">
        <f>N14*VLOOKUP('Données projet'!$B$9,Paramètres!$A$1:$I$89,3,0)*VLOOKUP('Données projet'!$B$9,Paramètres!$A$1:$I$89,5,0)</f>
        <v>14.899129573146578</v>
      </c>
      <c r="P14" s="13">
        <f t="shared" si="33"/>
        <v>5.013684872256877</v>
      </c>
      <c r="Q14" s="20">
        <f t="shared" si="2"/>
        <v>34.681485159077681</v>
      </c>
      <c r="R14" s="59">
        <f t="shared" si="0"/>
        <v>328.014818492411</v>
      </c>
      <c r="S14" s="59">
        <f ca="1">AVERAGE(OFFSET($R$3,0,0,'Données projet'!$E$9+1,1))-AVERAGE(OFFSET($H$3,0,0,'Données projet'!$E$9+1,1))</f>
        <v>255.5374979188561</v>
      </c>
      <c r="T14" s="59">
        <f t="shared" si="34"/>
        <v>343.10418468620901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7.2264102564102561</v>
      </c>
      <c r="AI14" s="13">
        <f>IF('Données projet'!$A$62&gt;35,AI13+AH14-AQ13,IF(A14&lt;'Données projet'!$A$62,$AF$205^A14,IF(A14='Données projet'!$A$62,'Données projet'!$B$62,AI13+AH14-AQ13)))</f>
        <v>7.1870293496939057</v>
      </c>
      <c r="AJ14" s="13">
        <f>AI14*VLOOKUP('Données projet'!$B$10,Paramètres!$A$1:$I$89,3,0)*VLOOKUP('Données projet'!$B$10,Paramètres!$A$1:$I$89,5,0)</f>
        <v>3.3635297356567477</v>
      </c>
      <c r="AK14" s="13">
        <f t="shared" si="35"/>
        <v>1.3459482642479659</v>
      </c>
      <c r="AL14" s="20">
        <f t="shared" si="4"/>
        <v>8.2023408498340427</v>
      </c>
      <c r="AM14" s="59">
        <f t="shared" si="5"/>
        <v>301.53567418316737</v>
      </c>
      <c r="AN14" s="59">
        <f ca="1">AVERAGE(OFFSET($AM$3,0,0,'Données projet'!$E$10+1,1))-AVERAGE(OFFSET($H$3,0,0,'Données projet'!$E$10+1,1))</f>
        <v>158.58786357608489</v>
      </c>
      <c r="AO14" s="59">
        <f t="shared" si="36"/>
        <v>163.20074068819849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18.07076923076923</v>
      </c>
      <c r="BD14" s="12">
        <f>IF('Données projet'!$A$88&gt;35,BD13+BC14-BL13,IF(A14&lt;'Données projet'!$A$88,$BA$205^A14,IF(A14='Données projet'!$A$88,'Données projet'!$B$88,BD13+BC14-BL13)))</f>
        <v>68.893846153846141</v>
      </c>
      <c r="BE14" s="13">
        <f>BD14*VLOOKUP('Données projet'!$B$11,Paramètres!$A$1:$I$89,3,0)*VLOOKUP('Données projet'!$B$11,Paramètres!$A$1:$I$89,5,0)</f>
        <v>41.198519999999995</v>
      </c>
      <c r="BF14" s="13">
        <f t="shared" si="37"/>
        <v>12.315766881416888</v>
      </c>
      <c r="BG14" s="20">
        <f t="shared" si="7"/>
        <v>93.204049651801071</v>
      </c>
      <c r="BH14" s="59">
        <f t="shared" si="8"/>
        <v>386.5373829851344</v>
      </c>
      <c r="BI14" s="59">
        <f ca="1">AVERAGE(OFFSET($BH$3,0,0,'Données projet'!$E$11+1,1))-AVERAGE(OFFSET($H$3,0,0,'Données projet'!$E$11+1,1))</f>
        <v>243.85350804244348</v>
      </c>
      <c r="BJ14" s="59">
        <f t="shared" si="38"/>
        <v>304.60992308960545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4.3499999999999996</v>
      </c>
      <c r="BY14" s="12">
        <f>IF('Données projet'!$A$114&gt;35,BY13+BX14-CG13,IF(A14&lt;'Données projet'!$A$114,$BV$205^A14,IF(A14='Données projet'!$A$114,'Données projet'!$B$114,BY13+BX14-CG13)))</f>
        <v>11.660994457782511</v>
      </c>
      <c r="BZ14" s="13">
        <f>BY14*VLOOKUP('Données projet'!$B$12,Paramètres!$A$1:$I$89,3,0)*VLOOKUP('Données projet'!$B$12,Paramètres!$A$1:$I$89,5,0)</f>
        <v>6.9732746857539425</v>
      </c>
      <c r="CA14" s="13">
        <f t="shared" si="39"/>
        <v>2.563378854273346</v>
      </c>
      <c r="CB14" s="20">
        <f t="shared" si="10"/>
        <v>16.609671582214194</v>
      </c>
      <c r="CC14" s="59">
        <f t="shared" si="11"/>
        <v>309.94300491554753</v>
      </c>
      <c r="CD14" s="59">
        <f ca="1">AVERAGE(OFFSET($CC$3,0,0,'Données projet'!$E$12+1,1))-AVERAGE(OFFSET($H$3,0,0,'Données projet'!$E$12+1,1))</f>
        <v>270.30888762640245</v>
      </c>
      <c r="CE14" s="59">
        <f t="shared" si="40"/>
        <v>202.23783851977691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12.3</v>
      </c>
      <c r="CT14" s="12">
        <f>IF('Données projet'!$A$140&gt;35,CT13+CS14-DB13,IF(A14&lt;'Données projet'!$A$140,$CQ$205^A14,IF(A14='Données projet'!$A$140,'Données projet'!$B$140,CT13+CS14-DB13)))</f>
        <v>23.3</v>
      </c>
      <c r="CU14" s="17">
        <f>CT14*VLOOKUP('Données projet'!$B$13,Paramètres!$A$1:$I$89,3,0)*VLOOKUP('Données projet'!$B$13,Paramètres!$A$1:$I$89,5,0)</f>
        <v>18.537480000000002</v>
      </c>
      <c r="CV14" s="13">
        <f t="shared" si="41"/>
        <v>6.0813732490407499</v>
      </c>
      <c r="CW14" s="20">
        <f t="shared" si="13"/>
        <v>42.877836075412638</v>
      </c>
      <c r="CX14" s="59">
        <f t="shared" si="14"/>
        <v>336.21116940874595</v>
      </c>
      <c r="CY14" s="59">
        <f ca="1">AVERAGE(OFFSET($CX$3,0,0,'Données projet'!$E$13+1,1))-AVERAGE(OFFSET($H$3,0,0,'Données projet'!$E$13+1,1))</f>
        <v>260.20517190557814</v>
      </c>
      <c r="CZ14" s="59">
        <f t="shared" si="42"/>
        <v>307.22009971147133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4.0628205128205126</v>
      </c>
      <c r="DO14" s="12">
        <f>IF('Données projet'!$A$166&gt;35,DO13+DN14-DW13,IF(A14&lt;'Données projet'!$A$166,$DL$205^A14,IF(A14='Données projet'!$A$166,'Données projet'!$B$166,DO13+DN14-DW13)))</f>
        <v>5.8189942330107201</v>
      </c>
      <c r="DP14" s="17">
        <f>DO14*VLOOKUP('Données projet'!$B$14,Paramètres!$A$1:$I$89,3,0)*VLOOKUP('Données projet'!$B$14,Paramètres!$A$1:$I$89,5,0)</f>
        <v>5.9004601522728706</v>
      </c>
      <c r="DQ14" s="13">
        <f t="shared" si="43"/>
        <v>2.2116012666919538</v>
      </c>
      <c r="DR14" s="20">
        <f t="shared" si="16"/>
        <v>14.128506971363736</v>
      </c>
      <c r="DS14" s="59">
        <f t="shared" si="17"/>
        <v>307.46184030469703</v>
      </c>
      <c r="DT14" s="59">
        <f ca="1">AVERAGE(OFFSET($DS$3,0,0,'Données projet'!$E$14+1,1))-AVERAGE(OFFSET($H$3,0,0,'Données projet'!$E$14+1,1))</f>
        <v>263.15518481854753</v>
      </c>
      <c r="DU14" s="59">
        <f t="shared" si="44"/>
        <v>210.80755370263819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12.3</v>
      </c>
      <c r="EJ14" s="12">
        <f>IF('Données projet'!$A$192&gt;35,EJ13+EI14-ER13,IF(A14&lt;'Données projet'!$A$192,$EG$205^A14,IF(A14='Données projet'!$A$192,'Données projet'!$B$192,EJ13+EI14-ER13)))</f>
        <v>23.3</v>
      </c>
      <c r="EK14" s="17">
        <f>EJ14*VLOOKUP('Données projet'!$B$15,Paramètres!$A$1:$I$89,3,0)*VLOOKUP('Données projet'!$B$15,Paramètres!$A$1:$I$89,5,0)</f>
        <v>15.62964</v>
      </c>
      <c r="EL14" s="13">
        <f t="shared" si="45"/>
        <v>5.2302852984166268</v>
      </c>
      <c r="EM14" s="20">
        <f t="shared" si="19"/>
        <v>36.331036561408958</v>
      </c>
      <c r="EN14" s="59">
        <f t="shared" si="20"/>
        <v>329.66436989474226</v>
      </c>
      <c r="EO14" s="59">
        <f ca="1">AVERAGE(OFFSET($EN$3,0,0,'Données projet'!$E$15+1,1))-AVERAGE(OFFSET($H$3,0,0,'Données projet'!$E$15+1,1))</f>
        <v>207.93042467236967</v>
      </c>
      <c r="EP14" s="59">
        <f t="shared" si="46"/>
        <v>250.70954318710835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4.0628205128205126</v>
      </c>
      <c r="FE14" s="12">
        <f>IF('Données projet'!$A$218&gt;35,FE13+FD14-FM13,IF(A14&lt;'Données projet'!$A$218,$FB$205^A14,IF(A14='Données projet'!$A$218,'Données projet'!$B$218,FE13+FD14-FM13)))</f>
        <v>5.8189942330107201</v>
      </c>
      <c r="FF14" s="17">
        <f>FE14*VLOOKUP('Données projet'!$B$16,Paramètres!$A$1:$I$89,3,0)*VLOOKUP('Données projet'!$B$16,Paramètres!$A$1:$I$89,5,0)</f>
        <v>6.2635653924127377</v>
      </c>
      <c r="FG14" s="13">
        <f t="shared" si="47"/>
        <v>2.3314367863069263</v>
      </c>
      <c r="FH14" s="20">
        <f t="shared" si="22"/>
        <v>14.969628794603414</v>
      </c>
      <c r="FI14" s="59">
        <f t="shared" si="23"/>
        <v>308.30296212793672</v>
      </c>
      <c r="FJ14" s="59">
        <f ca="1">AVERAGE(OFFSET($FI$3,0,0,'Données projet'!$E$16+1,1))-AVERAGE(OFFSET($H$3,0,0,'Données projet'!$E$16+1,1))</f>
        <v>286.77702855541287</v>
      </c>
      <c r="FK14" s="59">
        <f t="shared" si="48"/>
        <v>227.12211541860779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4.9084615384615384</v>
      </c>
      <c r="FZ14" s="12">
        <f>IF('Données projet'!$A$244&gt;35,FZ13+FY14-GH13,IF(A14&lt;'Données projet'!$A$244,$FW$205^A14,IF(A14='Données projet'!$A$244,'Données projet'!$B$244,FZ13+FY14-GH13)))</f>
        <v>6.2367418843040729</v>
      </c>
      <c r="GA14" s="17">
        <f>FZ14*VLOOKUP('Données projet'!$B$17,Paramètres!$A$1:$I$89,3,0)*VLOOKUP('Données projet'!$B$17,Paramètres!$A$1:$I$89,5,0)</f>
        <v>2.9187952018543064</v>
      </c>
      <c r="GB14" s="13">
        <f t="shared" si="49"/>
        <v>1.1874244488629264</v>
      </c>
      <c r="GC14" s="20">
        <f t="shared" si="25"/>
        <v>7.1516658916658464</v>
      </c>
      <c r="GD14" s="59">
        <f t="shared" si="26"/>
        <v>300.48499922499917</v>
      </c>
      <c r="GE14" s="59">
        <f ca="1">AVERAGE(OFFSET($GD$3,0,0,'Données projet'!$E$17+1,1))-AVERAGE(OFFSET($H$3,0,0,'Données projet'!$E$17+1,1))</f>
        <v>123.2823358462245</v>
      </c>
      <c r="GF14" s="59">
        <f t="shared" si="50"/>
        <v>92.75115399786057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7.4312217194570129</v>
      </c>
      <c r="GU14" s="12">
        <f>IF('Données projet'!$A$270&gt;35,GU13+GT14-HC13,IF(A14&lt;'Données projet'!$A$270,$GR$205^A14,IF(A14='Données projet'!$A$270,'Données projet'!$B$270,GU13+GT14-HC13)))</f>
        <v>22.89813081553541</v>
      </c>
      <c r="GV14" s="17">
        <f>GU14*VLOOKUP('Données projet'!$B$18,Paramètres!$A$1:$I$89,3,0)*VLOOKUP('Données projet'!$B$18,Paramètres!$A$1:$I$89,5,0)</f>
        <v>13.693082227690176</v>
      </c>
      <c r="GW14" s="13">
        <f t="shared" si="51"/>
        <v>4.6533373606794726</v>
      </c>
      <c r="GX14" s="20">
        <f t="shared" si="28"/>
        <v>31.953347449743802</v>
      </c>
      <c r="GY14" s="59">
        <f t="shared" si="29"/>
        <v>325.28668078307714</v>
      </c>
      <c r="GZ14" s="59">
        <f ca="1">AVERAGE(OFFSET($GY$3,0,0,'Données projet'!$E$18+1,1))-AVERAGE(OFFSET($H$3,0,0,'Données projet'!$E$18+1,1))</f>
        <v>171.96009656745713</v>
      </c>
      <c r="HA14" s="59">
        <f t="shared" si="52"/>
        <v>172.37574906747716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>
        <f>EXP(-LN(2)/35)*HG13+(1-EXP(-LN(2)/35))/(LN(2)/35)*HC14*HD14*VLOOKUP('Données projet'!$B$18,Paramètres!$A$1:$I$89,3,0)*0.475*44/12</f>
        <v>0</v>
      </c>
      <c r="HH14" s="21">
        <f>EXP(-LN(2)/25)*HH13+(1-EXP(-LN(2)/25))/(LN(2)/25)*Calculateur!HC14*Calculateur!HE14*VLOOKUP('Données projet'!$B$18,Paramètres!$A$1:$I$89,3,0)*0.475*44/12</f>
        <v>0</v>
      </c>
      <c r="HI14" s="21">
        <f>EXP(-LN(2)/2)*HI13+(1-EXP(-LN(2)/2))/(LN(2)/2)*HC14*HF14*VLOOKUP('Données projet'!$B$18,Paramètres!$A$1:$I$89,3,0)*0.475*44/12</f>
        <v>0</v>
      </c>
      <c r="HJ14" s="22">
        <f t="shared" si="30"/>
        <v>0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9.3968325791855207</v>
      </c>
      <c r="N15" s="13">
        <f>IF('Données projet'!$A$36&gt;35,N14+M15-V14,IF(A15&lt;'Données projet'!$A$36,$K$205^A15,IF(A15='Données projet'!$A$36,'Données projet'!$B$36,N14+M15-V14)))</f>
        <v>35.922176531151678</v>
      </c>
      <c r="O15" s="13">
        <f>N15*VLOOKUP('Données projet'!$B$9,Paramètres!$A$1:$I$89,3,0)*VLOOKUP('Données projet'!$B$9,Paramètres!$A$1:$I$89,5,0)</f>
        <v>20.080496680913789</v>
      </c>
      <c r="P15" s="13">
        <f t="shared" si="33"/>
        <v>6.5265484968269822</v>
      </c>
      <c r="Q15" s="20">
        <f t="shared" si="2"/>
        <v>46.340603684565174</v>
      </c>
      <c r="R15" s="59">
        <f t="shared" si="0"/>
        <v>339.67393701789848</v>
      </c>
      <c r="S15" s="59">
        <f ca="1">AVERAGE(OFFSET($R$3,0,0,'Données projet'!$E$9+1,1))-AVERAGE(OFFSET($H$3,0,0,'Données projet'!$E$9+1,1))</f>
        <v>255.5374979188561</v>
      </c>
      <c r="T15" s="59">
        <f t="shared" si="34"/>
        <v>343.10418468620901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7.2264102564102561</v>
      </c>
      <c r="AI15" s="13">
        <f>IF('Données projet'!$A$62&gt;35,AI14+AH15-AQ14,IF(A15&lt;'Données projet'!$A$62,$AF$205^A15,IF(A15='Données projet'!$A$62,'Données projet'!$B$62,AI14+AH15-AQ14)))</f>
        <v>8.5983980712566286</v>
      </c>
      <c r="AJ15" s="13">
        <f>AI15*VLOOKUP('Données projet'!$B$10,Paramètres!$A$1:$I$89,3,0)*VLOOKUP('Données projet'!$B$10,Paramètres!$A$1:$I$89,5,0)</f>
        <v>4.0240502973481025</v>
      </c>
      <c r="AK15" s="13">
        <f t="shared" si="35"/>
        <v>1.5770034573990057</v>
      </c>
      <c r="AL15" s="20">
        <f t="shared" si="4"/>
        <v>9.7551686228512136</v>
      </c>
      <c r="AM15" s="59">
        <f t="shared" si="5"/>
        <v>303.08850195618453</v>
      </c>
      <c r="AN15" s="59">
        <f ca="1">AVERAGE(OFFSET($AM$3,0,0,'Données projet'!$E$10+1,1))-AVERAGE(OFFSET($H$3,0,0,'Données projet'!$E$10+1,1))</f>
        <v>158.58786357608489</v>
      </c>
      <c r="AO15" s="59">
        <f t="shared" si="36"/>
        <v>163.20074068819849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18.07076923076923</v>
      </c>
      <c r="BD15" s="12">
        <f>IF('Données projet'!$A$88&gt;35,BD14+BC15-BL14,IF(A15&lt;'Données projet'!$A$88,$BA$205^A15,IF(A15='Données projet'!$A$88,'Données projet'!$B$88,BD14+BC15-BL14)))</f>
        <v>86.964615384615371</v>
      </c>
      <c r="BE15" s="13">
        <f>BD15*VLOOKUP('Données projet'!$B$11,Paramètres!$A$1:$I$89,3,0)*VLOOKUP('Données projet'!$B$11,Paramètres!$A$1:$I$89,5,0)</f>
        <v>52.004839999999994</v>
      </c>
      <c r="BF15" s="13">
        <f t="shared" si="37"/>
        <v>15.130327732668428</v>
      </c>
      <c r="BG15" s="20">
        <f t="shared" si="7"/>
        <v>116.92708380106416</v>
      </c>
      <c r="BH15" s="59">
        <f t="shared" si="8"/>
        <v>410.26041713439747</v>
      </c>
      <c r="BI15" s="59">
        <f ca="1">AVERAGE(OFFSET($BH$3,0,0,'Données projet'!$E$11+1,1))-AVERAGE(OFFSET($H$3,0,0,'Données projet'!$E$11+1,1))</f>
        <v>243.85350804244348</v>
      </c>
      <c r="BJ15" s="59">
        <f t="shared" si="38"/>
        <v>304.60992308960545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4.3499999999999996</v>
      </c>
      <c r="BY15" s="12">
        <f>IF('Données projet'!$A$114&gt;35,BY14+BX15-CG14,IF(A15&lt;'Données projet'!$A$114,$BV$205^A15,IF(A15='Données projet'!$A$114,'Données projet'!$B$114,BY14+BX15-CG14)))</f>
        <v>14.578456710130634</v>
      </c>
      <c r="BZ15" s="13">
        <f>BY15*VLOOKUP('Données projet'!$B$12,Paramètres!$A$1:$I$89,3,0)*VLOOKUP('Données projet'!$B$12,Paramètres!$A$1:$I$89,5,0)</f>
        <v>8.7179171126581192</v>
      </c>
      <c r="CA15" s="13">
        <f t="shared" si="39"/>
        <v>3.1224878561542369</v>
      </c>
      <c r="CB15" s="20">
        <f t="shared" si="10"/>
        <v>20.622038654014851</v>
      </c>
      <c r="CC15" s="59">
        <f t="shared" si="11"/>
        <v>313.95537198734814</v>
      </c>
      <c r="CD15" s="59">
        <f ca="1">AVERAGE(OFFSET($CC$3,0,0,'Données projet'!$E$12+1,1))-AVERAGE(OFFSET($H$3,0,0,'Données projet'!$E$12+1,1))</f>
        <v>270.30888762640245</v>
      </c>
      <c r="CE15" s="59">
        <f t="shared" si="40"/>
        <v>202.23783851977691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12.3</v>
      </c>
      <c r="CT15" s="12">
        <f>IF('Données projet'!$A$140&gt;35,CT14+CS15-DB14,IF(A15&lt;'Données projet'!$A$140,$CQ$205^A15,IF(A15='Données projet'!$A$140,'Données projet'!$B$140,CT14+CS15-DB14)))</f>
        <v>35.6</v>
      </c>
      <c r="CU15" s="17">
        <f>CT15*VLOOKUP('Données projet'!$B$13,Paramètres!$A$1:$I$89,3,0)*VLOOKUP('Données projet'!$B$13,Paramètres!$A$1:$I$89,5,0)</f>
        <v>28.323360000000005</v>
      </c>
      <c r="CV15" s="13">
        <f t="shared" si="41"/>
        <v>8.8443757631773217</v>
      </c>
      <c r="CW15" s="20">
        <f t="shared" si="13"/>
        <v>64.733806454200504</v>
      </c>
      <c r="CX15" s="59">
        <f t="shared" si="14"/>
        <v>358.06713978753385</v>
      </c>
      <c r="CY15" s="59">
        <f ca="1">AVERAGE(OFFSET($CX$3,0,0,'Données projet'!$E$13+1,1))-AVERAGE(OFFSET($H$3,0,0,'Données projet'!$E$13+1,1))</f>
        <v>260.20517190557814</v>
      </c>
      <c r="CZ15" s="59">
        <f t="shared" si="42"/>
        <v>307.22009971147133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4.0628205128205126</v>
      </c>
      <c r="DO15" s="12">
        <f>IF('Données projet'!$A$166&gt;35,DO14+DN15-DW14,IF(A15&lt;'Données projet'!$A$166,$DL$205^A15,IF(A15='Données projet'!$A$166,'Données projet'!$B$166,DO14+DN15-DW14)))</f>
        <v>6.8293529228851897</v>
      </c>
      <c r="DP15" s="17">
        <f>DO15*VLOOKUP('Données projet'!$B$14,Paramètres!$A$1:$I$89,3,0)*VLOOKUP('Données projet'!$B$14,Paramètres!$A$1:$I$89,5,0)</f>
        <v>6.9249638638055826</v>
      </c>
      <c r="DQ15" s="13">
        <f t="shared" si="43"/>
        <v>2.5476805881375704</v>
      </c>
      <c r="DR15" s="20">
        <f t="shared" si="16"/>
        <v>16.498189087134325</v>
      </c>
      <c r="DS15" s="59">
        <f t="shared" si="17"/>
        <v>309.83152242046765</v>
      </c>
      <c r="DT15" s="59">
        <f ca="1">AVERAGE(OFFSET($DS$3,0,0,'Données projet'!$E$14+1,1))-AVERAGE(OFFSET($H$3,0,0,'Données projet'!$E$14+1,1))</f>
        <v>263.15518481854753</v>
      </c>
      <c r="DU15" s="59">
        <f t="shared" si="44"/>
        <v>210.80755370263819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12.3</v>
      </c>
      <c r="EJ15" s="12">
        <f>IF('Données projet'!$A$192&gt;35,EJ14+EI15-ER14,IF(A15&lt;'Données projet'!$A$192,$EG$205^A15,IF(A15='Données projet'!$A$192,'Données projet'!$B$192,EJ14+EI15-ER14)))</f>
        <v>35.6</v>
      </c>
      <c r="EK15" s="17">
        <f>EJ15*VLOOKUP('Données projet'!$B$15,Paramètres!$A$1:$I$89,3,0)*VLOOKUP('Données projet'!$B$15,Paramètres!$A$1:$I$89,5,0)</f>
        <v>23.880480000000002</v>
      </c>
      <c r="EL15" s="13">
        <f t="shared" si="45"/>
        <v>7.6066057177324726</v>
      </c>
      <c r="EM15" s="20">
        <f t="shared" si="19"/>
        <v>54.840007625050731</v>
      </c>
      <c r="EN15" s="59">
        <f t="shared" si="20"/>
        <v>348.17334095838407</v>
      </c>
      <c r="EO15" s="59">
        <f ca="1">AVERAGE(OFFSET($EN$3,0,0,'Données projet'!$E$15+1,1))-AVERAGE(OFFSET($H$3,0,0,'Données projet'!$E$15+1,1))</f>
        <v>207.93042467236967</v>
      </c>
      <c r="EP15" s="59">
        <f t="shared" si="46"/>
        <v>250.70954318710835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4.0628205128205126</v>
      </c>
      <c r="FE15" s="12">
        <f>IF('Données projet'!$A$218&gt;35,FE14+FD15-FM14,IF(A15&lt;'Données projet'!$A$218,$FB$205^A15,IF(A15='Données projet'!$A$218,'Données projet'!$B$218,FE14+FD15-FM14)))</f>
        <v>6.8293529228851897</v>
      </c>
      <c r="FF15" s="17">
        <f>FE15*VLOOKUP('Données projet'!$B$16,Paramètres!$A$1:$I$89,3,0)*VLOOKUP('Données projet'!$B$16,Paramètres!$A$1:$I$89,5,0)</f>
        <v>7.3511154861936179</v>
      </c>
      <c r="FG15" s="13">
        <f t="shared" si="47"/>
        <v>2.6857265513455357</v>
      </c>
      <c r="FH15" s="20">
        <f t="shared" si="22"/>
        <v>17.480833215380692</v>
      </c>
      <c r="FI15" s="59">
        <f t="shared" si="23"/>
        <v>310.81416654871401</v>
      </c>
      <c r="FJ15" s="59">
        <f ca="1">AVERAGE(OFFSET($FI$3,0,0,'Données projet'!$E$16+1,1))-AVERAGE(OFFSET($H$3,0,0,'Données projet'!$E$16+1,1))</f>
        <v>286.77702855541287</v>
      </c>
      <c r="FK15" s="59">
        <f t="shared" si="48"/>
        <v>227.12211541860779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4.9084615384615384</v>
      </c>
      <c r="FZ15" s="12">
        <f>IF('Données projet'!$A$244&gt;35,FZ14+FY15-GH14,IF(A15&lt;'Données projet'!$A$244,$FW$205^A15,IF(A15='Données projet'!$A$244,'Données projet'!$B$244,FZ14+FY15-GH14)))</f>
        <v>7.3659142514897171</v>
      </c>
      <c r="GA15" s="17">
        <f>FZ15*VLOOKUP('Données projet'!$B$17,Paramètres!$A$1:$I$89,3,0)*VLOOKUP('Données projet'!$B$17,Paramètres!$A$1:$I$89,5,0)</f>
        <v>3.447247869697188</v>
      </c>
      <c r="GB15" s="13">
        <f t="shared" si="49"/>
        <v>1.3755069097464061</v>
      </c>
      <c r="GC15" s="20">
        <f t="shared" si="25"/>
        <v>8.3996312408642595</v>
      </c>
      <c r="GD15" s="59">
        <f t="shared" si="26"/>
        <v>301.73296457419758</v>
      </c>
      <c r="GE15" s="59">
        <f ca="1">AVERAGE(OFFSET($GD$3,0,0,'Données projet'!$E$17+1,1))-AVERAGE(OFFSET($H$3,0,0,'Données projet'!$E$17+1,1))</f>
        <v>123.2823358462245</v>
      </c>
      <c r="GF15" s="59">
        <f t="shared" si="50"/>
        <v>92.75115399786057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7.4312217194570129</v>
      </c>
      <c r="GU15" s="12">
        <f>IF('Données projet'!$A$270&gt;35,GU14+GT15-HC14,IF(A15&lt;'Données projet'!$A$270,$GR$205^A15,IF(A15='Données projet'!$A$270,'Données projet'!$B$270,GU14+GT15-HC14)))</f>
        <v>30.438147473844893</v>
      </c>
      <c r="GV15" s="17">
        <f>GU15*VLOOKUP('Données projet'!$B$18,Paramètres!$A$1:$I$89,3,0)*VLOOKUP('Données projet'!$B$18,Paramètres!$A$1:$I$89,5,0)</f>
        <v>18.202012189359248</v>
      </c>
      <c r="GW15" s="13">
        <f t="shared" si="51"/>
        <v>5.984027317903192</v>
      </c>
      <c r="GX15" s="20">
        <f t="shared" si="28"/>
        <v>42.124018808482084</v>
      </c>
      <c r="GY15" s="59">
        <f t="shared" si="29"/>
        <v>335.45735214181542</v>
      </c>
      <c r="GZ15" s="59">
        <f ca="1">AVERAGE(OFFSET($GY$3,0,0,'Données projet'!$E$18+1,1))-AVERAGE(OFFSET($H$3,0,0,'Données projet'!$E$18+1,1))</f>
        <v>171.96009656745713</v>
      </c>
      <c r="HA15" s="59">
        <f t="shared" si="52"/>
        <v>172.37574906747716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>
        <f>EXP(-LN(2)/35)*HG14+(1-EXP(-LN(2)/35))/(LN(2)/35)*HC15*HD15*VLOOKUP('Données projet'!$B$18,Paramètres!$A$1:$I$89,3,0)*0.475*44/12</f>
        <v>0</v>
      </c>
      <c r="HH15" s="21">
        <f>EXP(-LN(2)/25)*HH14+(1-EXP(-LN(2)/25))/(LN(2)/25)*Calculateur!HC15*Calculateur!HE15*VLOOKUP('Données projet'!$B$18,Paramètres!$A$1:$I$89,3,0)*0.475*44/12</f>
        <v>0</v>
      </c>
      <c r="HI15" s="21">
        <f>EXP(-LN(2)/2)*HI14+(1-EXP(-LN(2)/2))/(LN(2)/2)*HC15*HF15*VLOOKUP('Données projet'!$B$18,Paramètres!$A$1:$I$89,3,0)*0.475*44/12</f>
        <v>0</v>
      </c>
      <c r="HJ15" s="22">
        <f t="shared" si="30"/>
        <v>0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9.3968325791855207</v>
      </c>
      <c r="N16" s="13">
        <f>IF('Données projet'!$A$36&gt;35,N15+M16-V15,IF(A16&lt;'Données projet'!$A$36,$K$205^A16,IF(A16='Données projet'!$A$36,'Données projet'!$B$36,N15+M16-V15)))</f>
        <v>48.414583084443251</v>
      </c>
      <c r="O16" s="13">
        <f>N16*VLOOKUP('Données projet'!$B$9,Paramètres!$A$1:$I$89,3,0)*VLOOKUP('Données projet'!$B$9,Paramètres!$A$1:$I$89,5,0)</f>
        <v>27.063751944203776</v>
      </c>
      <c r="P16" s="13">
        <f t="shared" si="33"/>
        <v>8.4959139568459339</v>
      </c>
      <c r="Q16" s="20">
        <f t="shared" si="2"/>
        <v>61.933084777661577</v>
      </c>
      <c r="R16" s="59">
        <f t="shared" si="0"/>
        <v>355.26641811099489</v>
      </c>
      <c r="S16" s="59">
        <f ca="1">AVERAGE(OFFSET($R$3,0,0,'Données projet'!$E$9+1,1))-AVERAGE(OFFSET($H$3,0,0,'Données projet'!$E$9+1,1))</f>
        <v>255.5374979188561</v>
      </c>
      <c r="T16" s="59">
        <f t="shared" si="34"/>
        <v>343.10418468620901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7.2264102564102561</v>
      </c>
      <c r="AI16" s="13">
        <f>IF('Données projet'!$A$62&gt;35,AI15+AH16-AQ15,IF(A16&lt;'Données projet'!$A$62,$AF$205^A16,IF(A16='Données projet'!$A$62,'Données projet'!$B$62,AI15+AH16-AQ15)))</f>
        <v>10.286927434759741</v>
      </c>
      <c r="AJ16" s="13">
        <f>AI16*VLOOKUP('Données projet'!$B$10,Paramètres!$A$1:$I$89,3,0)*VLOOKUP('Données projet'!$B$10,Paramètres!$A$1:$I$89,5,0)</f>
        <v>4.8142820394675585</v>
      </c>
      <c r="AK16" s="13">
        <f t="shared" si="35"/>
        <v>1.8477232526006253</v>
      </c>
      <c r="AL16" s="20">
        <f t="shared" si="4"/>
        <v>11.602992550352086</v>
      </c>
      <c r="AM16" s="59">
        <f t="shared" si="5"/>
        <v>304.93632588368541</v>
      </c>
      <c r="AN16" s="59">
        <f ca="1">AVERAGE(OFFSET($AM$3,0,0,'Données projet'!$E$10+1,1))-AVERAGE(OFFSET($H$3,0,0,'Données projet'!$E$10+1,1))</f>
        <v>158.58786357608489</v>
      </c>
      <c r="AO16" s="59">
        <f t="shared" si="36"/>
        <v>163.20074068819849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18.07076923076923</v>
      </c>
      <c r="BD16" s="12">
        <f>IF('Données projet'!$A$88&gt;35,BD15+BC16-BL15,IF(A16&lt;'Données projet'!$A$88,$BA$205^A16,IF(A16='Données projet'!$A$88,'Données projet'!$B$88,BD15+BC16-BL15)))</f>
        <v>105.0353846153846</v>
      </c>
      <c r="BE16" s="13">
        <f>BD16*VLOOKUP('Données projet'!$B$11,Paramètres!$A$1:$I$89,3,0)*VLOOKUP('Données projet'!$B$11,Paramètres!$A$1:$I$89,5,0)</f>
        <v>62.811160000000001</v>
      </c>
      <c r="BF16" s="13">
        <f t="shared" si="37"/>
        <v>17.877113348572262</v>
      </c>
      <c r="BG16" s="20">
        <f t="shared" si="7"/>
        <v>140.53207608209667</v>
      </c>
      <c r="BH16" s="59">
        <f t="shared" si="8"/>
        <v>433.86540941543001</v>
      </c>
      <c r="BI16" s="59">
        <f ca="1">AVERAGE(OFFSET($BH$3,0,0,'Données projet'!$E$11+1,1))-AVERAGE(OFFSET($H$3,0,0,'Données projet'!$E$11+1,1))</f>
        <v>243.85350804244348</v>
      </c>
      <c r="BJ16" s="59">
        <f t="shared" si="38"/>
        <v>304.60992308960545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4.3499999999999996</v>
      </c>
      <c r="BY16" s="12">
        <f>IF('Données projet'!$A$114&gt;35,BY15+BX16-CG15,IF(A16&lt;'Données projet'!$A$114,$BV$205^A16,IF(A16='Données projet'!$A$114,'Données projet'!$B$114,BY15+BX16-CG15)))</f>
        <v>18.22583835526224</v>
      </c>
      <c r="BZ16" s="13">
        <f>BY16*VLOOKUP('Données projet'!$B$12,Paramètres!$A$1:$I$89,3,0)*VLOOKUP('Données projet'!$B$12,Paramètres!$A$1:$I$89,5,0)</f>
        <v>10.899051336446822</v>
      </c>
      <c r="CA16" s="13">
        <f t="shared" si="39"/>
        <v>3.8035463995409109</v>
      </c>
      <c r="CB16" s="20">
        <f t="shared" si="10"/>
        <v>25.607024390178637</v>
      </c>
      <c r="CC16" s="59">
        <f t="shared" si="11"/>
        <v>318.94035772351197</v>
      </c>
      <c r="CD16" s="59">
        <f ca="1">AVERAGE(OFFSET($CC$3,0,0,'Données projet'!$E$12+1,1))-AVERAGE(OFFSET($H$3,0,0,'Données projet'!$E$12+1,1))</f>
        <v>270.30888762640245</v>
      </c>
      <c r="CE16" s="59">
        <f t="shared" si="40"/>
        <v>202.23783851977691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12.3</v>
      </c>
      <c r="CT16" s="12">
        <f>IF('Données projet'!$A$140&gt;35,CT15+CS16-DB15,IF(A16&lt;'Données projet'!$A$140,$CQ$205^A16,IF(A16='Données projet'!$A$140,'Données projet'!$B$140,CT15+CS16-DB15)))</f>
        <v>47.900000000000006</v>
      </c>
      <c r="CU16" s="17">
        <f>CT16*VLOOKUP('Données projet'!$B$13,Paramètres!$A$1:$I$89,3,0)*VLOOKUP('Données projet'!$B$13,Paramètres!$A$1:$I$89,5,0)</f>
        <v>38.109240000000007</v>
      </c>
      <c r="CV16" s="13">
        <f t="shared" si="41"/>
        <v>11.496097202870512</v>
      </c>
      <c r="CW16" s="20">
        <f t="shared" si="13"/>
        <v>86.395962294999478</v>
      </c>
      <c r="CX16" s="59">
        <f t="shared" si="14"/>
        <v>379.72929562833281</v>
      </c>
      <c r="CY16" s="59">
        <f ca="1">AVERAGE(OFFSET($CX$3,0,0,'Données projet'!$E$13+1,1))-AVERAGE(OFFSET($H$3,0,0,'Données projet'!$E$13+1,1))</f>
        <v>260.20517190557814</v>
      </c>
      <c r="CZ16" s="59">
        <f t="shared" si="42"/>
        <v>307.22009971147133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4.0628205128205126</v>
      </c>
      <c r="DO16" s="12">
        <f>IF('Données projet'!$A$166&gt;35,DO15+DN16-DW15,IF(A16&lt;'Données projet'!$A$166,$DL$205^A16,IF(A16='Données projet'!$A$166,'Données projet'!$B$166,DO15+DN16-DW15)))</f>
        <v>8.0151413590917304</v>
      </c>
      <c r="DP16" s="17">
        <f>DO16*VLOOKUP('Données projet'!$B$14,Paramètres!$A$1:$I$89,3,0)*VLOOKUP('Données projet'!$B$14,Paramètres!$A$1:$I$89,5,0)</f>
        <v>8.1273533381190166</v>
      </c>
      <c r="DQ16" s="13">
        <f t="shared" si="43"/>
        <v>2.9348311908328566</v>
      </c>
      <c r="DR16" s="20">
        <f t="shared" si="16"/>
        <v>19.26663805459118</v>
      </c>
      <c r="DS16" s="59">
        <f t="shared" si="17"/>
        <v>312.59997138792448</v>
      </c>
      <c r="DT16" s="59">
        <f ca="1">AVERAGE(OFFSET($DS$3,0,0,'Données projet'!$E$14+1,1))-AVERAGE(OFFSET($H$3,0,0,'Données projet'!$E$14+1,1))</f>
        <v>263.15518481854753</v>
      </c>
      <c r="DU16" s="59">
        <f t="shared" si="44"/>
        <v>210.80755370263819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12.3</v>
      </c>
      <c r="EJ16" s="12">
        <f>IF('Données projet'!$A$192&gt;35,EJ15+EI16-ER15,IF(A16&lt;'Données projet'!$A$192,$EG$205^A16,IF(A16='Données projet'!$A$192,'Données projet'!$B$192,EJ15+EI16-ER15)))</f>
        <v>47.900000000000006</v>
      </c>
      <c r="EK16" s="17">
        <f>EJ16*VLOOKUP('Données projet'!$B$15,Paramètres!$A$1:$I$89,3,0)*VLOOKUP('Données projet'!$B$15,Paramètres!$A$1:$I$89,5,0)</f>
        <v>32.131320000000002</v>
      </c>
      <c r="EL16" s="13">
        <f t="shared" si="45"/>
        <v>9.8872188446624989</v>
      </c>
      <c r="EM16" s="20">
        <f t="shared" si="19"/>
        <v>73.182288487787176</v>
      </c>
      <c r="EN16" s="59">
        <f t="shared" si="20"/>
        <v>366.51562182112048</v>
      </c>
      <c r="EO16" s="59">
        <f ca="1">AVERAGE(OFFSET($EN$3,0,0,'Données projet'!$E$15+1,1))-AVERAGE(OFFSET($H$3,0,0,'Données projet'!$E$15+1,1))</f>
        <v>207.93042467236967</v>
      </c>
      <c r="EP16" s="59">
        <f t="shared" si="46"/>
        <v>250.70954318710835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4.0628205128205126</v>
      </c>
      <c r="FE16" s="12">
        <f>IF('Données projet'!$A$218&gt;35,FE15+FD16-FM15,IF(A16&lt;'Données projet'!$A$218,$FB$205^A16,IF(A16='Données projet'!$A$218,'Données projet'!$B$218,FE15+FD16-FM15)))</f>
        <v>8.0151413590917304</v>
      </c>
      <c r="FF16" s="17">
        <f>FE16*VLOOKUP('Données projet'!$B$16,Paramètres!$A$1:$I$89,3,0)*VLOOKUP('Données projet'!$B$16,Paramètres!$A$1:$I$89,5,0)</f>
        <v>8.627498158926338</v>
      </c>
      <c r="FG16" s="13">
        <f t="shared" si="47"/>
        <v>3.0938548928140652</v>
      </c>
      <c r="FH16" s="20">
        <f t="shared" si="22"/>
        <v>20.414689898447865</v>
      </c>
      <c r="FI16" s="59">
        <f t="shared" si="23"/>
        <v>313.74802323178119</v>
      </c>
      <c r="FJ16" s="59">
        <f ca="1">AVERAGE(OFFSET($FI$3,0,0,'Données projet'!$E$16+1,1))-AVERAGE(OFFSET($H$3,0,0,'Données projet'!$E$16+1,1))</f>
        <v>286.77702855541287</v>
      </c>
      <c r="FK16" s="59">
        <f t="shared" si="48"/>
        <v>227.12211541860779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4.9084615384615384</v>
      </c>
      <c r="FZ16" s="12">
        <f>IF('Données projet'!$A$244&gt;35,FZ15+FY16-GH15,IF(A16&lt;'Données projet'!$A$244,$FW$205^A16,IF(A16='Données projet'!$A$244,'Données projet'!$B$244,FZ15+FY16-GH15)))</f>
        <v>8.6995251313584792</v>
      </c>
      <c r="GA16" s="17">
        <f>FZ16*VLOOKUP('Données projet'!$B$17,Paramètres!$A$1:$I$89,3,0)*VLOOKUP('Données projet'!$B$17,Paramètres!$A$1:$I$89,5,0)</f>
        <v>4.0713777614757687</v>
      </c>
      <c r="GB16" s="13">
        <f t="shared" si="49"/>
        <v>1.5933807498842545</v>
      </c>
      <c r="GC16" s="20">
        <f t="shared" si="25"/>
        <v>9.8661210739520406</v>
      </c>
      <c r="GD16" s="59">
        <f t="shared" si="26"/>
        <v>303.19945440728537</v>
      </c>
      <c r="GE16" s="59">
        <f ca="1">AVERAGE(OFFSET($GD$3,0,0,'Données projet'!$E$17+1,1))-AVERAGE(OFFSET($H$3,0,0,'Données projet'!$E$17+1,1))</f>
        <v>123.2823358462245</v>
      </c>
      <c r="GF16" s="59">
        <f t="shared" si="50"/>
        <v>92.75115399786057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7.4312217194570129</v>
      </c>
      <c r="GU16" s="12">
        <f>IF('Données projet'!$A$270&gt;35,GU15+GT16-HC15,IF(A16&lt;'Données projet'!$A$270,$GR$205^A16,IF(A16='Données projet'!$A$270,'Données projet'!$B$270,GU15+GT16-HC15)))</f>
        <v>40.460980378841768</v>
      </c>
      <c r="GV16" s="17">
        <f>GU16*VLOOKUP('Données projet'!$B$18,Paramètres!$A$1:$I$89,3,0)*VLOOKUP('Données projet'!$B$18,Paramètres!$A$1:$I$89,5,0)</f>
        <v>24.195666266547377</v>
      </c>
      <c r="GW16" s="13">
        <f t="shared" si="51"/>
        <v>7.6952475537219458</v>
      </c>
      <c r="GX16" s="20">
        <f t="shared" si="28"/>
        <v>55.543341570302402</v>
      </c>
      <c r="GY16" s="59">
        <f t="shared" si="29"/>
        <v>348.87667490363572</v>
      </c>
      <c r="GZ16" s="59">
        <f ca="1">AVERAGE(OFFSET($GY$3,0,0,'Données projet'!$E$18+1,1))-AVERAGE(OFFSET($H$3,0,0,'Données projet'!$E$18+1,1))</f>
        <v>171.96009656745713</v>
      </c>
      <c r="HA16" s="59">
        <f t="shared" si="52"/>
        <v>172.37574906747716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>
        <f>EXP(-LN(2)/35)*HG15+(1-EXP(-LN(2)/35))/(LN(2)/35)*HC16*HD16*VLOOKUP('Données projet'!$B$18,Paramètres!$A$1:$I$89,3,0)*0.475*44/12</f>
        <v>0</v>
      </c>
      <c r="HH16" s="21">
        <f>EXP(-LN(2)/25)*HH15+(1-EXP(-LN(2)/25))/(LN(2)/25)*Calculateur!HC16*Calculateur!HE16*VLOOKUP('Données projet'!$B$18,Paramètres!$A$1:$I$89,3,0)*0.475*44/12</f>
        <v>0</v>
      </c>
      <c r="HI16" s="21">
        <f>EXP(-LN(2)/2)*HI15+(1-EXP(-LN(2)/2))/(LN(2)/2)*HC16*HF16*VLOOKUP('Données projet'!$B$18,Paramètres!$A$1:$I$89,3,0)*0.475*44/12</f>
        <v>0</v>
      </c>
      <c r="HJ16" s="22">
        <f t="shared" si="30"/>
        <v>0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9.3968325791855207</v>
      </c>
      <c r="N17" s="13">
        <f>IF('Données projet'!$A$36&gt;35,N16+M17-V16,IF(A17&lt;'Données projet'!$A$36,$K$205^A17,IF(A17='Données projet'!$A$36,'Données projet'!$B$36,N16+M17-V16)))</f>
        <v>65.251387348641543</v>
      </c>
      <c r="O17" s="13">
        <f>N17*VLOOKUP('Données projet'!$B$9,Paramètres!$A$1:$I$89,3,0)*VLOOKUP('Données projet'!$B$9,Paramètres!$A$1:$I$89,5,0)</f>
        <v>36.475525527890625</v>
      </c>
      <c r="P17" s="13">
        <f t="shared" si="33"/>
        <v>11.059529243860162</v>
      </c>
      <c r="Q17" s="20">
        <f t="shared" si="2"/>
        <v>82.790220394132618</v>
      </c>
      <c r="R17" s="59">
        <f t="shared" si="0"/>
        <v>376.12355372746595</v>
      </c>
      <c r="S17" s="59">
        <f ca="1">AVERAGE(OFFSET($R$3,0,0,'Données projet'!$E$9+1,1))-AVERAGE(OFFSET($H$3,0,0,'Données projet'!$E$9+1,1))</f>
        <v>255.5374979188561</v>
      </c>
      <c r="T17" s="59">
        <f t="shared" si="34"/>
        <v>343.10418468620901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7.2264102564102561</v>
      </c>
      <c r="AI17" s="13">
        <f>IF('Données projet'!$A$62&gt;35,AI16+AH17-AQ16,IF(A17&lt;'Données projet'!$A$62,$AF$205^A17,IF(A17='Données projet'!$A$62,'Données projet'!$B$62,AI16+AH17-AQ16)))</f>
        <v>12.307045471848836</v>
      </c>
      <c r="AJ17" s="13">
        <f>AI17*VLOOKUP('Données projet'!$B$10,Paramètres!$A$1:$I$89,3,0)*VLOOKUP('Données projet'!$B$10,Paramètres!$A$1:$I$89,5,0)</f>
        <v>5.7596972808252556</v>
      </c>
      <c r="AK17" s="13">
        <f t="shared" si="35"/>
        <v>2.1649167617120959</v>
      </c>
      <c r="AL17" s="20">
        <f t="shared" si="4"/>
        <v>13.802036124085888</v>
      </c>
      <c r="AM17" s="59">
        <f t="shared" si="5"/>
        <v>307.13536945741919</v>
      </c>
      <c r="AN17" s="59">
        <f ca="1">AVERAGE(OFFSET($AM$3,0,0,'Données projet'!$E$10+1,1))-AVERAGE(OFFSET($H$3,0,0,'Données projet'!$E$10+1,1))</f>
        <v>158.58786357608489</v>
      </c>
      <c r="AO17" s="59">
        <f t="shared" si="36"/>
        <v>163.20074068819849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18.07076923076923</v>
      </c>
      <c r="BD17" s="12">
        <f>IF('Données projet'!$A$88&gt;35,BD16+BC17-BL16,IF(A17&lt;'Données projet'!$A$88,$BA$205^A17,IF(A17='Données projet'!$A$88,'Données projet'!$B$88,BD16+BC17-BL16)))</f>
        <v>123.10615384615383</v>
      </c>
      <c r="BE17" s="13">
        <f>BD17*VLOOKUP('Données projet'!$B$11,Paramètres!$A$1:$I$89,3,0)*VLOOKUP('Données projet'!$B$11,Paramètres!$A$1:$I$89,5,0)</f>
        <v>73.61748</v>
      </c>
      <c r="BF17" s="13">
        <f t="shared" si="37"/>
        <v>20.569153997119681</v>
      </c>
      <c r="BG17" s="20">
        <f t="shared" si="7"/>
        <v>164.04172087831677</v>
      </c>
      <c r="BH17" s="59">
        <f t="shared" si="8"/>
        <v>457.37505421165008</v>
      </c>
      <c r="BI17" s="59">
        <f ca="1">AVERAGE(OFFSET($BH$3,0,0,'Données projet'!$E$11+1,1))-AVERAGE(OFFSET($H$3,0,0,'Données projet'!$E$11+1,1))</f>
        <v>243.85350804244348</v>
      </c>
      <c r="BJ17" s="59">
        <f t="shared" si="38"/>
        <v>304.60992308960545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4.3499999999999996</v>
      </c>
      <c r="BY17" s="12">
        <f>IF('Données projet'!$A$114&gt;35,BY16+BX17-CG16,IF(A17&lt;'Données projet'!$A$114,$BV$205^A17,IF(A17='Données projet'!$A$114,'Données projet'!$B$114,BY16+BX17-CG16)))</f>
        <v>22.785757803932292</v>
      </c>
      <c r="BZ17" s="13">
        <f>BY17*VLOOKUP('Données projet'!$B$12,Paramètres!$A$1:$I$89,3,0)*VLOOKUP('Données projet'!$B$12,Paramètres!$A$1:$I$89,5,0)</f>
        <v>13.625883166751512</v>
      </c>
      <c r="CA17" s="13">
        <f t="shared" si="39"/>
        <v>4.6331533955999511</v>
      </c>
      <c r="CB17" s="20">
        <f t="shared" si="10"/>
        <v>31.801155346095459</v>
      </c>
      <c r="CC17" s="59">
        <f t="shared" si="11"/>
        <v>325.13448867942878</v>
      </c>
      <c r="CD17" s="59">
        <f ca="1">AVERAGE(OFFSET($CC$3,0,0,'Données projet'!$E$12+1,1))-AVERAGE(OFFSET($H$3,0,0,'Données projet'!$E$12+1,1))</f>
        <v>270.30888762640245</v>
      </c>
      <c r="CE17" s="59">
        <f t="shared" si="40"/>
        <v>202.23783851977691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12.3</v>
      </c>
      <c r="CT17" s="12">
        <f>IF('Données projet'!$A$140&gt;35,CT16+CS17-DB16,IF(A17&lt;'Données projet'!$A$140,$CQ$205^A17,IF(A17='Données projet'!$A$140,'Données projet'!$B$140,CT16+CS17-DB16)))</f>
        <v>60.2</v>
      </c>
      <c r="CU17" s="17">
        <f>CT17*VLOOKUP('Données projet'!$B$13,Paramètres!$A$1:$I$89,3,0)*VLOOKUP('Données projet'!$B$13,Paramètres!$A$1:$I$89,5,0)</f>
        <v>47.895120000000006</v>
      </c>
      <c r="CV17" s="13">
        <f t="shared" si="41"/>
        <v>14.068812032564205</v>
      </c>
      <c r="CW17" s="20">
        <f t="shared" si="13"/>
        <v>107.92051495671599</v>
      </c>
      <c r="CX17" s="59">
        <f t="shared" si="14"/>
        <v>401.25384829004929</v>
      </c>
      <c r="CY17" s="59">
        <f ca="1">AVERAGE(OFFSET($CX$3,0,0,'Données projet'!$E$13+1,1))-AVERAGE(OFFSET($H$3,0,0,'Données projet'!$E$13+1,1))</f>
        <v>260.20517190557814</v>
      </c>
      <c r="CZ17" s="59">
        <f t="shared" si="42"/>
        <v>307.22009971147133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4.0628205128205126</v>
      </c>
      <c r="DO17" s="12">
        <f>IF('Données projet'!$A$166&gt;35,DO16+DN17-DW16,IF(A17&lt;'Données projet'!$A$166,$DL$205^A17,IF(A17='Données projet'!$A$166,'Données projet'!$B$166,DO16+DN17-DW16)))</f>
        <v>9.4068196111151305</v>
      </c>
      <c r="DP17" s="17">
        <f>DO17*VLOOKUP('Données projet'!$B$14,Paramètres!$A$1:$I$89,3,0)*VLOOKUP('Données projet'!$B$14,Paramètres!$A$1:$I$89,5,0)</f>
        <v>9.5385150856707419</v>
      </c>
      <c r="DQ17" s="13">
        <f t="shared" si="43"/>
        <v>3.3808139681206768</v>
      </c>
      <c r="DR17" s="20">
        <f t="shared" si="16"/>
        <v>22.501164768686721</v>
      </c>
      <c r="DS17" s="59">
        <f t="shared" si="17"/>
        <v>315.83449810202001</v>
      </c>
      <c r="DT17" s="59">
        <f ca="1">AVERAGE(OFFSET($DS$3,0,0,'Données projet'!$E$14+1,1))-AVERAGE(OFFSET($H$3,0,0,'Données projet'!$E$14+1,1))</f>
        <v>263.15518481854753</v>
      </c>
      <c r="DU17" s="59">
        <f t="shared" si="44"/>
        <v>210.80755370263819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12.3</v>
      </c>
      <c r="EJ17" s="12">
        <f>IF('Données projet'!$A$192&gt;35,EJ16+EI17-ER16,IF(A17&lt;'Données projet'!$A$192,$EG$205^A17,IF(A17='Données projet'!$A$192,'Données projet'!$B$192,EJ16+EI17-ER16)))</f>
        <v>60.2</v>
      </c>
      <c r="EK17" s="17">
        <f>EJ17*VLOOKUP('Données projet'!$B$15,Paramètres!$A$1:$I$89,3,0)*VLOOKUP('Données projet'!$B$15,Paramètres!$A$1:$I$89,5,0)</f>
        <v>40.382159999999999</v>
      </c>
      <c r="EL17" s="13">
        <f t="shared" si="45"/>
        <v>12.099882333601922</v>
      </c>
      <c r="EM17" s="20">
        <f t="shared" si="19"/>
        <v>91.40622373102336</v>
      </c>
      <c r="EN17" s="59">
        <f t="shared" si="20"/>
        <v>384.73955706435669</v>
      </c>
      <c r="EO17" s="59">
        <f ca="1">AVERAGE(OFFSET($EN$3,0,0,'Données projet'!$E$15+1,1))-AVERAGE(OFFSET($H$3,0,0,'Données projet'!$E$15+1,1))</f>
        <v>207.93042467236967</v>
      </c>
      <c r="EP17" s="59">
        <f t="shared" si="46"/>
        <v>250.70954318710835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4.0628205128205126</v>
      </c>
      <c r="FE17" s="12">
        <f>IF('Données projet'!$A$218&gt;35,FE16+FD17-FM16,IF(A17&lt;'Données projet'!$A$218,$FB$205^A17,IF(A17='Données projet'!$A$218,'Données projet'!$B$218,FE16+FD17-FM16)))</f>
        <v>9.4068196111151305</v>
      </c>
      <c r="FF17" s="17">
        <f>FE17*VLOOKUP('Données projet'!$B$16,Paramètres!$A$1:$I$89,3,0)*VLOOKUP('Données projet'!$B$16,Paramètres!$A$1:$I$89,5,0)</f>
        <v>10.125500629404325</v>
      </c>
      <c r="FG17" s="13">
        <f t="shared" si="47"/>
        <v>3.5640032277277203</v>
      </c>
      <c r="FH17" s="20">
        <f t="shared" si="22"/>
        <v>23.842552551171647</v>
      </c>
      <c r="FI17" s="59">
        <f t="shared" si="23"/>
        <v>317.17588588450496</v>
      </c>
      <c r="FJ17" s="59">
        <f ca="1">AVERAGE(OFFSET($FI$3,0,0,'Données projet'!$E$16+1,1))-AVERAGE(OFFSET($H$3,0,0,'Données projet'!$E$16+1,1))</f>
        <v>286.77702855541287</v>
      </c>
      <c r="FK17" s="59">
        <f t="shared" si="48"/>
        <v>227.12211541860779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4.9084615384615384</v>
      </c>
      <c r="FZ17" s="12">
        <f>IF('Données projet'!$A$244&gt;35,FZ16+FY17-GH16,IF(A17&lt;'Données projet'!$A$244,$FW$205^A17,IF(A17='Données projet'!$A$244,'Données projet'!$B$244,FZ16+FY17-GH16)))</f>
        <v>10.27458845259182</v>
      </c>
      <c r="GA17" s="17">
        <f>FZ17*VLOOKUP('Données projet'!$B$17,Paramètres!$A$1:$I$89,3,0)*VLOOKUP('Données projet'!$B$17,Paramètres!$A$1:$I$89,5,0)</f>
        <v>4.8085073958129714</v>
      </c>
      <c r="GB17" s="13">
        <f t="shared" si="49"/>
        <v>1.8457647839586531</v>
      </c>
      <c r="GC17" s="20">
        <f t="shared" si="25"/>
        <v>11.589524046435578</v>
      </c>
      <c r="GD17" s="59">
        <f t="shared" si="26"/>
        <v>304.92285737976891</v>
      </c>
      <c r="GE17" s="59">
        <f ca="1">AVERAGE(OFFSET($GD$3,0,0,'Données projet'!$E$17+1,1))-AVERAGE(OFFSET($H$3,0,0,'Données projet'!$E$17+1,1))</f>
        <v>123.2823358462245</v>
      </c>
      <c r="GF17" s="59">
        <f t="shared" si="50"/>
        <v>92.75115399786057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7.4312217194570129</v>
      </c>
      <c r="GU17" s="12">
        <f>IF('Données projet'!$A$270&gt;35,GU16+GT17-HC16,IF(A17&lt;'Données projet'!$A$270,$GR$205^A17,IF(A17='Données projet'!$A$270,'Données projet'!$B$270,GU16+GT17-HC16)))</f>
        <v>53.784184291233551</v>
      </c>
      <c r="GV17" s="17">
        <f>GU17*VLOOKUP('Données projet'!$B$18,Paramètres!$A$1:$I$89,3,0)*VLOOKUP('Données projet'!$B$18,Paramètres!$A$1:$I$89,5,0)</f>
        <v>32.162942206157666</v>
      </c>
      <c r="GW17" s="13">
        <f t="shared" si="51"/>
        <v>9.8958162734145461</v>
      </c>
      <c r="GX17" s="20">
        <f t="shared" si="28"/>
        <v>73.252337685254929</v>
      </c>
      <c r="GY17" s="59">
        <f t="shared" si="29"/>
        <v>366.58567101858824</v>
      </c>
      <c r="GZ17" s="59">
        <f ca="1">AVERAGE(OFFSET($GY$3,0,0,'Données projet'!$E$18+1,1))-AVERAGE(OFFSET($H$3,0,0,'Données projet'!$E$18+1,1))</f>
        <v>171.96009656745713</v>
      </c>
      <c r="HA17" s="59">
        <f t="shared" si="52"/>
        <v>172.37574906747716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>
        <f>EXP(-LN(2)/35)*HG16+(1-EXP(-LN(2)/35))/(LN(2)/35)*HC17*HD17*VLOOKUP('Données projet'!$B$18,Paramètres!$A$1:$I$89,3,0)*0.475*44/12</f>
        <v>0</v>
      </c>
      <c r="HH17" s="21">
        <f>EXP(-LN(2)/25)*HH16+(1-EXP(-LN(2)/25))/(LN(2)/25)*Calculateur!HC17*Calculateur!HE17*VLOOKUP('Données projet'!$B$18,Paramètres!$A$1:$I$89,3,0)*0.475*44/12</f>
        <v>0</v>
      </c>
      <c r="HI17" s="21">
        <f>EXP(-LN(2)/2)*HI16+(1-EXP(-LN(2)/2))/(LN(2)/2)*HC17*HF17*VLOOKUP('Données projet'!$B$18,Paramètres!$A$1:$I$89,3,0)*0.475*44/12</f>
        <v>0</v>
      </c>
      <c r="HJ17" s="22">
        <f t="shared" si="30"/>
        <v>0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9.3968325791855207</v>
      </c>
      <c r="N18" s="13">
        <f>IF('Données projet'!$A$36&gt;35,N17+M18-V17,IF(A18&lt;'Données projet'!$A$36,$K$205^A18,IF(A18='Données projet'!$A$36,'Données projet'!$B$36,N17+M18-V17)))</f>
        <v>87.943410428552681</v>
      </c>
      <c r="O18" s="13">
        <f>N18*VLOOKUP('Données projet'!$B$9,Paramètres!$A$1:$I$89,3,0)*VLOOKUP('Données projet'!$B$9,Paramètres!$A$1:$I$89,5,0)</f>
        <v>49.160366429560945</v>
      </c>
      <c r="P18" s="13">
        <f t="shared" si="33"/>
        <v>14.396707372164377</v>
      </c>
      <c r="Q18" s="20">
        <f t="shared" si="2"/>
        <v>110.69523687133828</v>
      </c>
      <c r="R18" s="59">
        <f t="shared" si="0"/>
        <v>404.02857020467161</v>
      </c>
      <c r="S18" s="59">
        <f ca="1">AVERAGE(OFFSET($R$3,0,0,'Données projet'!$E$9+1,1))-AVERAGE(OFFSET($H$3,0,0,'Données projet'!$E$9+1,1))</f>
        <v>255.5374979188561</v>
      </c>
      <c r="T18" s="59">
        <f t="shared" si="34"/>
        <v>343.10418468620901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7.2264102564102561</v>
      </c>
      <c r="AI18" s="13">
        <f>IF('Données projet'!$A$62&gt;35,AI17+AH18-AQ17,IF(A18&lt;'Données projet'!$A$62,$AF$205^A18,IF(A18='Données projet'!$A$62,'Données projet'!$B$62,AI17+AH18-AQ17)))</f>
        <v>14.723868638788783</v>
      </c>
      <c r="AJ18" s="13">
        <f>AI18*VLOOKUP('Données projet'!$B$10,Paramètres!$A$1:$I$89,3,0)*VLOOKUP('Données projet'!$B$10,Paramètres!$A$1:$I$89,5,0)</f>
        <v>6.89077052295315</v>
      </c>
      <c r="AK18" s="13">
        <f t="shared" si="35"/>
        <v>2.5365619978778424</v>
      </c>
      <c r="AL18" s="20">
        <f t="shared" si="4"/>
        <v>16.419270807113978</v>
      </c>
      <c r="AM18" s="59">
        <f t="shared" si="5"/>
        <v>309.75260414044732</v>
      </c>
      <c r="AN18" s="59">
        <f ca="1">AVERAGE(OFFSET($AM$3,0,0,'Données projet'!$E$10+1,1))-AVERAGE(OFFSET($H$3,0,0,'Données projet'!$E$10+1,1))</f>
        <v>158.58786357608489</v>
      </c>
      <c r="AO18" s="59">
        <f t="shared" si="36"/>
        <v>163.20074068819849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>
        <f>VLOOKUP(A18,'Données projet'!$A$87:$I$107,2,0)</f>
        <v>141.17692307692306</v>
      </c>
      <c r="BB18" s="12">
        <f>VLOOKUP(A18,'Données projet'!$A$87:$I$107,9,0)</f>
        <v>18.07076923076923</v>
      </c>
      <c r="BC18" s="12">
        <f t="array" ref="BC18">INDEX(BB:BB,MIN(IF(ISNUMBER(BB18:BB214),ROW(BB18:BB214),"")))</f>
        <v>18.07076923076923</v>
      </c>
      <c r="BD18" s="12">
        <f>IF('Données projet'!$A$88&gt;35,BD17+BC18-BL17,IF(A18&lt;'Données projet'!$A$88,$BA$205^A18,IF(A18='Données projet'!$A$88,'Données projet'!$B$88,BD17+BC18-BL17)))</f>
        <v>141.17692307692306</v>
      </c>
      <c r="BE18" s="13">
        <f>BD18*VLOOKUP('Données projet'!$B$11,Paramètres!$A$1:$I$89,3,0)*VLOOKUP('Données projet'!$B$11,Paramètres!$A$1:$I$89,5,0)</f>
        <v>84.423799999999986</v>
      </c>
      <c r="BF18" s="13">
        <f t="shared" si="37"/>
        <v>23.215414769475935</v>
      </c>
      <c r="BG18" s="20">
        <f t="shared" si="7"/>
        <v>187.47163239017053</v>
      </c>
      <c r="BH18" s="59">
        <f t="shared" si="8"/>
        <v>480.80496572350387</v>
      </c>
      <c r="BI18" s="59">
        <f ca="1">AVERAGE(OFFSET($BH$3,0,0,'Données projet'!$E$11+1,1))-AVERAGE(OFFSET($H$3,0,0,'Données projet'!$E$11+1,1))</f>
        <v>243.85350804244348</v>
      </c>
      <c r="BJ18" s="59">
        <f t="shared" si="38"/>
        <v>304.60992308960545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49.784615384615385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0.22500000000000001</v>
      </c>
      <c r="BO18" s="16">
        <f>IF(ISNA(VLOOKUP(A18,'Données projet'!$A$87:$I$107,7,0)),0%,VLOOKUP(A18,'Données projet'!$A$87:$I$107,7,0))</f>
        <v>0.5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8.8510308952359278</v>
      </c>
      <c r="BR18" s="21">
        <f>EXP(-LN(2)/2)*BR17+(1-EXP(-LN(2)/2))/(LN(2)/2)*BL18*BO18*VLOOKUP('Données projet'!$B$11,Paramètres!$A$1:$I$89,3,0)*0.475*44/12</f>
        <v>16.853957088059961</v>
      </c>
      <c r="BS18" s="22">
        <f t="shared" si="9"/>
        <v>25.704987983295887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4.3499999999999996</v>
      </c>
      <c r="BY18" s="12">
        <f>IF('Données projet'!$A$114&gt;35,BY17+BX18-CG17,IF(A18&lt;'Données projet'!$A$114,$BV$205^A18,IF(A18='Données projet'!$A$114,'Données projet'!$B$114,BY17+BX18-CG17)))</f>
        <v>28.48652273652797</v>
      </c>
      <c r="BZ18" s="13">
        <f>BY18*VLOOKUP('Données projet'!$B$12,Paramètres!$A$1:$I$89,3,0)*VLOOKUP('Données projet'!$B$12,Paramètres!$A$1:$I$89,5,0)</f>
        <v>17.034940596443729</v>
      </c>
      <c r="CA18" s="13">
        <f t="shared" si="39"/>
        <v>5.6437093523429409</v>
      </c>
      <c r="CB18" s="20">
        <f t="shared" si="10"/>
        <v>39.498648660803447</v>
      </c>
      <c r="CC18" s="59">
        <f t="shared" si="11"/>
        <v>332.83198199413675</v>
      </c>
      <c r="CD18" s="59">
        <f ca="1">AVERAGE(OFFSET($CC$3,0,0,'Données projet'!$E$12+1,1))-AVERAGE(OFFSET($H$3,0,0,'Données projet'!$E$12+1,1))</f>
        <v>270.30888762640245</v>
      </c>
      <c r="CE18" s="59">
        <f t="shared" si="40"/>
        <v>202.23783851977691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12.3</v>
      </c>
      <c r="CT18" s="12">
        <f>IF('Données projet'!$A$140&gt;35,CT17+CS18-DB17,IF(A18&lt;'Données projet'!$A$140,$CQ$205^A18,IF(A18='Données projet'!$A$140,'Données projet'!$B$140,CT17+CS18-DB17)))</f>
        <v>72.5</v>
      </c>
      <c r="CU18" s="17">
        <f>CT18*VLOOKUP('Données projet'!$B$13,Paramètres!$A$1:$I$89,3,0)*VLOOKUP('Données projet'!$B$13,Paramètres!$A$1:$I$89,5,0)</f>
        <v>57.681000000000004</v>
      </c>
      <c r="CV18" s="13">
        <f t="shared" si="41"/>
        <v>16.580614810327479</v>
      </c>
      <c r="CW18" s="20">
        <f t="shared" si="13"/>
        <v>129.33897912798705</v>
      </c>
      <c r="CX18" s="59">
        <f t="shared" si="14"/>
        <v>422.67231246132036</v>
      </c>
      <c r="CY18" s="59">
        <f ca="1">AVERAGE(OFFSET($CX$3,0,0,'Données projet'!$E$13+1,1))-AVERAGE(OFFSET($H$3,0,0,'Données projet'!$E$13+1,1))</f>
        <v>260.20517190557814</v>
      </c>
      <c r="CZ18" s="59">
        <f t="shared" si="42"/>
        <v>307.22009971147133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4.0628205128205126</v>
      </c>
      <c r="DO18" s="12">
        <f>IF('Données projet'!$A$166&gt;35,DO17+DN18-DW17,IF(A18&lt;'Données projet'!$A$166,$DL$205^A18,IF(A18='Données projet'!$A$166,'Données projet'!$B$166,DO17+DN18-DW17)))</f>
        <v>11.040136565487554</v>
      </c>
      <c r="DP18" s="17">
        <f>DO18*VLOOKUP('Données projet'!$B$14,Paramètres!$A$1:$I$89,3,0)*VLOOKUP('Données projet'!$B$14,Paramètres!$A$1:$I$89,5,0)</f>
        <v>11.194698477404382</v>
      </c>
      <c r="DQ18" s="13">
        <f t="shared" si="43"/>
        <v>3.8945691741119406</v>
      </c>
      <c r="DR18" s="20">
        <f t="shared" si="16"/>
        <v>26.280474493057593</v>
      </c>
      <c r="DS18" s="59">
        <f t="shared" si="17"/>
        <v>319.61380782639088</v>
      </c>
      <c r="DT18" s="59">
        <f ca="1">AVERAGE(OFFSET($DS$3,0,0,'Données projet'!$E$14+1,1))-AVERAGE(OFFSET($H$3,0,0,'Données projet'!$E$14+1,1))</f>
        <v>263.15518481854753</v>
      </c>
      <c r="DU18" s="59">
        <f t="shared" si="44"/>
        <v>210.80755370263819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12.3</v>
      </c>
      <c r="EJ18" s="12">
        <f>IF('Données projet'!$A$192&gt;35,EJ17+EI18-ER17,IF(A18&lt;'Données projet'!$A$192,$EG$205^A18,IF(A18='Données projet'!$A$192,'Données projet'!$B$192,EJ17+EI18-ER17)))</f>
        <v>72.5</v>
      </c>
      <c r="EK18" s="17">
        <f>EJ18*VLOOKUP('Données projet'!$B$15,Paramètres!$A$1:$I$89,3,0)*VLOOKUP('Données projet'!$B$15,Paramètres!$A$1:$I$89,5,0)</f>
        <v>48.633000000000003</v>
      </c>
      <c r="EL18" s="13">
        <f t="shared" si="45"/>
        <v>14.260158409918985</v>
      </c>
      <c r="EM18" s="20">
        <f t="shared" si="19"/>
        <v>109.53891756394223</v>
      </c>
      <c r="EN18" s="59">
        <f t="shared" si="20"/>
        <v>402.87225089727553</v>
      </c>
      <c r="EO18" s="59">
        <f ca="1">AVERAGE(OFFSET($EN$3,0,0,'Données projet'!$E$15+1,1))-AVERAGE(OFFSET($H$3,0,0,'Données projet'!$E$15+1,1))</f>
        <v>207.93042467236967</v>
      </c>
      <c r="EP18" s="59">
        <f t="shared" si="46"/>
        <v>250.70954318710835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4.0628205128205126</v>
      </c>
      <c r="FE18" s="12">
        <f>IF('Données projet'!$A$218&gt;35,FE17+FD18-FM17,IF(A18&lt;'Données projet'!$A$218,$FB$205^A18,IF(A18='Données projet'!$A$218,'Données projet'!$B$218,FE17+FD18-FM17)))</f>
        <v>11.040136565487554</v>
      </c>
      <c r="FF18" s="17">
        <f>FE18*VLOOKUP('Données projet'!$B$16,Paramètres!$A$1:$I$89,3,0)*VLOOKUP('Données projet'!$B$16,Paramètres!$A$1:$I$89,5,0)</f>
        <v>11.883602999090803</v>
      </c>
      <c r="FG18" s="13">
        <f t="shared" si="47"/>
        <v>4.1055962374822954</v>
      </c>
      <c r="FH18" s="20">
        <f t="shared" si="22"/>
        <v>27.847855337031476</v>
      </c>
      <c r="FI18" s="59">
        <f t="shared" si="23"/>
        <v>321.1811886703648</v>
      </c>
      <c r="FJ18" s="59">
        <f ca="1">AVERAGE(OFFSET($FI$3,0,0,'Données projet'!$E$16+1,1))-AVERAGE(OFFSET($H$3,0,0,'Données projet'!$E$16+1,1))</f>
        <v>286.77702855541287</v>
      </c>
      <c r="FK18" s="59">
        <f t="shared" si="48"/>
        <v>227.12211541860779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4.9084615384615384</v>
      </c>
      <c r="FZ18" s="12">
        <f>IF('Données projet'!$A$244&gt;35,FZ17+FY18-GH17,IF(A18&lt;'Données projet'!$A$244,$FW$205^A18,IF(A18='Données projet'!$A$244,'Données projet'!$B$244,FZ17+FY18-GH17)))</f>
        <v>12.134819576485119</v>
      </c>
      <c r="GA18" s="17">
        <f>FZ18*VLOOKUP('Données projet'!$B$17,Paramètres!$A$1:$I$89,3,0)*VLOOKUP('Données projet'!$B$17,Paramètres!$A$1:$I$89,5,0)</f>
        <v>5.6790955617950356</v>
      </c>
      <c r="GB18" s="13">
        <f t="shared" si="49"/>
        <v>2.1381252647550886</v>
      </c>
      <c r="GC18" s="20">
        <f t="shared" si="25"/>
        <v>13.614992939574798</v>
      </c>
      <c r="GD18" s="59">
        <f t="shared" si="26"/>
        <v>306.9483262729081</v>
      </c>
      <c r="GE18" s="59">
        <f ca="1">AVERAGE(OFFSET($GD$3,0,0,'Données projet'!$E$17+1,1))-AVERAGE(OFFSET($H$3,0,0,'Données projet'!$E$17+1,1))</f>
        <v>123.2823358462245</v>
      </c>
      <c r="GF18" s="59">
        <f t="shared" si="50"/>
        <v>92.75115399786057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7.4312217194570129</v>
      </c>
      <c r="GU18" s="12">
        <f>IF('Données projet'!$A$270&gt;35,GU17+GT18-HC17,IF(A18&lt;'Données projet'!$A$270,$GR$205^A18,IF(A18='Données projet'!$A$270,'Données projet'!$B$270,GU17+GT18-HC17)))</f>
        <v>71.494522692931866</v>
      </c>
      <c r="GV18" s="17">
        <f>GU18*VLOOKUP('Données projet'!$B$18,Paramètres!$A$1:$I$89,3,0)*VLOOKUP('Données projet'!$B$18,Paramètres!$A$1:$I$89,5,0)</f>
        <v>42.753724570373258</v>
      </c>
      <c r="GW18" s="13">
        <f t="shared" si="51"/>
        <v>12.725669841487028</v>
      </c>
      <c r="GX18" s="20">
        <f t="shared" si="28"/>
        <v>96.626611933989992</v>
      </c>
      <c r="GY18" s="59">
        <f t="shared" si="29"/>
        <v>389.95994526732329</v>
      </c>
      <c r="GZ18" s="59">
        <f ca="1">AVERAGE(OFFSET($GY$3,0,0,'Données projet'!$E$18+1,1))-AVERAGE(OFFSET($H$3,0,0,'Données projet'!$E$18+1,1))</f>
        <v>171.96009656745713</v>
      </c>
      <c r="HA18" s="59">
        <f t="shared" si="52"/>
        <v>172.37574906747716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>
        <f>EXP(-LN(2)/35)*HG17+(1-EXP(-LN(2)/35))/(LN(2)/35)*HC18*HD18*VLOOKUP('Données projet'!$B$18,Paramètres!$A$1:$I$89,3,0)*0.475*44/12</f>
        <v>0</v>
      </c>
      <c r="HH18" s="21">
        <f>EXP(-LN(2)/25)*HH17+(1-EXP(-LN(2)/25))/(LN(2)/25)*Calculateur!HC18*Calculateur!HE18*VLOOKUP('Données projet'!$B$18,Paramètres!$A$1:$I$89,3,0)*0.475*44/12</f>
        <v>0</v>
      </c>
      <c r="HI18" s="21">
        <f>EXP(-LN(2)/2)*HI17+(1-EXP(-LN(2)/2))/(LN(2)/2)*HC18*HF18*VLOOKUP('Données projet'!$B$18,Paramètres!$A$1:$I$89,3,0)*0.475*44/12</f>
        <v>0</v>
      </c>
      <c r="HJ18" s="22">
        <f t="shared" si="30"/>
        <v>0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9.3968325791855207</v>
      </c>
      <c r="N19" s="13">
        <f>IF('Données projet'!$A$36&gt;35,N18+M19-V18,IF(A19&lt;'Données projet'!$A$36,$K$205^A19,IF(A19='Données projet'!$A$36,'Données projet'!$B$36,N18+M19-V18)))</f>
        <v>118.52688122141336</v>
      </c>
      <c r="O19" s="13">
        <f>N19*VLOOKUP('Données projet'!$B$9,Paramètres!$A$1:$I$89,3,0)*VLOOKUP('Données projet'!$B$9,Paramètres!$A$1:$I$89,5,0)</f>
        <v>66.256526602770066</v>
      </c>
      <c r="P19" s="13">
        <f t="shared" si="33"/>
        <v>18.740868493548042</v>
      </c>
      <c r="Q19" s="20">
        <f t="shared" si="2"/>
        <v>148.03712979275406</v>
      </c>
      <c r="R19" s="59">
        <f t="shared" si="0"/>
        <v>441.37046312608737</v>
      </c>
      <c r="S19" s="59">
        <f ca="1">AVERAGE(OFFSET($R$3,0,0,'Données projet'!$E$9+1,1))-AVERAGE(OFFSET($H$3,0,0,'Données projet'!$E$9+1,1))</f>
        <v>255.5374979188561</v>
      </c>
      <c r="T19" s="59">
        <f t="shared" si="34"/>
        <v>343.10418468620901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7.2264102564102561</v>
      </c>
      <c r="AI19" s="13">
        <f>IF('Données projet'!$A$62&gt;35,AI18+AH19-AQ18,IF(A19&lt;'Données projet'!$A$62,$AF$205^A19,IF(A19='Données projet'!$A$62,'Données projet'!$B$62,AI18+AH19-AQ18)))</f>
        <v>17.61530077939495</v>
      </c>
      <c r="AJ19" s="13">
        <f>AI19*VLOOKUP('Données projet'!$B$10,Paramètres!$A$1:$I$89,3,0)*VLOOKUP('Données projet'!$B$10,Paramètres!$A$1:$I$89,5,0)</f>
        <v>8.2439607647568369</v>
      </c>
      <c r="AK19" s="13">
        <f t="shared" si="35"/>
        <v>2.972006537558364</v>
      </c>
      <c r="AL19" s="20">
        <f t="shared" si="4"/>
        <v>19.534476384865641</v>
      </c>
      <c r="AM19" s="59">
        <f t="shared" si="5"/>
        <v>312.86780971819894</v>
      </c>
      <c r="AN19" s="59">
        <f ca="1">AVERAGE(OFFSET($AM$3,0,0,'Données projet'!$E$10+1,1))-AVERAGE(OFFSET($H$3,0,0,'Données projet'!$E$10+1,1))</f>
        <v>158.58786357608489</v>
      </c>
      <c r="AO19" s="59">
        <f t="shared" si="36"/>
        <v>163.20074068819849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18.463076923076926</v>
      </c>
      <c r="BD19" s="12">
        <f>IF('Données projet'!$A$88&gt;35,BD18+BC19-BL18,IF(A19&lt;'Données projet'!$A$88,$BA$205^A19,IF(A19='Données projet'!$A$88,'Données projet'!$B$88,BD18+BC19-BL18)))</f>
        <v>109.85538461538459</v>
      </c>
      <c r="BE19" s="13">
        <f>BD19*VLOOKUP('Données projet'!$B$11,Paramètres!$A$1:$I$89,3,0)*VLOOKUP('Données projet'!$B$11,Paramètres!$A$1:$I$89,5,0)</f>
        <v>65.693519999999992</v>
      </c>
      <c r="BF19" s="13">
        <f t="shared" si="37"/>
        <v>18.600086973007183</v>
      </c>
      <c r="BG19" s="20">
        <f t="shared" si="7"/>
        <v>146.81136547798749</v>
      </c>
      <c r="BH19" s="59">
        <f t="shared" si="8"/>
        <v>440.14469881132084</v>
      </c>
      <c r="BI19" s="59">
        <f ca="1">AVERAGE(OFFSET($BH$3,0,0,'Données projet'!$E$11+1,1))-AVERAGE(OFFSET($H$3,0,0,'Données projet'!$E$11+1,1))</f>
        <v>243.85350804244348</v>
      </c>
      <c r="BJ19" s="59">
        <f t="shared" si="38"/>
        <v>304.60992308960545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8.6089989899502157</v>
      </c>
      <c r="BR19" s="21">
        <f>EXP(-LN(2)/2)*BR18+(1-EXP(-LN(2)/2))/(LN(2)/2)*BL19*BO19*VLOOKUP('Données projet'!$B$11,Paramètres!$A$1:$I$89,3,0)*0.475*44/12</f>
        <v>11.917547346794278</v>
      </c>
      <c r="BS19" s="22">
        <f t="shared" si="9"/>
        <v>20.526546336744495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4.3499999999999996</v>
      </c>
      <c r="BY19" s="12">
        <f>IF('Données projet'!$A$114&gt;35,BY18+BX19-CG18,IF(A19&lt;'Données projet'!$A$114,$BV$205^A19,IF(A19='Données projet'!$A$114,'Données projet'!$B$114,BY18+BX19-CG18)))</f>
        <v>35.613561093793514</v>
      </c>
      <c r="BZ19" s="13">
        <f>BY19*VLOOKUP('Données projet'!$B$12,Paramètres!$A$1:$I$89,3,0)*VLOOKUP('Données projet'!$B$12,Paramètres!$A$1:$I$89,5,0)</f>
        <v>21.296909534088524</v>
      </c>
      <c r="CA19" s="13">
        <f t="shared" si="39"/>
        <v>6.874681784542708</v>
      </c>
      <c r="CB19" s="20">
        <f t="shared" si="10"/>
        <v>49.065521546616061</v>
      </c>
      <c r="CC19" s="59">
        <f t="shared" si="11"/>
        <v>342.3988548799494</v>
      </c>
      <c r="CD19" s="59">
        <f ca="1">AVERAGE(OFFSET($CC$3,0,0,'Données projet'!$E$12+1,1))-AVERAGE(OFFSET($H$3,0,0,'Données projet'!$E$12+1,1))</f>
        <v>270.30888762640245</v>
      </c>
      <c r="CE19" s="59">
        <f t="shared" si="40"/>
        <v>202.23783851977691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12.3</v>
      </c>
      <c r="CT19" s="12">
        <f>IF('Données projet'!$A$140&gt;35,CT18+CS19-DB18,IF(A19&lt;'Données projet'!$A$140,$CQ$205^A19,IF(A19='Données projet'!$A$140,'Données projet'!$B$140,CT18+CS19-DB18)))</f>
        <v>84.8</v>
      </c>
      <c r="CU19" s="17">
        <f>CT19*VLOOKUP('Données projet'!$B$13,Paramètres!$A$1:$I$89,3,0)*VLOOKUP('Données projet'!$B$13,Paramètres!$A$1:$I$89,5,0)</f>
        <v>67.466880000000003</v>
      </c>
      <c r="CV19" s="13">
        <f t="shared" si="41"/>
        <v>19.043051531232432</v>
      </c>
      <c r="CW19" s="20">
        <f t="shared" si="13"/>
        <v>150.67146408356317</v>
      </c>
      <c r="CX19" s="59">
        <f t="shared" si="14"/>
        <v>444.00479741689651</v>
      </c>
      <c r="CY19" s="59">
        <f ca="1">AVERAGE(OFFSET($CX$3,0,0,'Données projet'!$E$13+1,1))-AVERAGE(OFFSET($H$3,0,0,'Données projet'!$E$13+1,1))</f>
        <v>260.20517190557814</v>
      </c>
      <c r="CZ19" s="59">
        <f t="shared" si="42"/>
        <v>307.22009971147133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4.0628205128205126</v>
      </c>
      <c r="DO19" s="12">
        <f>IF('Données projet'!$A$166&gt;35,DO18+DN19-DW18,IF(A19&lt;'Données projet'!$A$166,$DL$205^A19,IF(A19='Données projet'!$A$166,'Données projet'!$B$166,DO18+DN19-DW18)))</f>
        <v>12.957048229201293</v>
      </c>
      <c r="DP19" s="17">
        <f>DO19*VLOOKUP('Données projet'!$B$14,Paramètres!$A$1:$I$89,3,0)*VLOOKUP('Données projet'!$B$14,Paramètres!$A$1:$I$89,5,0)</f>
        <v>13.138446904410113</v>
      </c>
      <c r="DQ19" s="13">
        <f t="shared" si="43"/>
        <v>4.486395641690498</v>
      </c>
      <c r="DR19" s="20">
        <f t="shared" si="16"/>
        <v>30.696600767791892</v>
      </c>
      <c r="DS19" s="59">
        <f t="shared" si="17"/>
        <v>324.02993410112521</v>
      </c>
      <c r="DT19" s="59">
        <f ca="1">AVERAGE(OFFSET($DS$3,0,0,'Données projet'!$E$14+1,1))-AVERAGE(OFFSET($H$3,0,0,'Données projet'!$E$14+1,1))</f>
        <v>263.15518481854753</v>
      </c>
      <c r="DU19" s="59">
        <f t="shared" si="44"/>
        <v>210.80755370263819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12.3</v>
      </c>
      <c r="EJ19" s="12">
        <f>IF('Données projet'!$A$192&gt;35,EJ18+EI19-ER18,IF(A19&lt;'Données projet'!$A$192,$EG$205^A19,IF(A19='Données projet'!$A$192,'Données projet'!$B$192,EJ18+EI19-ER18)))</f>
        <v>84.8</v>
      </c>
      <c r="EK19" s="17">
        <f>EJ19*VLOOKUP('Données projet'!$B$15,Paramètres!$A$1:$I$89,3,0)*VLOOKUP('Données projet'!$B$15,Paramètres!$A$1:$I$89,5,0)</f>
        <v>56.883839999999999</v>
      </c>
      <c r="EL19" s="13">
        <f t="shared" si="45"/>
        <v>16.377977207122715</v>
      </c>
      <c r="EM19" s="20">
        <f t="shared" si="19"/>
        <v>127.59766496907207</v>
      </c>
      <c r="EN19" s="59">
        <f t="shared" si="20"/>
        <v>420.93099830240538</v>
      </c>
      <c r="EO19" s="59">
        <f ca="1">AVERAGE(OFFSET($EN$3,0,0,'Données projet'!$E$15+1,1))-AVERAGE(OFFSET($H$3,0,0,'Données projet'!$E$15+1,1))</f>
        <v>207.93042467236967</v>
      </c>
      <c r="EP19" s="59">
        <f t="shared" si="46"/>
        <v>250.70954318710835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4.0628205128205126</v>
      </c>
      <c r="FE19" s="12">
        <f>IF('Données projet'!$A$218&gt;35,FE18+FD19-FM18,IF(A19&lt;'Données projet'!$A$218,$FB$205^A19,IF(A19='Données projet'!$A$218,'Données projet'!$B$218,FE18+FD19-FM18)))</f>
        <v>12.957048229201293</v>
      </c>
      <c r="FF19" s="17">
        <f>FE19*VLOOKUP('Données projet'!$B$16,Paramètres!$A$1:$I$89,3,0)*VLOOKUP('Données projet'!$B$16,Paramètres!$A$1:$I$89,5,0)</f>
        <v>13.946966713912271</v>
      </c>
      <c r="FG19" s="13">
        <f t="shared" si="47"/>
        <v>4.7294907967789648</v>
      </c>
      <c r="FH19" s="20">
        <f t="shared" si="22"/>
        <v>32.528163497787233</v>
      </c>
      <c r="FI19" s="59">
        <f t="shared" si="23"/>
        <v>325.86149683112058</v>
      </c>
      <c r="FJ19" s="59">
        <f ca="1">AVERAGE(OFFSET($FI$3,0,0,'Données projet'!$E$16+1,1))-AVERAGE(OFFSET($H$3,0,0,'Données projet'!$E$16+1,1))</f>
        <v>286.77702855541287</v>
      </c>
      <c r="FK19" s="59">
        <f t="shared" si="48"/>
        <v>227.12211541860779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4.9084615384615384</v>
      </c>
      <c r="FZ19" s="12">
        <f>IF('Données projet'!$A$244&gt;35,FZ18+FY19-GH18,IF(A19&lt;'Données projet'!$A$244,$FW$205^A19,IF(A19='Données projet'!$A$244,'Données projet'!$B$244,FZ18+FY19-GH18)))</f>
        <v>14.331848602335111</v>
      </c>
      <c r="GA19" s="17">
        <f>FZ19*VLOOKUP('Données projet'!$B$17,Paramètres!$A$1:$I$89,3,0)*VLOOKUP('Données projet'!$B$17,Paramètres!$A$1:$I$89,5,0)</f>
        <v>6.7073051458928319</v>
      </c>
      <c r="GB19" s="13">
        <f t="shared" si="49"/>
        <v>2.4767942738506736</v>
      </c>
      <c r="GC19" s="20">
        <f t="shared" si="25"/>
        <v>15.995639822719939</v>
      </c>
      <c r="GD19" s="59">
        <f t="shared" si="26"/>
        <v>309.32897315605328</v>
      </c>
      <c r="GE19" s="59">
        <f ca="1">AVERAGE(OFFSET($GD$3,0,0,'Données projet'!$E$17+1,1))-AVERAGE(OFFSET($H$3,0,0,'Données projet'!$E$17+1,1))</f>
        <v>123.2823358462245</v>
      </c>
      <c r="GF19" s="59">
        <f t="shared" si="50"/>
        <v>92.75115399786057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7.4312217194570129</v>
      </c>
      <c r="GU19" s="12">
        <f>IF('Données projet'!$A$270&gt;35,GU18+GT19-HC18,IF(A19&lt;'Données projet'!$A$270,$GR$205^A19,IF(A19='Données projet'!$A$270,'Données projet'!$B$270,GU18+GT19-HC18)))</f>
        <v>95.036614247271999</v>
      </c>
      <c r="GV19" s="17">
        <f>GU19*VLOOKUP('Données projet'!$B$18,Paramètres!$A$1:$I$89,3,0)*VLOOKUP('Données projet'!$B$18,Paramètres!$A$1:$I$89,5,0)</f>
        <v>56.831895319868664</v>
      </c>
      <c r="GW19" s="13">
        <f t="shared" si="51"/>
        <v>16.364761474967661</v>
      </c>
      <c r="GX19" s="20">
        <f t="shared" si="28"/>
        <v>127.4841772510066</v>
      </c>
      <c r="GY19" s="59">
        <f t="shared" si="29"/>
        <v>420.81751058433991</v>
      </c>
      <c r="GZ19" s="59">
        <f ca="1">AVERAGE(OFFSET($GY$3,0,0,'Données projet'!$E$18+1,1))-AVERAGE(OFFSET($H$3,0,0,'Données projet'!$E$18+1,1))</f>
        <v>171.96009656745713</v>
      </c>
      <c r="HA19" s="59">
        <f t="shared" si="52"/>
        <v>172.37574906747716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>
        <f>EXP(-LN(2)/35)*HG18+(1-EXP(-LN(2)/35))/(LN(2)/35)*HC19*HD19*VLOOKUP('Données projet'!$B$18,Paramètres!$A$1:$I$89,3,0)*0.475*44/12</f>
        <v>0</v>
      </c>
      <c r="HH19" s="21">
        <f>EXP(-LN(2)/25)*HH18+(1-EXP(-LN(2)/25))/(LN(2)/25)*Calculateur!HC19*Calculateur!HE19*VLOOKUP('Données projet'!$B$18,Paramètres!$A$1:$I$89,3,0)*0.475*44/12</f>
        <v>0</v>
      </c>
      <c r="HI19" s="21">
        <f>EXP(-LN(2)/2)*HI18+(1-EXP(-LN(2)/2))/(LN(2)/2)*HC19*HF19*VLOOKUP('Données projet'!$B$18,Paramètres!$A$1:$I$89,3,0)*0.475*44/12</f>
        <v>0</v>
      </c>
      <c r="HJ19" s="22">
        <f t="shared" si="30"/>
        <v>0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159.74615384615385</v>
      </c>
      <c r="L20" s="12">
        <f>VLOOKUP(A20,'Données projet'!$A$35:$I$55,9,0)</f>
        <v>9.3968325791855207</v>
      </c>
      <c r="M20" s="12">
        <f t="array" ref="M20">INDEX(L:L,MIN(IF(ISNUMBER(L20:L216),ROW(L20:L216),"")))</f>
        <v>9.3968325791855207</v>
      </c>
      <c r="N20" s="13">
        <f>IF('Données projet'!$A$36&gt;35,N19+M20-V19,IF(A20&lt;'Données projet'!$A$36,$K$205^A20,IF(A20='Données projet'!$A$36,'Données projet'!$B$36,N19+M20-V19)))</f>
        <v>159.74615384615385</v>
      </c>
      <c r="O20" s="13">
        <f>N20*VLOOKUP('Données projet'!$B$9,Paramètres!$A$1:$I$89,3,0)*VLOOKUP('Données projet'!$B$9,Paramètres!$A$1:$I$89,5,0)</f>
        <v>89.298100000000005</v>
      </c>
      <c r="P20" s="13">
        <f t="shared" si="33"/>
        <v>24.395866555677571</v>
      </c>
      <c r="Q20" s="20">
        <f t="shared" si="2"/>
        <v>198.01699175113845</v>
      </c>
      <c r="R20" s="59">
        <f t="shared" si="0"/>
        <v>491.35032508447176</v>
      </c>
      <c r="S20" s="59">
        <f ca="1">AVERAGE(OFFSET($R$3,0,0,'Données projet'!$E$9+1,1))-AVERAGE(OFFSET($H$3,0,0,'Données projet'!$E$9+1,1))</f>
        <v>255.5374979188561</v>
      </c>
      <c r="T20" s="59">
        <f t="shared" si="34"/>
        <v>343.10418468620901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7.2264102564102561</v>
      </c>
      <c r="AI20" s="13">
        <f>IF('Données projet'!$A$62&gt;35,AI19+AH20-AQ19,IF(A20&lt;'Données projet'!$A$62,$AF$205^A20,IF(A20='Données projet'!$A$62,'Données projet'!$B$62,AI19+AH20-AQ19)))</f>
        <v>21.074544276434004</v>
      </c>
      <c r="AJ20" s="13">
        <f>AI20*VLOOKUP('Données projet'!$B$10,Paramètres!$A$1:$I$89,3,0)*VLOOKUP('Données projet'!$B$10,Paramètres!$A$1:$I$89,5,0)</f>
        <v>9.8628867213711136</v>
      </c>
      <c r="AK20" s="13">
        <f t="shared" si="35"/>
        <v>3.4822026296536168</v>
      </c>
      <c r="AL20" s="20">
        <f t="shared" si="4"/>
        <v>23.24269728636807</v>
      </c>
      <c r="AM20" s="59">
        <f t="shared" si="5"/>
        <v>316.57603061970138</v>
      </c>
      <c r="AN20" s="59">
        <f ca="1">AVERAGE(OFFSET($AM$3,0,0,'Données projet'!$E$10+1,1))-AVERAGE(OFFSET($H$3,0,0,'Données projet'!$E$10+1,1))</f>
        <v>158.58786357608489</v>
      </c>
      <c r="AO20" s="59">
        <f t="shared" si="36"/>
        <v>163.20074068819849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18.463076923076926</v>
      </c>
      <c r="BD20" s="12">
        <f>IF('Données projet'!$A$88&gt;35,BD19+BC20-BL19,IF(A20&lt;'Données projet'!$A$88,$BA$205^A20,IF(A20='Données projet'!$A$88,'Données projet'!$B$88,BD19+BC20-BL19)))</f>
        <v>128.31846153846152</v>
      </c>
      <c r="BE20" s="13">
        <f>BD20*VLOOKUP('Données projet'!$B$11,Paramètres!$A$1:$I$89,3,0)*VLOOKUP('Données projet'!$B$11,Paramètres!$A$1:$I$89,5,0)</f>
        <v>76.734439999999992</v>
      </c>
      <c r="BF20" s="13">
        <f t="shared" si="37"/>
        <v>21.336811414414317</v>
      </c>
      <c r="BG20" s="20">
        <f t="shared" si="7"/>
        <v>170.80742954677157</v>
      </c>
      <c r="BH20" s="59">
        <f t="shared" si="8"/>
        <v>464.14076288010489</v>
      </c>
      <c r="BI20" s="59">
        <f ca="1">AVERAGE(OFFSET($BH$3,0,0,'Données projet'!$E$11+1,1))-AVERAGE(OFFSET($H$3,0,0,'Données projet'!$E$11+1,1))</f>
        <v>243.85350804244348</v>
      </c>
      <c r="BJ20" s="59">
        <f t="shared" si="38"/>
        <v>304.60992308960545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8.3735854598424471</v>
      </c>
      <c r="BR20" s="21">
        <f>EXP(-LN(2)/2)*BR19+(1-EXP(-LN(2)/2))/(LN(2)/2)*BL20*BO20*VLOOKUP('Données projet'!$B$11,Paramètres!$A$1:$I$89,3,0)*0.475*44/12</f>
        <v>8.426978544029982</v>
      </c>
      <c r="BS20" s="22">
        <f t="shared" si="9"/>
        <v>16.800564003872431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4.3499999999999996</v>
      </c>
      <c r="BY20" s="12">
        <f>IF('Données projet'!$A$114&gt;35,BY19+BX20-CG19,IF(A20&lt;'Données projet'!$A$114,$BV$205^A20,IF(A20='Données projet'!$A$114,'Données projet'!$B$114,BY19+BX20-CG19)))</f>
        <v>44.523711985211953</v>
      </c>
      <c r="BZ20" s="13">
        <f>BY20*VLOOKUP('Données projet'!$B$12,Paramètres!$A$1:$I$89,3,0)*VLOOKUP('Données projet'!$B$12,Paramètres!$A$1:$I$89,5,0)</f>
        <v>26.625179767156752</v>
      </c>
      <c r="CA20" s="13">
        <f t="shared" si="39"/>
        <v>8.3741466273601048</v>
      </c>
      <c r="CB20" s="20">
        <f t="shared" si="10"/>
        <v>60.957160137116858</v>
      </c>
      <c r="CC20" s="59">
        <f t="shared" si="11"/>
        <v>354.2904934704502</v>
      </c>
      <c r="CD20" s="59">
        <f ca="1">AVERAGE(OFFSET($CC$3,0,0,'Données projet'!$E$12+1,1))-AVERAGE(OFFSET($H$3,0,0,'Données projet'!$E$12+1,1))</f>
        <v>270.30888762640245</v>
      </c>
      <c r="CE20" s="59">
        <f t="shared" si="40"/>
        <v>202.23783851977691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12.3</v>
      </c>
      <c r="CT20" s="12">
        <f>IF('Données projet'!$A$140&gt;35,CT19+CS20-DB19,IF(A20&lt;'Données projet'!$A$140,$CQ$205^A20,IF(A20='Données projet'!$A$140,'Données projet'!$B$140,CT19+CS20-DB19)))</f>
        <v>97.1</v>
      </c>
      <c r="CU20" s="17">
        <f>CT20*VLOOKUP('Données projet'!$B$13,Paramètres!$A$1:$I$89,3,0)*VLOOKUP('Données projet'!$B$13,Paramètres!$A$1:$I$89,5,0)</f>
        <v>77.252760000000009</v>
      </c>
      <c r="CV20" s="13">
        <f t="shared" si="41"/>
        <v>21.4641096918828</v>
      </c>
      <c r="CW20" s="20">
        <f t="shared" si="13"/>
        <v>171.93188138002924</v>
      </c>
      <c r="CX20" s="59">
        <f t="shared" si="14"/>
        <v>465.26521471336252</v>
      </c>
      <c r="CY20" s="59">
        <f ca="1">AVERAGE(OFFSET($CX$3,0,0,'Données projet'!$E$13+1,1))-AVERAGE(OFFSET($H$3,0,0,'Données projet'!$E$13+1,1))</f>
        <v>260.20517190557814</v>
      </c>
      <c r="CZ20" s="59">
        <f t="shared" si="42"/>
        <v>307.22009971147133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4.0628205128205126</v>
      </c>
      <c r="DO20" s="12">
        <f>IF('Données projet'!$A$166&gt;35,DO19+DN20-DW19,IF(A20&lt;'Données projet'!$A$166,$DL$205^A20,IF(A20='Données projet'!$A$166,'Données projet'!$B$166,DO19+DN20-DW19)))</f>
        <v>15.206795479203771</v>
      </c>
      <c r="DP20" s="17">
        <f>DO20*VLOOKUP('Données projet'!$B$14,Paramètres!$A$1:$I$89,3,0)*VLOOKUP('Données projet'!$B$14,Paramètres!$A$1:$I$89,5,0)</f>
        <v>15.419690615912625</v>
      </c>
      <c r="DQ20" s="13">
        <f t="shared" si="43"/>
        <v>5.1681572348420586</v>
      </c>
      <c r="DR20" s="20">
        <f t="shared" si="16"/>
        <v>35.857168340064412</v>
      </c>
      <c r="DS20" s="59">
        <f t="shared" si="17"/>
        <v>329.1905016733977</v>
      </c>
      <c r="DT20" s="59">
        <f ca="1">AVERAGE(OFFSET($DS$3,0,0,'Données projet'!$E$14+1,1))-AVERAGE(OFFSET($H$3,0,0,'Données projet'!$E$14+1,1))</f>
        <v>263.15518481854753</v>
      </c>
      <c r="DU20" s="59">
        <f t="shared" si="44"/>
        <v>210.80755370263819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12.3</v>
      </c>
      <c r="EJ20" s="12">
        <f>IF('Données projet'!$A$192&gt;35,EJ19+EI20-ER19,IF(A20&lt;'Données projet'!$A$192,$EG$205^A20,IF(A20='Données projet'!$A$192,'Données projet'!$B$192,EJ19+EI20-ER19)))</f>
        <v>97.1</v>
      </c>
      <c r="EK20" s="17">
        <f>EJ20*VLOOKUP('Données projet'!$B$15,Paramètres!$A$1:$I$89,3,0)*VLOOKUP('Données projet'!$B$15,Paramètres!$A$1:$I$89,5,0)</f>
        <v>65.134680000000003</v>
      </c>
      <c r="EL20" s="13">
        <f t="shared" si="45"/>
        <v>18.460208371976567</v>
      </c>
      <c r="EM20" s="20">
        <f t="shared" si="19"/>
        <v>145.59443058119251</v>
      </c>
      <c r="EN20" s="59">
        <f t="shared" si="20"/>
        <v>438.92776391452583</v>
      </c>
      <c r="EO20" s="59">
        <f ca="1">AVERAGE(OFFSET($EN$3,0,0,'Données projet'!$E$15+1,1))-AVERAGE(OFFSET($H$3,0,0,'Données projet'!$E$15+1,1))</f>
        <v>207.93042467236967</v>
      </c>
      <c r="EP20" s="59">
        <f t="shared" si="46"/>
        <v>250.70954318710835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4.0628205128205126</v>
      </c>
      <c r="FE20" s="12">
        <f>IF('Données projet'!$A$218&gt;35,FE19+FD20-FM19,IF(A20&lt;'Données projet'!$A$218,$FB$205^A20,IF(A20='Données projet'!$A$218,'Données projet'!$B$218,FE19+FD20-FM19)))</f>
        <v>15.206795479203771</v>
      </c>
      <c r="FF20" s="17">
        <f>FE20*VLOOKUP('Données projet'!$B$16,Paramètres!$A$1:$I$89,3,0)*VLOOKUP('Données projet'!$B$16,Paramètres!$A$1:$I$89,5,0)</f>
        <v>16.368594653814938</v>
      </c>
      <c r="FG20" s="13">
        <f t="shared" si="47"/>
        <v>5.4481936125637764</v>
      </c>
      <c r="FH20" s="20">
        <f t="shared" si="22"/>
        <v>37.997572897276264</v>
      </c>
      <c r="FI20" s="59">
        <f t="shared" si="23"/>
        <v>331.33090623060957</v>
      </c>
      <c r="FJ20" s="59">
        <f ca="1">AVERAGE(OFFSET($FI$3,0,0,'Données projet'!$E$16+1,1))-AVERAGE(OFFSET($H$3,0,0,'Données projet'!$E$16+1,1))</f>
        <v>286.77702855541287</v>
      </c>
      <c r="FK20" s="59">
        <f t="shared" si="48"/>
        <v>227.12211541860779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4.9084615384615384</v>
      </c>
      <c r="FZ20" s="12">
        <f>IF('Données projet'!$A$244&gt;35,FZ19+FY20-GH19,IF(A20&lt;'Données projet'!$A$244,$FW$205^A20,IF(A20='Données projet'!$A$244,'Données projet'!$B$244,FZ19+FY20-GH19)))</f>
        <v>16.926653343761537</v>
      </c>
      <c r="GA20" s="17">
        <f>FZ20*VLOOKUP('Données projet'!$B$17,Paramètres!$A$1:$I$89,3,0)*VLOOKUP('Données projet'!$B$17,Paramètres!$A$1:$I$89,5,0)</f>
        <v>7.9216737648803992</v>
      </c>
      <c r="GB20" s="13">
        <f t="shared" si="49"/>
        <v>2.8691068648319642</v>
      </c>
      <c r="GC20" s="20">
        <f t="shared" si="25"/>
        <v>18.793942930082366</v>
      </c>
      <c r="GD20" s="59">
        <f t="shared" si="26"/>
        <v>312.12727626341569</v>
      </c>
      <c r="GE20" s="59">
        <f ca="1">AVERAGE(OFFSET($GD$3,0,0,'Données projet'!$E$17+1,1))-AVERAGE(OFFSET($H$3,0,0,'Données projet'!$E$17+1,1))</f>
        <v>123.2823358462245</v>
      </c>
      <c r="GF20" s="59">
        <f t="shared" si="50"/>
        <v>92.75115399786057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>
        <f>VLOOKUP(A20,'Données projet'!$A$269:$I$289,2,0)</f>
        <v>126.33076923076922</v>
      </c>
      <c r="GS20" s="12">
        <f>VLOOKUP(A20,'Données projet'!$A$269:$I$289,9,0)</f>
        <v>7.4312217194570129</v>
      </c>
      <c r="GT20" s="12">
        <f t="array" ref="GT20">INDEX(GS:GS,MIN(IF(ISNUMBER(GS20:GS216),ROW(GS20:GS216),"")))</f>
        <v>7.4312217194570129</v>
      </c>
      <c r="GU20" s="12">
        <f>IF('Données projet'!$A$270&gt;35,GU19+GT20-HC19,IF(A20&lt;'Données projet'!$A$270,$GR$205^A20,IF(A20='Données projet'!$A$270,'Données projet'!$B$270,GU19+GT20-HC19)))</f>
        <v>126.33076923076922</v>
      </c>
      <c r="GV20" s="17">
        <f>GU20*VLOOKUP('Données projet'!$B$18,Paramètres!$A$1:$I$89,3,0)*VLOOKUP('Données projet'!$B$18,Paramètres!$A$1:$I$89,5,0)</f>
        <v>75.5458</v>
      </c>
      <c r="GW20" s="13">
        <f t="shared" si="51"/>
        <v>21.044504648353485</v>
      </c>
      <c r="GX20" s="20">
        <f t="shared" si="28"/>
        <v>168.22811392921565</v>
      </c>
      <c r="GY20" s="59">
        <f t="shared" si="29"/>
        <v>461.561447262549</v>
      </c>
      <c r="GZ20" s="59">
        <f ca="1">AVERAGE(OFFSET($GY$3,0,0,'Données projet'!$E$18+1,1))-AVERAGE(OFFSET($H$3,0,0,'Données projet'!$E$18+1,1))</f>
        <v>171.96009656745713</v>
      </c>
      <c r="HA20" s="59">
        <f t="shared" si="52"/>
        <v>172.37574906747716</v>
      </c>
      <c r="HB20" s="15">
        <f>IF(ISNA(VLOOKUP(A20,'Données projet'!$A$269:$I$289,3,0)),0,VLOOKUP(A20,'Données projet'!$A$269:$I$289,3,0))</f>
        <v>1</v>
      </c>
      <c r="HC20" s="15">
        <f>IF(ISNA(VLOOKUP(A20,'Données projet'!$A$269:$I$289,4,0)),0,VLOOKUP(A20,'Données projet'!$A$269:$I$289,4,0))</f>
        <v>42.084615384615383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0.22500000000000001</v>
      </c>
      <c r="HF20" s="16">
        <f>IF(ISNA(VLOOKUP(A20,'Données projet'!$A$269:$I$289,7,0)),0%,VLOOKUP(A20,'Données projet'!$A$269:$I$289,7,0))</f>
        <v>0.5</v>
      </c>
      <c r="HG20" s="21">
        <f>EXP(-LN(2)/35)*HG19+(1-EXP(-LN(2)/35))/(LN(2)/35)*HC20*HD20*VLOOKUP('Données projet'!$B$18,Paramètres!$A$1:$I$89,3,0)*0.475*44/12</f>
        <v>0</v>
      </c>
      <c r="HH20" s="21">
        <f>EXP(-LN(2)/25)*HH19+(1-EXP(-LN(2)/25))/(LN(2)/25)*Calculateur!HC20*Calculateur!HE20*VLOOKUP('Données projet'!$B$18,Paramètres!$A$1:$I$89,3,0)*0.475*44/12</f>
        <v>7.4820750970079999</v>
      </c>
      <c r="HI20" s="21">
        <f>EXP(-LN(2)/2)*HI19+(1-EXP(-LN(2)/2))/(LN(2)/2)*HC20*HF20*VLOOKUP('Données projet'!$B$18,Paramètres!$A$1:$I$89,3,0)*0.475*44/12</f>
        <v>14.247218669464779</v>
      </c>
      <c r="HJ20" s="22">
        <f t="shared" si="30"/>
        <v>21.729293766472779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182.89230769230767</v>
      </c>
      <c r="L21" s="12">
        <f>VLOOKUP(A21,'Données projet'!$A$35:$I$55,9,0)</f>
        <v>23.146153846153823</v>
      </c>
      <c r="M21" s="12">
        <f t="array" ref="M21">INDEX(L:L,MIN(IF(ISNUMBER(L21:L217),ROW(L21:L217),"")))</f>
        <v>23.146153846153823</v>
      </c>
      <c r="N21" s="13">
        <f>IF('Données projet'!$A$36&gt;35,N20+M21-V20,IF(A21&lt;'Données projet'!$A$36,$K$205^A21,IF(A21='Données projet'!$A$36,'Données projet'!$B$36,N20+M21-V20)))</f>
        <v>182.89230769230767</v>
      </c>
      <c r="O21" s="13">
        <f>N21*VLOOKUP('Données projet'!$B$9,Paramètres!$A$1:$I$89,3,0)*VLOOKUP('Données projet'!$B$9,Paramètres!$A$1:$I$89,5,0)</f>
        <v>102.23679999999999</v>
      </c>
      <c r="P21" s="13">
        <f t="shared" si="33"/>
        <v>27.494196289326943</v>
      </c>
      <c r="Q21" s="20">
        <f t="shared" si="2"/>
        <v>225.9481518705777</v>
      </c>
      <c r="R21" s="59">
        <f t="shared" si="0"/>
        <v>519.28148520391096</v>
      </c>
      <c r="S21" s="59">
        <f ca="1">AVERAGE(OFFSET($R$3,0,0,'Données projet'!$E$9+1,1))-AVERAGE(OFFSET($H$3,0,0,'Données projet'!$E$9+1,1))</f>
        <v>255.5374979188561</v>
      </c>
      <c r="T21" s="59">
        <f t="shared" si="34"/>
        <v>343.10418468620901</v>
      </c>
      <c r="U21" s="15">
        <f>IF(ISNA(VLOOKUP(A21,'Données projet'!$A$35:$I$55,3,0)),0,VLOOKUP(A21,'Données projet'!$A$35:$I$55,3,0))</f>
        <v>1</v>
      </c>
      <c r="V21" s="15">
        <f>IF(ISNA(VLOOKUP(A21,'Données projet'!$A$35:$I$55,4,0)),0,VLOOKUP(A21,'Données projet'!$A$35:$I$55,4,0))</f>
        <v>69.284615384615378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0.27500000000000002</v>
      </c>
      <c r="Y21" s="16">
        <f>IF(ISNA(VLOOKUP(A21,'Données projet'!$A$35:$I$55,7,0)),0%,VLOOKUP(A21,'Données projet'!$A$35:$I$55,7,0))</f>
        <v>0.5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14.073311822728558</v>
      </c>
      <c r="AB21" s="21">
        <f>EXP(-LN(2)/2)*AB20+(1-EXP(-LN(2)/2))/(LN(2)/2)*V21*Y21*VLOOKUP('Données projet'!$B$9,Paramètres!$A$1:$I$89,3,0)*0.475*44/12</f>
        <v>21.925735053214883</v>
      </c>
      <c r="AC21" s="22">
        <f t="shared" si="3"/>
        <v>35.999046875943442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7.2264102564102561</v>
      </c>
      <c r="AI21" s="13">
        <f>IF('Données projet'!$A$62&gt;35,AI20+AH21-AQ20,IF(A21&lt;'Données projet'!$A$62,$AF$205^A21,IF(A21='Données projet'!$A$62,'Données projet'!$B$62,AI20+AH21-AQ20)))</f>
        <v>25.213104335913162</v>
      </c>
      <c r="AJ21" s="13">
        <f>AI21*VLOOKUP('Données projet'!$B$10,Paramètres!$A$1:$I$89,3,0)*VLOOKUP('Données projet'!$B$10,Paramètres!$A$1:$I$89,5,0)</f>
        <v>11.799732829207361</v>
      </c>
      <c r="AK21" s="13">
        <f t="shared" si="35"/>
        <v>4.079982665155371</v>
      </c>
      <c r="AL21" s="20">
        <f t="shared" si="4"/>
        <v>27.657171152681755</v>
      </c>
      <c r="AM21" s="59">
        <f t="shared" si="5"/>
        <v>320.99050448601508</v>
      </c>
      <c r="AN21" s="59">
        <f ca="1">AVERAGE(OFFSET($AM$3,0,0,'Données projet'!$E$10+1,1))-AVERAGE(OFFSET($H$3,0,0,'Données projet'!$E$10+1,1))</f>
        <v>158.58786357608489</v>
      </c>
      <c r="AO21" s="59">
        <f t="shared" si="36"/>
        <v>163.20074068819849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18.463076923076926</v>
      </c>
      <c r="BD21" s="12">
        <f>IF('Données projet'!$A$88&gt;35,BD20+BC21-BL20,IF(A21&lt;'Données projet'!$A$88,$BA$205^A21,IF(A21='Données projet'!$A$88,'Données projet'!$B$88,BD20+BC21-BL20)))</f>
        <v>146.78153846153845</v>
      </c>
      <c r="BE21" s="13">
        <f>BD21*VLOOKUP('Données projet'!$B$11,Paramètres!$A$1:$I$89,3,0)*VLOOKUP('Données projet'!$B$11,Paramètres!$A$1:$I$89,5,0)</f>
        <v>87.775359999999992</v>
      </c>
      <c r="BF21" s="13">
        <f t="shared" si="37"/>
        <v>24.02791634919064</v>
      </c>
      <c r="BG21" s="20">
        <f t="shared" si="7"/>
        <v>194.72403964150703</v>
      </c>
      <c r="BH21" s="59">
        <f t="shared" si="8"/>
        <v>488.05737297484035</v>
      </c>
      <c r="BI21" s="59">
        <f ca="1">AVERAGE(OFFSET($BH$3,0,0,'Données projet'!$E$11+1,1))-AVERAGE(OFFSET($H$3,0,0,'Données projet'!$E$11+1,1))</f>
        <v>243.85350804244348</v>
      </c>
      <c r="BJ21" s="59">
        <f t="shared" si="38"/>
        <v>304.60992308960545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8.1446093250953346</v>
      </c>
      <c r="BR21" s="21">
        <f>EXP(-LN(2)/2)*BR20+(1-EXP(-LN(2)/2))/(LN(2)/2)*BL21*BO21*VLOOKUP('Données projet'!$B$11,Paramètres!$A$1:$I$89,3,0)*0.475*44/12</f>
        <v>5.9587736733971397</v>
      </c>
      <c r="BS21" s="22">
        <f t="shared" si="9"/>
        <v>14.103382998492474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4.3499999999999996</v>
      </c>
      <c r="BY21" s="12">
        <f>IF('Données projet'!$A$114&gt;35,BY20+BX21-CG20,IF(A21&lt;'Données projet'!$A$114,$BV$205^A21,IF(A21='Données projet'!$A$114,'Données projet'!$B$114,BY20+BX21-CG20)))</f>
        <v>55.663092037363775</v>
      </c>
      <c r="BZ21" s="13">
        <f>BY21*VLOOKUP('Données projet'!$B$12,Paramètres!$A$1:$I$89,3,0)*VLOOKUP('Données projet'!$B$12,Paramètres!$A$1:$I$89,5,0)</f>
        <v>33.286529038343545</v>
      </c>
      <c r="CA21" s="13">
        <f t="shared" si="39"/>
        <v>10.200665853974691</v>
      </c>
      <c r="CB21" s="20">
        <f t="shared" si="10"/>
        <v>75.740197770787589</v>
      </c>
      <c r="CC21" s="59">
        <f t="shared" si="11"/>
        <v>369.07353110412089</v>
      </c>
      <c r="CD21" s="59">
        <f ca="1">AVERAGE(OFFSET($CC$3,0,0,'Données projet'!$E$12+1,1))-AVERAGE(OFFSET($H$3,0,0,'Données projet'!$E$12+1,1))</f>
        <v>270.30888762640245</v>
      </c>
      <c r="CE21" s="59">
        <f t="shared" si="40"/>
        <v>202.23783851977691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12.3</v>
      </c>
      <c r="CT21" s="12">
        <f>IF('Données projet'!$A$140&gt;35,CT20+CS21-DB20,IF(A21&lt;'Données projet'!$A$140,$CQ$205^A21,IF(A21='Données projet'!$A$140,'Données projet'!$B$140,CT20+CS21-DB20)))</f>
        <v>109.39999999999999</v>
      </c>
      <c r="CU21" s="17">
        <f>CT21*VLOOKUP('Données projet'!$B$13,Paramètres!$A$1:$I$89,3,0)*VLOOKUP('Données projet'!$B$13,Paramètres!$A$1:$I$89,5,0)</f>
        <v>87.038640000000001</v>
      </c>
      <c r="CV21" s="13">
        <f t="shared" si="41"/>
        <v>23.849631507508057</v>
      </c>
      <c r="CW21" s="20">
        <f t="shared" si="13"/>
        <v>193.13040620890987</v>
      </c>
      <c r="CX21" s="59">
        <f t="shared" si="14"/>
        <v>486.46373954224316</v>
      </c>
      <c r="CY21" s="59">
        <f ca="1">AVERAGE(OFFSET($CX$3,0,0,'Données projet'!$E$13+1,1))-AVERAGE(OFFSET($H$3,0,0,'Données projet'!$E$13+1,1))</f>
        <v>260.20517190557814</v>
      </c>
      <c r="CZ21" s="59">
        <f t="shared" si="42"/>
        <v>307.22009971147133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4.0628205128205126</v>
      </c>
      <c r="DO21" s="12">
        <f>IF('Données projet'!$A$166&gt;35,DO20+DN21-DW20,IF(A21&lt;'Données projet'!$A$166,$DL$205^A21,IF(A21='Données projet'!$A$166,'Données projet'!$B$166,DO20+DN21-DW20)))</f>
        <v>17.847168942782186</v>
      </c>
      <c r="DP21" s="17">
        <f>DO21*VLOOKUP('Données projet'!$B$14,Paramètres!$A$1:$I$89,3,0)*VLOOKUP('Données projet'!$B$14,Paramètres!$A$1:$I$89,5,0)</f>
        <v>18.097029307981138</v>
      </c>
      <c r="DQ21" s="13">
        <f t="shared" si="43"/>
        <v>5.9535206738890976</v>
      </c>
      <c r="DR21" s="20">
        <f t="shared" si="16"/>
        <v>41.888041218423993</v>
      </c>
      <c r="DS21" s="59">
        <f t="shared" si="17"/>
        <v>335.22137455175732</v>
      </c>
      <c r="DT21" s="59">
        <f ca="1">AVERAGE(OFFSET($DS$3,0,0,'Données projet'!$E$14+1,1))-AVERAGE(OFFSET($H$3,0,0,'Données projet'!$E$14+1,1))</f>
        <v>263.15518481854753</v>
      </c>
      <c r="DU21" s="59">
        <f t="shared" si="44"/>
        <v>210.80755370263819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12.3</v>
      </c>
      <c r="EJ21" s="12">
        <f>IF('Données projet'!$A$192&gt;35,EJ20+EI21-ER20,IF(A21&lt;'Données projet'!$A$192,$EG$205^A21,IF(A21='Données projet'!$A$192,'Données projet'!$B$192,EJ20+EI21-ER20)))</f>
        <v>109.39999999999999</v>
      </c>
      <c r="EK21" s="17">
        <f>EJ21*VLOOKUP('Données projet'!$B$15,Paramètres!$A$1:$I$89,3,0)*VLOOKUP('Données projet'!$B$15,Paramètres!$A$1:$I$89,5,0)</f>
        <v>73.38552</v>
      </c>
      <c r="EL21" s="13">
        <f t="shared" si="45"/>
        <v>20.511876501914987</v>
      </c>
      <c r="EM21" s="20">
        <f t="shared" si="19"/>
        <v>163.5379655741686</v>
      </c>
      <c r="EN21" s="59">
        <f t="shared" si="20"/>
        <v>456.87129890750191</v>
      </c>
      <c r="EO21" s="59">
        <f ca="1">AVERAGE(OFFSET($EN$3,0,0,'Données projet'!$E$15+1,1))-AVERAGE(OFFSET($H$3,0,0,'Données projet'!$E$15+1,1))</f>
        <v>207.93042467236967</v>
      </c>
      <c r="EP21" s="59">
        <f t="shared" si="46"/>
        <v>250.70954318710835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4.0628205128205126</v>
      </c>
      <c r="FE21" s="12">
        <f>IF('Données projet'!$A$218&gt;35,FE20+FD21-FM20,IF(A21&lt;'Données projet'!$A$218,$FB$205^A21,IF(A21='Données projet'!$A$218,'Données projet'!$B$218,FE20+FD21-FM20)))</f>
        <v>17.847168942782186</v>
      </c>
      <c r="FF21" s="17">
        <f>FE21*VLOOKUP('Données projet'!$B$16,Paramètres!$A$1:$I$89,3,0)*VLOOKUP('Données projet'!$B$16,Paramètres!$A$1:$I$89,5,0)</f>
        <v>19.210692650010746</v>
      </c>
      <c r="FG21" s="13">
        <f t="shared" si="47"/>
        <v>6.2761119358126942</v>
      </c>
      <c r="FH21" s="20">
        <f t="shared" si="22"/>
        <v>44.389517986975818</v>
      </c>
      <c r="FI21" s="59">
        <f t="shared" si="23"/>
        <v>337.72285132030913</v>
      </c>
      <c r="FJ21" s="59">
        <f ca="1">AVERAGE(OFFSET($FI$3,0,0,'Données projet'!$E$16+1,1))-AVERAGE(OFFSET($H$3,0,0,'Données projet'!$E$16+1,1))</f>
        <v>286.77702855541287</v>
      </c>
      <c r="FK21" s="59">
        <f t="shared" si="48"/>
        <v>227.12211541860779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4.9084615384615384</v>
      </c>
      <c r="FZ21" s="12">
        <f>IF('Données projet'!$A$244&gt;35,FZ20+FY21-GH20,IF(A21&lt;'Données projet'!$A$244,$FW$205^A21,IF(A21='Données projet'!$A$244,'Données projet'!$B$244,FZ20+FY21-GH20)))</f>
        <v>19.991251747746755</v>
      </c>
      <c r="GA21" s="17">
        <f>FZ21*VLOOKUP('Données projet'!$B$17,Paramètres!$A$1:$I$89,3,0)*VLOOKUP('Données projet'!$B$17,Paramètres!$A$1:$I$89,5,0)</f>
        <v>9.3559058179454802</v>
      </c>
      <c r="GB21" s="13">
        <f t="shared" si="49"/>
        <v>3.3235599293549551</v>
      </c>
      <c r="GC21" s="20">
        <f t="shared" si="25"/>
        <v>22.083402843214927</v>
      </c>
      <c r="GD21" s="59">
        <f t="shared" si="26"/>
        <v>315.41673617654823</v>
      </c>
      <c r="GE21" s="59">
        <f ca="1">AVERAGE(OFFSET($GD$3,0,0,'Données projet'!$E$17+1,1))-AVERAGE(OFFSET($H$3,0,0,'Données projet'!$E$17+1,1))</f>
        <v>123.2823358462245</v>
      </c>
      <c r="GF21" s="59">
        <f t="shared" si="50"/>
        <v>92.75115399786057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14.926923076923075</v>
      </c>
      <c r="GU21" s="12">
        <f>IF('Données projet'!$A$270&gt;35,GU20+GT21-HC20,IF(A21&lt;'Données projet'!$A$270,$GR$205^A21,IF(A21='Données projet'!$A$270,'Données projet'!$B$270,GU20+GT21-HC20)))</f>
        <v>99.173076923076934</v>
      </c>
      <c r="GV21" s="17">
        <f>GU21*VLOOKUP('Données projet'!$B$18,Paramètres!$A$1:$I$89,3,0)*VLOOKUP('Données projet'!$B$18,Paramètres!$A$1:$I$89,5,0)</f>
        <v>59.305500000000016</v>
      </c>
      <c r="GW21" s="13">
        <f t="shared" si="51"/>
        <v>16.992558820122873</v>
      </c>
      <c r="GX21" s="20">
        <f t="shared" si="28"/>
        <v>132.88578577838067</v>
      </c>
      <c r="GY21" s="59">
        <f t="shared" si="29"/>
        <v>426.21911911171401</v>
      </c>
      <c r="GZ21" s="59">
        <f ca="1">AVERAGE(OFFSET($GY$3,0,0,'Données projet'!$E$18+1,1))-AVERAGE(OFFSET($H$3,0,0,'Données projet'!$E$18+1,1))</f>
        <v>171.96009656745713</v>
      </c>
      <c r="HA21" s="59">
        <f t="shared" si="52"/>
        <v>172.37574906747716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>
        <f>EXP(-LN(2)/35)*HG20+(1-EXP(-LN(2)/35))/(LN(2)/35)*HC21*HD21*VLOOKUP('Données projet'!$B$18,Paramètres!$A$1:$I$89,3,0)*0.475*44/12</f>
        <v>0</v>
      </c>
      <c r="HH21" s="21">
        <f>EXP(-LN(2)/25)*HH20+(1-EXP(-LN(2)/25))/(LN(2)/25)*Calculateur!HC21*Calculateur!HE21*VLOOKUP('Données projet'!$B$18,Paramètres!$A$1:$I$89,3,0)*0.475*44/12</f>
        <v>7.2774773600150873</v>
      </c>
      <c r="HI21" s="21">
        <f>EXP(-LN(2)/2)*HI20+(1-EXP(-LN(2)/2))/(LN(2)/2)*HC21*HF21*VLOOKUP('Données projet'!$B$18,Paramètres!$A$1:$I$89,3,0)*0.475*44/12</f>
        <v>10.074304934226127</v>
      </c>
      <c r="HJ21" s="22">
        <f t="shared" si="30"/>
        <v>17.351782294241215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20.658974358974358</v>
      </c>
      <c r="N22" s="13">
        <f>IF('Données projet'!$A$36&gt;35,N21+M22-V21,IF(A22&lt;'Données projet'!$A$36,$K$205^A22,IF(A22='Données projet'!$A$36,'Données projet'!$B$36,N21+M22-V21)))</f>
        <v>134.26666666666665</v>
      </c>
      <c r="O22" s="13">
        <f>N22*VLOOKUP('Données projet'!$B$9,Paramètres!$A$1:$I$89,3,0)*VLOOKUP('Données projet'!$B$9,Paramètres!$A$1:$I$89,5,0)</f>
        <v>75.055066666666661</v>
      </c>
      <c r="P22" s="13">
        <f t="shared" si="33"/>
        <v>20.923669242672773</v>
      </c>
      <c r="Q22" s="20">
        <f t="shared" si="2"/>
        <v>167.1629650420995</v>
      </c>
      <c r="R22" s="59">
        <f t="shared" si="0"/>
        <v>460.49629837543284</v>
      </c>
      <c r="S22" s="59">
        <f ca="1">AVERAGE(OFFSET($R$3,0,0,'Données projet'!$E$9+1,1))-AVERAGE(OFFSET($H$3,0,0,'Données projet'!$E$9+1,1))</f>
        <v>255.5374979188561</v>
      </c>
      <c r="T22" s="59">
        <f t="shared" si="34"/>
        <v>343.10418468620901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13.688476370852742</v>
      </c>
      <c r="AB22" s="21">
        <f>EXP(-LN(2)/2)*AB21+(1-EXP(-LN(2)/2))/(LN(2)/2)*V22*Y22*VLOOKUP('Données projet'!$B$9,Paramètres!$A$1:$I$89,3,0)*0.475*44/12</f>
        <v>15.503835938627832</v>
      </c>
      <c r="AC22" s="22">
        <f t="shared" si="3"/>
        <v>29.192312309480574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7.2264102564102561</v>
      </c>
      <c r="AI22" s="13">
        <f>IF('Données projet'!$A$62&gt;35,AI21+AH22-AQ21,IF(A22&lt;'Données projet'!$A$62,$AF$205^A22,IF(A22='Données projet'!$A$62,'Données projet'!$B$62,AI21+AH22-AQ21)))</f>
        <v>30.164383244315122</v>
      </c>
      <c r="AJ22" s="13">
        <f>AI22*VLOOKUP('Données projet'!$B$10,Paramètres!$A$1:$I$89,3,0)*VLOOKUP('Données projet'!$B$10,Paramètres!$A$1:$I$89,5,0)</f>
        <v>14.116931358339476</v>
      </c>
      <c r="AK22" s="13">
        <f t="shared" si="35"/>
        <v>4.7803819359082427</v>
      </c>
      <c r="AL22" s="20">
        <f t="shared" si="4"/>
        <v>32.912820654148106</v>
      </c>
      <c r="AM22" s="59">
        <f t="shared" si="5"/>
        <v>326.24615398748142</v>
      </c>
      <c r="AN22" s="59">
        <f ca="1">AVERAGE(OFFSET($AM$3,0,0,'Données projet'!$E$10+1,1))-AVERAGE(OFFSET($H$3,0,0,'Données projet'!$E$10+1,1))</f>
        <v>158.58786357608489</v>
      </c>
      <c r="AO22" s="59">
        <f t="shared" si="36"/>
        <v>163.20074068819849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18.463076923076926</v>
      </c>
      <c r="BD22" s="12">
        <f>IF('Données projet'!$A$88&gt;35,BD21+BC22-BL21,IF(A22&lt;'Données projet'!$A$88,$BA$205^A22,IF(A22='Données projet'!$A$88,'Données projet'!$B$88,BD21+BC22-BL21)))</f>
        <v>165.24461538461537</v>
      </c>
      <c r="BE22" s="13">
        <f>BD22*VLOOKUP('Données projet'!$B$11,Paramètres!$A$1:$I$89,3,0)*VLOOKUP('Données projet'!$B$11,Paramètres!$A$1:$I$89,5,0)</f>
        <v>98.816280000000006</v>
      </c>
      <c r="BF22" s="13">
        <f t="shared" si="37"/>
        <v>26.679797439959771</v>
      </c>
      <c r="BG22" s="20">
        <f t="shared" si="7"/>
        <v>218.57233487459663</v>
      </c>
      <c r="BH22" s="59">
        <f t="shared" si="8"/>
        <v>511.90566820792992</v>
      </c>
      <c r="BI22" s="59">
        <f ca="1">AVERAGE(OFFSET($BH$3,0,0,'Données projet'!$E$11+1,1))-AVERAGE(OFFSET($H$3,0,0,'Données projet'!$E$11+1,1))</f>
        <v>243.85350804244348</v>
      </c>
      <c r="BJ22" s="59">
        <f t="shared" si="38"/>
        <v>304.60992308960545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7.9218945547942132</v>
      </c>
      <c r="BR22" s="21">
        <f>EXP(-LN(2)/2)*BR21+(1-EXP(-LN(2)/2))/(LN(2)/2)*BL22*BO22*VLOOKUP('Données projet'!$B$11,Paramètres!$A$1:$I$89,3,0)*0.475*44/12</f>
        <v>4.2134892720149919</v>
      </c>
      <c r="BS22" s="22">
        <f t="shared" si="9"/>
        <v>12.135383826809205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4.3499999999999996</v>
      </c>
      <c r="BY22" s="12">
        <f>IF('Données projet'!$A$114&gt;35,BY21+BX22-CG21,IF(A22&lt;'Données projet'!$A$114,$BV$205^A22,IF(A22='Données projet'!$A$114,'Données projet'!$B$114,BY21+BX22-CG21)))</f>
        <v>69.589431720992238</v>
      </c>
      <c r="BZ22" s="13">
        <f>BY22*VLOOKUP('Données projet'!$B$12,Paramètres!$A$1:$I$89,3,0)*VLOOKUP('Données projet'!$B$12,Paramètres!$A$1:$I$89,5,0)</f>
        <v>41.614480169153367</v>
      </c>
      <c r="CA22" s="13">
        <f t="shared" si="39"/>
        <v>12.425574628043913</v>
      </c>
      <c r="CB22" s="20">
        <f t="shared" si="10"/>
        <v>94.119762105118596</v>
      </c>
      <c r="CC22" s="59">
        <f t="shared" si="11"/>
        <v>387.4530954384519</v>
      </c>
      <c r="CD22" s="59">
        <f ca="1">AVERAGE(OFFSET($CC$3,0,0,'Données projet'!$E$12+1,1))-AVERAGE(OFFSET($H$3,0,0,'Données projet'!$E$12+1,1))</f>
        <v>270.30888762640245</v>
      </c>
      <c r="CE22" s="59">
        <f t="shared" si="40"/>
        <v>202.23783851977691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12.3</v>
      </c>
      <c r="CT22" s="12">
        <f>IF('Données projet'!$A$140&gt;35,CT21+CS22-DB21,IF(A22&lt;'Données projet'!$A$140,$CQ$205^A22,IF(A22='Données projet'!$A$140,'Données projet'!$B$140,CT21+CS22-DB21)))</f>
        <v>121.69999999999999</v>
      </c>
      <c r="CU22" s="17">
        <f>CT22*VLOOKUP('Données projet'!$B$13,Paramètres!$A$1:$I$89,3,0)*VLOOKUP('Données projet'!$B$13,Paramètres!$A$1:$I$89,5,0)</f>
        <v>96.824519999999993</v>
      </c>
      <c r="CV22" s="13">
        <f t="shared" si="41"/>
        <v>26.20406828580953</v>
      </c>
      <c r="CW22" s="20">
        <f t="shared" si="13"/>
        <v>214.27479126445158</v>
      </c>
      <c r="CX22" s="59">
        <f t="shared" si="14"/>
        <v>507.60812459778492</v>
      </c>
      <c r="CY22" s="59">
        <f ca="1">AVERAGE(OFFSET($CX$3,0,0,'Données projet'!$E$13+1,1))-AVERAGE(OFFSET($H$3,0,0,'Données projet'!$E$13+1,1))</f>
        <v>260.20517190557814</v>
      </c>
      <c r="CZ22" s="59">
        <f t="shared" si="42"/>
        <v>307.22009971147133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4.0628205128205126</v>
      </c>
      <c r="DO22" s="12">
        <f>IF('Données projet'!$A$166&gt;35,DO21+DN22-DW21,IF(A22&lt;'Données projet'!$A$166,$DL$205^A22,IF(A22='Données projet'!$A$166,'Données projet'!$B$166,DO21+DN22-DW21)))</f>
        <v>20.945993500590358</v>
      </c>
      <c r="DP22" s="17">
        <f>DO22*VLOOKUP('Données projet'!$B$14,Paramètres!$A$1:$I$89,3,0)*VLOOKUP('Données projet'!$B$14,Paramètres!$A$1:$I$89,5,0)</f>
        <v>21.239237409598623</v>
      </c>
      <c r="DQ22" s="13">
        <f t="shared" si="43"/>
        <v>6.8582295011208343</v>
      </c>
      <c r="DR22" s="20">
        <f t="shared" si="16"/>
        <v>48.936421536169718</v>
      </c>
      <c r="DS22" s="59">
        <f t="shared" si="17"/>
        <v>342.269754869503</v>
      </c>
      <c r="DT22" s="59">
        <f ca="1">AVERAGE(OFFSET($DS$3,0,0,'Données projet'!$E$14+1,1))-AVERAGE(OFFSET($H$3,0,0,'Données projet'!$E$14+1,1))</f>
        <v>263.15518481854753</v>
      </c>
      <c r="DU22" s="59">
        <f t="shared" si="44"/>
        <v>210.80755370263819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12.3</v>
      </c>
      <c r="EJ22" s="12">
        <f>IF('Données projet'!$A$192&gt;35,EJ21+EI22-ER21,IF(A22&lt;'Données projet'!$A$192,$EG$205^A22,IF(A22='Données projet'!$A$192,'Données projet'!$B$192,EJ21+EI22-ER21)))</f>
        <v>121.69999999999999</v>
      </c>
      <c r="EK22" s="17">
        <f>EJ22*VLOOKUP('Données projet'!$B$15,Paramètres!$A$1:$I$89,3,0)*VLOOKUP('Données projet'!$B$15,Paramètres!$A$1:$I$89,5,0)</f>
        <v>81.636359999999996</v>
      </c>
      <c r="EL22" s="13">
        <f t="shared" si="45"/>
        <v>22.536809944298909</v>
      </c>
      <c r="EM22" s="20">
        <f t="shared" si="19"/>
        <v>181.43493765298726</v>
      </c>
      <c r="EN22" s="59">
        <f t="shared" si="20"/>
        <v>474.76827098632054</v>
      </c>
      <c r="EO22" s="59">
        <f ca="1">AVERAGE(OFFSET($EN$3,0,0,'Données projet'!$E$15+1,1))-AVERAGE(OFFSET($H$3,0,0,'Données projet'!$E$15+1,1))</f>
        <v>207.93042467236967</v>
      </c>
      <c r="EP22" s="59">
        <f t="shared" si="46"/>
        <v>250.70954318710835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4.0628205128205126</v>
      </c>
      <c r="FE22" s="12">
        <f>IF('Données projet'!$A$218&gt;35,FE21+FD22-FM21,IF(A22&lt;'Données projet'!$A$218,$FB$205^A22,IF(A22='Données projet'!$A$218,'Données projet'!$B$218,FE21+FD22-FM21)))</f>
        <v>20.945993500590358</v>
      </c>
      <c r="FF22" s="17">
        <f>FE22*VLOOKUP('Données projet'!$B$16,Paramètres!$A$1:$I$89,3,0)*VLOOKUP('Données projet'!$B$16,Paramètres!$A$1:$I$89,5,0)</f>
        <v>22.546267404035461</v>
      </c>
      <c r="FG22" s="13">
        <f t="shared" si="47"/>
        <v>7.2298423719774645</v>
      </c>
      <c r="FH22" s="20">
        <f t="shared" si="22"/>
        <v>51.860057859889174</v>
      </c>
      <c r="FI22" s="59">
        <f t="shared" si="23"/>
        <v>345.19339119322251</v>
      </c>
      <c r="FJ22" s="59">
        <f ca="1">AVERAGE(OFFSET($FI$3,0,0,'Données projet'!$E$16+1,1))-AVERAGE(OFFSET($H$3,0,0,'Données projet'!$E$16+1,1))</f>
        <v>286.77702855541287</v>
      </c>
      <c r="FK22" s="59">
        <f t="shared" si="48"/>
        <v>227.12211541860779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4.9084615384615384</v>
      </c>
      <c r="FZ22" s="12">
        <f>IF('Données projet'!$A$244&gt;35,FZ21+FY22-GH21,IF(A22&lt;'Données projet'!$A$244,$FW$205^A22,IF(A22='Données projet'!$A$244,'Données projet'!$B$244,FZ21+FY22-GH21)))</f>
        <v>23.610700728923604</v>
      </c>
      <c r="GA22" s="17">
        <f>FZ22*VLOOKUP('Données projet'!$B$17,Paramètres!$A$1:$I$89,3,0)*VLOOKUP('Données projet'!$B$17,Paramètres!$A$1:$I$89,5,0)</f>
        <v>11.049807941136248</v>
      </c>
      <c r="GB22" s="13">
        <f t="shared" si="49"/>
        <v>3.8499962268435248</v>
      </c>
      <c r="GC22" s="20">
        <f t="shared" si="25"/>
        <v>25.950492259231435</v>
      </c>
      <c r="GD22" s="59">
        <f t="shared" si="26"/>
        <v>319.28382559256477</v>
      </c>
      <c r="GE22" s="59">
        <f ca="1">AVERAGE(OFFSET($GD$3,0,0,'Données projet'!$E$17+1,1))-AVERAGE(OFFSET($H$3,0,0,'Données projet'!$E$17+1,1))</f>
        <v>123.2823358462245</v>
      </c>
      <c r="GF22" s="59">
        <f t="shared" si="50"/>
        <v>92.75115399786057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14.926923076923075</v>
      </c>
      <c r="GU22" s="12">
        <f>IF('Données projet'!$A$270&gt;35,GU21+GT22-HC21,IF(A22&lt;'Données projet'!$A$270,$GR$205^A22,IF(A22='Données projet'!$A$270,'Données projet'!$B$270,GU21+GT22-HC21)))</f>
        <v>114.10000000000001</v>
      </c>
      <c r="GV22" s="17">
        <f>GU22*VLOOKUP('Données projet'!$B$18,Paramètres!$A$1:$I$89,3,0)*VLOOKUP('Données projet'!$B$18,Paramètres!$A$1:$I$89,5,0)</f>
        <v>68.231800000000007</v>
      </c>
      <c r="GW22" s="13">
        <f t="shared" si="51"/>
        <v>19.233699497264624</v>
      </c>
      <c r="GX22" s="20">
        <f t="shared" si="28"/>
        <v>152.3357449577359</v>
      </c>
      <c r="GY22" s="59">
        <f t="shared" si="29"/>
        <v>445.66907829106924</v>
      </c>
      <c r="GZ22" s="59">
        <f ca="1">AVERAGE(OFFSET($GY$3,0,0,'Données projet'!$E$18+1,1))-AVERAGE(OFFSET($H$3,0,0,'Données projet'!$E$18+1,1))</f>
        <v>171.96009656745713</v>
      </c>
      <c r="HA22" s="59">
        <f t="shared" si="52"/>
        <v>172.37574906747716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>
        <f>EXP(-LN(2)/35)*HG21+(1-EXP(-LN(2)/35))/(LN(2)/35)*HC22*HD22*VLOOKUP('Données projet'!$B$18,Paramètres!$A$1:$I$89,3,0)*0.475*44/12</f>
        <v>0</v>
      </c>
      <c r="HH22" s="21">
        <f>EXP(-LN(2)/25)*HH21+(1-EXP(-LN(2)/25))/(LN(2)/25)*Calculateur!HC22*Calculateur!HE22*VLOOKUP('Données projet'!$B$18,Paramètres!$A$1:$I$89,3,0)*0.475*44/12</f>
        <v>7.0784743588995731</v>
      </c>
      <c r="HI22" s="21">
        <f>EXP(-LN(2)/2)*HI21+(1-EXP(-LN(2)/2))/(LN(2)/2)*HC22*HF22*VLOOKUP('Données projet'!$B$18,Paramètres!$A$1:$I$89,3,0)*0.475*44/12</f>
        <v>7.1236093347323903</v>
      </c>
      <c r="HJ22" s="22">
        <f t="shared" si="30"/>
        <v>14.202083693631963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20.658974358974358</v>
      </c>
      <c r="N23" s="13">
        <f>IF('Données projet'!$A$36&gt;35,N22+M23-V22,IF(A23&lt;'Données projet'!$A$36,$K$205^A23,IF(A23='Données projet'!$A$36,'Données projet'!$B$36,N22+M23-V22)))</f>
        <v>154.925641025641</v>
      </c>
      <c r="O23" s="13">
        <f>N23*VLOOKUP('Données projet'!$B$9,Paramètres!$A$1:$I$89,3,0)*VLOOKUP('Données projet'!$B$9,Paramètres!$A$1:$I$89,5,0)</f>
        <v>86.603433333333314</v>
      </c>
      <c r="P23" s="13">
        <f t="shared" si="33"/>
        <v>23.744229853900279</v>
      </c>
      <c r="Q23" s="20">
        <f t="shared" si="2"/>
        <v>192.18884671776516</v>
      </c>
      <c r="R23" s="59">
        <f t="shared" si="0"/>
        <v>485.52218005109847</v>
      </c>
      <c r="S23" s="59">
        <f ca="1">AVERAGE(OFFSET($R$3,0,0,'Données projet'!$E$9+1,1))-AVERAGE(OFFSET($H$3,0,0,'Données projet'!$E$9+1,1))</f>
        <v>255.5374979188561</v>
      </c>
      <c r="T23" s="59">
        <f t="shared" si="34"/>
        <v>343.10418468620901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13.314164264646086</v>
      </c>
      <c r="AB23" s="21">
        <f>EXP(-LN(2)/2)*AB22+(1-EXP(-LN(2)/2))/(LN(2)/2)*V23*Y23*VLOOKUP('Données projet'!$B$9,Paramètres!$A$1:$I$89,3,0)*0.475*44/12</f>
        <v>10.962867526607443</v>
      </c>
      <c r="AC23" s="22">
        <f t="shared" si="3"/>
        <v>24.277031791253528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7.2264102564102561</v>
      </c>
      <c r="AI23" s="13">
        <f>IF('Données projet'!$A$62&gt;35,AI22+AH23-AQ22,IF(A23&lt;'Données projet'!$A$62,$AF$205^A23,IF(A23='Données projet'!$A$62,'Données projet'!$B$62,AI22+AH23-AQ22)))</f>
        <v>36.0879804560157</v>
      </c>
      <c r="AJ23" s="13">
        <f>AI23*VLOOKUP('Données projet'!$B$10,Paramètres!$A$1:$I$89,3,0)*VLOOKUP('Données projet'!$B$10,Paramètres!$A$1:$I$89,5,0)</f>
        <v>16.889174853415348</v>
      </c>
      <c r="AK23" s="13">
        <f t="shared" si="35"/>
        <v>5.6010168004690764</v>
      </c>
      <c r="AL23" s="20">
        <f t="shared" si="4"/>
        <v>39.170417130515368</v>
      </c>
      <c r="AM23" s="59">
        <f t="shared" si="5"/>
        <v>332.50375046384869</v>
      </c>
      <c r="AN23" s="59">
        <f ca="1">AVERAGE(OFFSET($AM$3,0,0,'Données projet'!$E$10+1,1))-AVERAGE(OFFSET($H$3,0,0,'Données projet'!$E$10+1,1))</f>
        <v>158.58786357608489</v>
      </c>
      <c r="AO23" s="59">
        <f t="shared" si="36"/>
        <v>163.20074068819849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183.7076923076923</v>
      </c>
      <c r="BB23" s="12">
        <f>VLOOKUP(A23,'Données projet'!$A$87:$I$107,9,0)</f>
        <v>18.463076923076926</v>
      </c>
      <c r="BC23" s="12">
        <f t="array" ref="BC23">INDEX(BB:BB,MIN(IF(ISNUMBER(BB23:BB219),ROW(BB23:BB219),"")))</f>
        <v>18.463076923076926</v>
      </c>
      <c r="BD23" s="12">
        <f>IF('Données projet'!$A$88&gt;35,BD22+BC23-BL22,IF(A23&lt;'Données projet'!$A$88,$BA$205^A23,IF(A23='Données projet'!$A$88,'Données projet'!$B$88,BD22+BC23-BL22)))</f>
        <v>183.7076923076923</v>
      </c>
      <c r="BE23" s="13">
        <f>BD23*VLOOKUP('Données projet'!$B$11,Paramètres!$A$1:$I$89,3,0)*VLOOKUP('Données projet'!$B$11,Paramètres!$A$1:$I$89,5,0)</f>
        <v>109.85720000000001</v>
      </c>
      <c r="BF23" s="13">
        <f t="shared" si="37"/>
        <v>29.297337235526424</v>
      </c>
      <c r="BG23" s="20">
        <f t="shared" si="7"/>
        <v>242.36081901854183</v>
      </c>
      <c r="BH23" s="59">
        <f t="shared" si="8"/>
        <v>535.69415235187512</v>
      </c>
      <c r="BI23" s="59">
        <f ca="1">AVERAGE(OFFSET($BH$3,0,0,'Données projet'!$E$11+1,1))-AVERAGE(OFFSET($H$3,0,0,'Données projet'!$E$11+1,1))</f>
        <v>243.85350804244348</v>
      </c>
      <c r="BJ23" s="59">
        <f t="shared" si="38"/>
        <v>304.60992308960545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48.723076923076924</v>
      </c>
      <c r="BM23" s="16">
        <f>IF(ISNA(VLOOKUP(A23,'Données projet'!$A$87:$I$107,5,0)),0%,VLOOKUP(A23,'Données projet'!$A$87:$I$107,5,0)*VLOOKUP('Données projet'!$B$11,Paramètres!$A$1:$I$89,7,0))</f>
        <v>4.5000000000000005E-2</v>
      </c>
      <c r="BN23" s="16">
        <f>IF(ISNA(VLOOKUP(A23,'Données projet'!$A$87:$I$107,6,0)),0%,VLOOKUP(A23,'Données projet'!$A$87:$I$107,6,0)*VLOOKUP('Données projet'!$B$11,Paramètres!$A$1:$I$89,7,0))</f>
        <v>0.20250000000000001</v>
      </c>
      <c r="BO23" s="16">
        <f>IF(ISNA(VLOOKUP(A23,'Données projet'!$A$87:$I$107,7,0)),0%,VLOOKUP(A23,'Données projet'!$A$87:$I$107,7,0))</f>
        <v>0.45</v>
      </c>
      <c r="BP23" s="21">
        <f>EXP(-LN(2)/35)*BP22+(1-EXP(-LN(2)/35))/(LN(2)/35)*BL23*BM23*VLOOKUP('Données projet'!$B$11,Paramètres!$A$1:$I$89,3,0)*0.475*44/12</f>
        <v>1.7393090669760882</v>
      </c>
      <c r="BQ23" s="21">
        <f>EXP(-LN(2)/25)*BQ22+(1-EXP(-LN(2)/25))/(LN(2)/25)*Calculateur!BL23*Calculateur!BN23*VLOOKUP('Données projet'!$B$11,Paramètres!$A$1:$I$89,3,0)*0.475*44/12</f>
        <v>15.501343281627147</v>
      </c>
      <c r="BR23" s="21">
        <f>EXP(-LN(2)/2)*BR22+(1-EXP(-LN(2)/2))/(LN(2)/2)*BL23*BO23*VLOOKUP('Données projet'!$B$11,Paramètres!$A$1:$I$89,3,0)*0.475*44/12</f>
        <v>17.824514737841127</v>
      </c>
      <c r="BS23" s="22">
        <f t="shared" si="9"/>
        <v>35.065167086444362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87</v>
      </c>
      <c r="BW23" s="12">
        <f>VLOOKUP(A23,'Données projet'!$A$113:$I$133,9,0)</f>
        <v>4.3499999999999996</v>
      </c>
      <c r="BX23" s="12">
        <f t="array" ref="BX23">INDEX(BW:BW,MIN(IF(ISNUMBER(BW23:BW219),ROW(BW23:BW219),"")))</f>
        <v>4.3499999999999996</v>
      </c>
      <c r="BY23" s="12">
        <f>IF('Données projet'!$A$114&gt;35,BY22+BX23-CG22,IF(A23&lt;'Données projet'!$A$114,$BV$205^A23,IF(A23='Données projet'!$A$114,'Données projet'!$B$114,BY22+BX23-CG22)))</f>
        <v>87</v>
      </c>
      <c r="BZ23" s="13">
        <f>BY23*VLOOKUP('Données projet'!$B$12,Paramètres!$A$1:$I$89,3,0)*VLOOKUP('Données projet'!$B$12,Paramètres!$A$1:$I$89,5,0)</f>
        <v>52.026000000000003</v>
      </c>
      <c r="CA23" s="13">
        <f t="shared" si="39"/>
        <v>15.135767316300118</v>
      </c>
      <c r="CB23" s="20">
        <f t="shared" si="10"/>
        <v>116.97341140922269</v>
      </c>
      <c r="CC23" s="59">
        <f t="shared" si="11"/>
        <v>410.30674474255602</v>
      </c>
      <c r="CD23" s="59">
        <f ca="1">AVERAGE(OFFSET($CC$3,0,0,'Données projet'!$E$12+1,1))-AVERAGE(OFFSET($H$3,0,0,'Données projet'!$E$12+1,1))</f>
        <v>270.30888762640245</v>
      </c>
      <c r="CE23" s="59">
        <f t="shared" si="40"/>
        <v>202.23783851977691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20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0.22500000000000001</v>
      </c>
      <c r="CJ23" s="16">
        <f>IF(ISNA(VLOOKUP(A23,'Données projet'!$A$113:$I$133,7,0)),0%,VLOOKUP(A23,'Données projet'!$A$113:$I$133,7,0))</f>
        <v>0.5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3.5557293460465722</v>
      </c>
      <c r="CM23" s="21">
        <f>EXP(-LN(2)/2)*CM22+(1-EXP(-LN(2)/2))/(LN(2)/2)*CG23*CJ23*VLOOKUP('Données projet'!$B$12,Paramètres!$A$1:$I$89,3,0)*0.475*44/12</f>
        <v>6.7707491392082657</v>
      </c>
      <c r="CN23" s="22">
        <f t="shared" si="12"/>
        <v>10.326478485254839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134</v>
      </c>
      <c r="CR23" s="12">
        <f>VLOOKUP(A23,'Données projet'!$A$139:$I$159,9,0)</f>
        <v>12.3</v>
      </c>
      <c r="CS23" s="12">
        <f t="array" ref="CS23">INDEX(CR:CR,MIN(IF(ISNUMBER(CR23:CR219),ROW(CR23:CR219),"")))</f>
        <v>12.3</v>
      </c>
      <c r="CT23" s="12">
        <f>IF('Données projet'!$A$140&gt;35,CT22+CS23-DB22,IF(A23&lt;'Données projet'!$A$140,$CQ$205^A23,IF(A23='Données projet'!$A$140,'Données projet'!$B$140,CT22+CS23-DB22)))</f>
        <v>134</v>
      </c>
      <c r="CU23" s="17">
        <f>CT23*VLOOKUP('Données projet'!$B$13,Paramètres!$A$1:$I$89,3,0)*VLOOKUP('Données projet'!$B$13,Paramètres!$A$1:$I$89,5,0)</f>
        <v>106.61040000000001</v>
      </c>
      <c r="CV23" s="13">
        <f t="shared" si="41"/>
        <v>28.530919434405451</v>
      </c>
      <c r="CW23" s="20">
        <f t="shared" si="13"/>
        <v>235.3711313482562</v>
      </c>
      <c r="CX23" s="59">
        <f t="shared" si="14"/>
        <v>528.70446468158957</v>
      </c>
      <c r="CY23" s="59">
        <f ca="1">AVERAGE(OFFSET($CX$3,0,0,'Données projet'!$E$13+1,1))-AVERAGE(OFFSET($H$3,0,0,'Données projet'!$E$13+1,1))</f>
        <v>260.20517190557814</v>
      </c>
      <c r="CZ23" s="59">
        <f t="shared" si="42"/>
        <v>307.22009971147133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67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0.13250000000000001</v>
      </c>
      <c r="DE23" s="16">
        <f>IF(ISNA(VLOOKUP(A23,'Données projet'!$A$139:$I$159,7,0)),0%,VLOOKUP(A23,'Données projet'!$A$139:$I$159,7,0))</f>
        <v>0.25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7.7771272982896171</v>
      </c>
      <c r="DH23" s="21">
        <f>EXP(-LN(2)/2)*DH22+(1-EXP(-LN(2)/2))/(LN(2)/2)*DB23*DE23*VLOOKUP('Données projet'!$B$13,Paramètres!$A$1:$I$89,3,0)*0.475*44/12</f>
        <v>12.573722722105785</v>
      </c>
      <c r="DI23" s="22">
        <f t="shared" si="15"/>
        <v>20.350850020395402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4.0628205128205126</v>
      </c>
      <c r="DO23" s="12">
        <f>IF('Données projet'!$A$166&gt;35,DO22+DN23-DW22,IF(A23&lt;'Données projet'!$A$166,$DL$205^A23,IF(A23='Données projet'!$A$166,'Données projet'!$B$166,DO22+DN23-DW22)))</f>
        <v>24.582870545650774</v>
      </c>
      <c r="DP23" s="17">
        <f>DO23*VLOOKUP('Données projet'!$B$14,Paramètres!$A$1:$I$89,3,0)*VLOOKUP('Données projet'!$B$14,Paramètres!$A$1:$I$89,5,0)</f>
        <v>24.927030733289886</v>
      </c>
      <c r="DQ23" s="13">
        <f t="shared" si="43"/>
        <v>7.900419678784556</v>
      </c>
      <c r="DR23" s="20">
        <f t="shared" si="16"/>
        <v>57.174476134362976</v>
      </c>
      <c r="DS23" s="59">
        <f t="shared" si="17"/>
        <v>350.50780946769629</v>
      </c>
      <c r="DT23" s="59">
        <f ca="1">AVERAGE(OFFSET($DS$3,0,0,'Données projet'!$E$14+1,1))-AVERAGE(OFFSET($H$3,0,0,'Données projet'!$E$14+1,1))</f>
        <v>263.15518481854753</v>
      </c>
      <c r="DU23" s="59">
        <f t="shared" si="44"/>
        <v>210.80755370263819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>
        <f>VLOOKUP(A23,'Données projet'!$A$191:$I$211,2,0)</f>
        <v>134</v>
      </c>
      <c r="EH23" s="12">
        <f>VLOOKUP(A23,'Données projet'!$A$191:$I$211,9,0)</f>
        <v>12.3</v>
      </c>
      <c r="EI23" s="12">
        <f t="array" ref="EI23">INDEX(EH:EH,MIN(IF(ISNUMBER(EH23:EH219),ROW(EH23:EH219),"")))</f>
        <v>12.3</v>
      </c>
      <c r="EJ23" s="12">
        <f>IF('Données projet'!$A$192&gt;35,EJ22+EI23-ER22,IF(A23&lt;'Données projet'!$A$192,$EG$205^A23,IF(A23='Données projet'!$A$192,'Données projet'!$B$192,EJ22+EI23-ER22)))</f>
        <v>134</v>
      </c>
      <c r="EK23" s="17">
        <f>EJ23*VLOOKUP('Données projet'!$B$15,Paramètres!$A$1:$I$89,3,0)*VLOOKUP('Données projet'!$B$15,Paramètres!$A$1:$I$89,5,0)</f>
        <v>89.887199999999993</v>
      </c>
      <c r="EL23" s="13">
        <f t="shared" si="45"/>
        <v>24.538018364785955</v>
      </c>
      <c r="EM23" s="20">
        <f t="shared" si="19"/>
        <v>199.29058865200216</v>
      </c>
      <c r="EN23" s="59">
        <f t="shared" si="20"/>
        <v>492.62392198533547</v>
      </c>
      <c r="EO23" s="59">
        <f ca="1">AVERAGE(OFFSET($EN$3,0,0,'Données projet'!$E$15+1,1))-AVERAGE(OFFSET($H$3,0,0,'Données projet'!$E$15+1,1))</f>
        <v>207.93042467236967</v>
      </c>
      <c r="EP23" s="59">
        <f t="shared" si="46"/>
        <v>250.70954318710835</v>
      </c>
      <c r="EQ23" s="15">
        <f>IF(ISNA(VLOOKUP(A23,'Données projet'!$A$191:$I$211,3,0)),0,VLOOKUP(A23,'Données projet'!$A$191:$I$211,3,0))</f>
        <v>1</v>
      </c>
      <c r="ER23" s="15">
        <f>IF(ISNA(VLOOKUP(A23,'Données projet'!$A$191:$I$211,4,0)),0,VLOOKUP(A23,'Données projet'!$A$191:$I$211,4,0))</f>
        <v>67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0.13250000000000001</v>
      </c>
      <c r="EU23" s="16">
        <f>IF(ISNA(VLOOKUP(A23,'Données projet'!$A$191:$I$211,7,0)),0%,VLOOKUP(A23,'Données projet'!$A$191:$I$211,7,0))</f>
        <v>0.25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6.5571857613030105</v>
      </c>
      <c r="EX23" s="21">
        <f>EXP(-LN(2)/2)*EX22+(1-EXP(-LN(2)/2))/(LN(2)/2)*ER23*EU23*VLOOKUP('Données projet'!$B$15,Paramètres!$A$1:$I$89,3,0)*0.475*44/12</f>
        <v>10.601374059814683</v>
      </c>
      <c r="EY23" s="22">
        <f t="shared" si="21"/>
        <v>17.158559821117692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4.0628205128205126</v>
      </c>
      <c r="FE23" s="12">
        <f>IF('Données projet'!$A$218&gt;35,FE22+FD23-FM22,IF(A23&lt;'Données projet'!$A$218,$FB$205^A23,IF(A23='Données projet'!$A$218,'Données projet'!$B$218,FE22+FD23-FM22)))</f>
        <v>24.582870545650774</v>
      </c>
      <c r="FF23" s="17">
        <f>FE23*VLOOKUP('Données projet'!$B$16,Paramètres!$A$1:$I$89,3,0)*VLOOKUP('Données projet'!$B$16,Paramètres!$A$1:$I$89,5,0)</f>
        <v>26.461001855338495</v>
      </c>
      <c r="FG23" s="13">
        <f t="shared" si="47"/>
        <v>8.3285035796405325</v>
      </c>
      <c r="FH23" s="20">
        <f t="shared" si="22"/>
        <v>60.591721965921806</v>
      </c>
      <c r="FI23" s="59">
        <f t="shared" si="23"/>
        <v>353.92505529925512</v>
      </c>
      <c r="FJ23" s="59">
        <f ca="1">AVERAGE(OFFSET($FI$3,0,0,'Données projet'!$E$16+1,1))-AVERAGE(OFFSET($H$3,0,0,'Données projet'!$E$16+1,1))</f>
        <v>286.77702855541287</v>
      </c>
      <c r="FK23" s="59">
        <f t="shared" si="48"/>
        <v>227.12211541860779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4.9084615384615384</v>
      </c>
      <c r="FZ23" s="12">
        <f>IF('Données projet'!$A$244&gt;35,FZ22+FY23-GH22,IF(A23&lt;'Données projet'!$A$244,$FW$205^A23,IF(A23='Données projet'!$A$244,'Données projet'!$B$244,FZ22+FY23-GH22)))</f>
        <v>27.885456896095882</v>
      </c>
      <c r="GA23" s="17">
        <f>FZ23*VLOOKUP('Données projet'!$B$17,Paramètres!$A$1:$I$89,3,0)*VLOOKUP('Données projet'!$B$17,Paramètres!$A$1:$I$89,5,0)</f>
        <v>13.050393827372874</v>
      </c>
      <c r="GB23" s="13">
        <f t="shared" si="49"/>
        <v>4.459817563628576</v>
      </c>
      <c r="GC23" s="20">
        <f t="shared" si="25"/>
        <v>30.49695150599419</v>
      </c>
      <c r="GD23" s="59">
        <f t="shared" si="26"/>
        <v>323.83028483932753</v>
      </c>
      <c r="GE23" s="59">
        <f ca="1">AVERAGE(OFFSET($GD$3,0,0,'Données projet'!$E$17+1,1))-AVERAGE(OFFSET($H$3,0,0,'Données projet'!$E$17+1,1))</f>
        <v>123.2823358462245</v>
      </c>
      <c r="GF23" s="59">
        <f t="shared" si="50"/>
        <v>92.75115399786057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0</v>
      </c>
      <c r="GN23" s="21">
        <f>EXP(-LN(2)/2)*GN22+(1-EXP(-LN(2)/2))/(LN(2)/2)*GH23*GK23*VLOOKUP('Données projet'!$B$17,Paramètres!$A$1:$I$89,3,0)*0.475*44/12</f>
        <v>0</v>
      </c>
      <c r="GO23" s="21">
        <f t="shared" si="27"/>
        <v>0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14.926923076923075</v>
      </c>
      <c r="GU23" s="12">
        <f>IF('Données projet'!$A$270&gt;35,GU22+GT23-HC22,IF(A23&lt;'Données projet'!$A$270,$GR$205^A23,IF(A23='Données projet'!$A$270,'Données projet'!$B$270,GU22+GT23-HC22)))</f>
        <v>129.02692307692308</v>
      </c>
      <c r="GV23" s="17">
        <f>GU23*VLOOKUP('Données projet'!$B$18,Paramètres!$A$1:$I$89,3,0)*VLOOKUP('Données projet'!$B$18,Paramètres!$A$1:$I$89,5,0)</f>
        <v>77.158100000000005</v>
      </c>
      <c r="GW23" s="13">
        <f t="shared" si="51"/>
        <v>21.440868838738705</v>
      </c>
      <c r="GX23" s="20">
        <f t="shared" si="28"/>
        <v>171.72653739413659</v>
      </c>
      <c r="GY23" s="59">
        <f t="shared" si="29"/>
        <v>465.0598707274699</v>
      </c>
      <c r="GZ23" s="59">
        <f ca="1">AVERAGE(OFFSET($GY$3,0,0,'Données projet'!$E$18+1,1))-AVERAGE(OFFSET($H$3,0,0,'Données projet'!$E$18+1,1))</f>
        <v>171.96009656745713</v>
      </c>
      <c r="HA23" s="59">
        <f t="shared" si="52"/>
        <v>172.37574906747716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>
        <f>EXP(-LN(2)/35)*HG22+(1-EXP(-LN(2)/35))/(LN(2)/35)*HC23*HD23*VLOOKUP('Données projet'!$B$18,Paramètres!$A$1:$I$89,3,0)*0.475*44/12</f>
        <v>0</v>
      </c>
      <c r="HH23" s="21">
        <f>EXP(-LN(2)/25)*HH22+(1-EXP(-LN(2)/25))/(LN(2)/25)*Calculateur!HC23*Calculateur!HE23*VLOOKUP('Données projet'!$B$18,Paramètres!$A$1:$I$89,3,0)*0.475*44/12</f>
        <v>6.8849131053146762</v>
      </c>
      <c r="HI23" s="21">
        <f>EXP(-LN(2)/2)*HI22+(1-EXP(-LN(2)/2))/(LN(2)/2)*HC23*HF23*VLOOKUP('Données projet'!$B$18,Paramètres!$A$1:$I$89,3,0)*0.475*44/12</f>
        <v>5.0371524671130636</v>
      </c>
      <c r="HJ23" s="22">
        <f t="shared" si="30"/>
        <v>11.922065572427741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20.658974358974358</v>
      </c>
      <c r="N24" s="13">
        <f>IF('Données projet'!$A$36&gt;35,N23+M24-V23,IF(A24&lt;'Données projet'!$A$36,$K$205^A24,IF(A24='Données projet'!$A$36,'Données projet'!$B$36,N23+M24-V23)))</f>
        <v>175.58461538461535</v>
      </c>
      <c r="O24" s="13">
        <f>N24*VLOOKUP('Données projet'!$B$9,Paramètres!$A$1:$I$89,3,0)*VLOOKUP('Données projet'!$B$9,Paramètres!$A$1:$I$89,5,0)</f>
        <v>98.15179999999998</v>
      </c>
      <c r="P24" s="13">
        <f t="shared" si="33"/>
        <v>26.52121247620833</v>
      </c>
      <c r="Q24" s="20">
        <f t="shared" si="2"/>
        <v>217.13883006272945</v>
      </c>
      <c r="R24" s="59">
        <f t="shared" si="0"/>
        <v>510.4721633960628</v>
      </c>
      <c r="S24" s="59">
        <f ca="1">AVERAGE(OFFSET($R$3,0,0,'Données projet'!$E$9+1,1))-AVERAGE(OFFSET($H$3,0,0,'Données projet'!$E$9+1,1))</f>
        <v>255.5374979188561</v>
      </c>
      <c r="T24" s="59">
        <f t="shared" si="34"/>
        <v>343.10418468620901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12.95008774266787</v>
      </c>
      <c r="AB24" s="21">
        <f>EXP(-LN(2)/2)*AB23+(1-EXP(-LN(2)/2))/(LN(2)/2)*V24*Y24*VLOOKUP('Données projet'!$B$9,Paramètres!$A$1:$I$89,3,0)*0.475*44/12</f>
        <v>7.7519179693139169</v>
      </c>
      <c r="AC24" s="22">
        <f t="shared" si="3"/>
        <v>20.702005711981787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7.2264102564102561</v>
      </c>
      <c r="AI24" s="13">
        <f>IF('Données projet'!$A$62&gt;35,AI23+AH24-AQ23,IF(A24&lt;'Données projet'!$A$62,$AF$205^A24,IF(A24='Données projet'!$A$62,'Données projet'!$B$62,AI23+AH24-AQ23)))</f>
        <v>43.17483711984115</v>
      </c>
      <c r="AJ24" s="13">
        <f>AI24*VLOOKUP('Données projet'!$B$10,Paramètres!$A$1:$I$89,3,0)*VLOOKUP('Données projet'!$B$10,Paramètres!$A$1:$I$89,5,0)</f>
        <v>20.205823772085658</v>
      </c>
      <c r="AK24" s="13">
        <f t="shared" si="35"/>
        <v>6.5625277686471071</v>
      </c>
      <c r="AL24" s="20">
        <f t="shared" si="4"/>
        <v>46.621545600109563</v>
      </c>
      <c r="AM24" s="59">
        <f t="shared" si="5"/>
        <v>339.9548789334429</v>
      </c>
      <c r="AN24" s="59">
        <f ca="1">AVERAGE(OFFSET($AM$3,0,0,'Données projet'!$E$10+1,1))-AVERAGE(OFFSET($H$3,0,0,'Données projet'!$E$10+1,1))</f>
        <v>158.58786357608489</v>
      </c>
      <c r="AO24" s="59">
        <f t="shared" si="36"/>
        <v>163.20074068819849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19.071794871794875</v>
      </c>
      <c r="BD24" s="12">
        <f>IF('Données projet'!$A$88&gt;35,BD23+BC24-BL23,IF(A24&lt;'Données projet'!$A$88,$BA$205^A24,IF(A24='Données projet'!$A$88,'Données projet'!$B$88,BD23+BC24-BL23)))</f>
        <v>154.05641025641026</v>
      </c>
      <c r="BE24" s="13">
        <f>BD24*VLOOKUP('Données projet'!$B$11,Paramètres!$A$1:$I$89,3,0)*VLOOKUP('Données projet'!$B$11,Paramètres!$A$1:$I$89,5,0)</f>
        <v>92.125733333333343</v>
      </c>
      <c r="BF24" s="13">
        <f t="shared" si="37"/>
        <v>25.077202059466597</v>
      </c>
      <c r="BG24" s="20">
        <f t="shared" si="7"/>
        <v>204.12844580912656</v>
      </c>
      <c r="BH24" s="59">
        <f t="shared" si="8"/>
        <v>497.46177914245987</v>
      </c>
      <c r="BI24" s="59">
        <f ca="1">AVERAGE(OFFSET($BH$3,0,0,'Données projet'!$E$11+1,1))-AVERAGE(OFFSET($H$3,0,0,'Données projet'!$E$11+1,1))</f>
        <v>243.85350804244348</v>
      </c>
      <c r="BJ24" s="59">
        <f t="shared" si="38"/>
        <v>304.60992308960545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1.7052022770464654</v>
      </c>
      <c r="BQ24" s="21">
        <f>EXP(-LN(2)/25)*BQ23+(1-EXP(-LN(2)/25))/(LN(2)/25)*Calculateur!BL24*Calculateur!BN24*VLOOKUP('Données projet'!$B$11,Paramètres!$A$1:$I$89,3,0)*0.475*44/12</f>
        <v>15.077458234410837</v>
      </c>
      <c r="BR24" s="21">
        <f>EXP(-LN(2)/2)*BR23+(1-EXP(-LN(2)/2))/(LN(2)/2)*BL24*BO24*VLOOKUP('Données projet'!$B$11,Paramètres!$A$1:$I$89,3,0)*0.475*44/12</f>
        <v>12.603835242487019</v>
      </c>
      <c r="BS24" s="22">
        <f t="shared" si="9"/>
        <v>29.38649575394432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13.3</v>
      </c>
      <c r="BY24" s="12">
        <f>IF('Données projet'!$A$114&gt;35,BY23+BX24-CG23,IF(A24&lt;'Données projet'!$A$114,$BV$205^A24,IF(A24='Données projet'!$A$114,'Données projet'!$B$114,BY23+BX24-CG23)))</f>
        <v>80.3</v>
      </c>
      <c r="BZ24" s="13">
        <f>BY24*VLOOKUP('Données projet'!$B$12,Paramètres!$A$1:$I$89,3,0)*VLOOKUP('Données projet'!$B$12,Paramètres!$A$1:$I$89,5,0)</f>
        <v>48.019400000000005</v>
      </c>
      <c r="CA24" s="13">
        <f t="shared" si="39"/>
        <v>14.10106410189413</v>
      </c>
      <c r="CB24" s="20">
        <f t="shared" si="10"/>
        <v>108.1931416441323</v>
      </c>
      <c r="CC24" s="59">
        <f t="shared" si="11"/>
        <v>401.52647497746563</v>
      </c>
      <c r="CD24" s="59">
        <f ca="1">AVERAGE(OFFSET($CC$3,0,0,'Données projet'!$E$12+1,1))-AVERAGE(OFFSET($H$3,0,0,'Données projet'!$E$12+1,1))</f>
        <v>270.30888762640245</v>
      </c>
      <c r="CE24" s="59">
        <f t="shared" si="40"/>
        <v>202.23783851977691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3.4584977400912491</v>
      </c>
      <c r="CM24" s="21">
        <f>EXP(-LN(2)/2)*CM23+(1-EXP(-LN(2)/2))/(LN(2)/2)*CG24*CJ24*VLOOKUP('Données projet'!$B$12,Paramètres!$A$1:$I$89,3,0)*0.475*44/12</f>
        <v>4.7876426300471442</v>
      </c>
      <c r="CN24" s="22">
        <f t="shared" si="12"/>
        <v>8.2461403701383933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14.5</v>
      </c>
      <c r="CT24" s="12">
        <f>IF('Données projet'!$A$140&gt;35,CT23+CS24-DB23,IF(A24&lt;'Données projet'!$A$140,$CQ$205^A24,IF(A24='Données projet'!$A$140,'Données projet'!$B$140,CT23+CS24-DB23)))</f>
        <v>81.5</v>
      </c>
      <c r="CU24" s="17">
        <f>CT24*VLOOKUP('Données projet'!$B$13,Paramètres!$A$1:$I$89,3,0)*VLOOKUP('Données projet'!$B$13,Paramètres!$A$1:$I$89,5,0)</f>
        <v>64.841399999999993</v>
      </c>
      <c r="CV24" s="13">
        <f t="shared" si="41"/>
        <v>18.386744053291277</v>
      </c>
      <c r="CW24" s="20">
        <f t="shared" si="13"/>
        <v>144.95568422614897</v>
      </c>
      <c r="CX24" s="59">
        <f t="shared" si="14"/>
        <v>438.28901755948232</v>
      </c>
      <c r="CY24" s="59">
        <f ca="1">AVERAGE(OFFSET($CX$3,0,0,'Données projet'!$E$13+1,1))-AVERAGE(OFFSET($H$3,0,0,'Données projet'!$E$13+1,1))</f>
        <v>260.20517190557814</v>
      </c>
      <c r="CZ24" s="59">
        <f t="shared" si="42"/>
        <v>307.22009971147133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7.5644613433365375</v>
      </c>
      <c r="DH24" s="21">
        <f>EXP(-LN(2)/2)*DH23+(1-EXP(-LN(2)/2))/(LN(2)/2)*DB24*DE24*VLOOKUP('Données projet'!$B$13,Paramètres!$A$1:$I$89,3,0)*0.475*44/12</f>
        <v>8.8909646015603769</v>
      </c>
      <c r="DI24" s="22">
        <f t="shared" si="15"/>
        <v>16.455425944896916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4.0628205128205126</v>
      </c>
      <c r="DO24" s="12">
        <f>IF('Données projet'!$A$166&gt;35,DO23+DN24-DW23,IF(A24&lt;'Données projet'!$A$166,$DL$205^A24,IF(A24='Données projet'!$A$166,'Données projet'!$B$166,DO23+DN24-DW23)))</f>
        <v>28.851222752799568</v>
      </c>
      <c r="DP24" s="17">
        <f>DO24*VLOOKUP('Données projet'!$B$14,Paramètres!$A$1:$I$89,3,0)*VLOOKUP('Données projet'!$B$14,Paramètres!$A$1:$I$89,5,0)</f>
        <v>29.255139871338766</v>
      </c>
      <c r="DQ24" s="13">
        <f t="shared" si="43"/>
        <v>9.1009831459745705</v>
      </c>
      <c r="DR24" s="20">
        <f t="shared" si="16"/>
        <v>66.803580921820739</v>
      </c>
      <c r="DS24" s="59">
        <f t="shared" si="17"/>
        <v>360.13691425515407</v>
      </c>
      <c r="DT24" s="59">
        <f ca="1">AVERAGE(OFFSET($DS$3,0,0,'Données projet'!$E$14+1,1))-AVERAGE(OFFSET($H$3,0,0,'Données projet'!$E$14+1,1))</f>
        <v>263.15518481854753</v>
      </c>
      <c r="DU24" s="59">
        <f t="shared" si="44"/>
        <v>210.80755370263819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14.5</v>
      </c>
      <c r="EJ24" s="12">
        <f>IF('Données projet'!$A$192&gt;35,EJ23+EI24-ER23,IF(A24&lt;'Données projet'!$A$192,$EG$205^A24,IF(A24='Données projet'!$A$192,'Données projet'!$B$192,EJ23+EI24-ER23)))</f>
        <v>81.5</v>
      </c>
      <c r="EK24" s="17">
        <f>EJ24*VLOOKUP('Données projet'!$B$15,Paramètres!$A$1:$I$89,3,0)*VLOOKUP('Données projet'!$B$15,Paramètres!$A$1:$I$89,5,0)</f>
        <v>54.670200000000001</v>
      </c>
      <c r="EL24" s="13">
        <f t="shared" si="45"/>
        <v>15.813519935295519</v>
      </c>
      <c r="EM24" s="20">
        <f t="shared" si="19"/>
        <v>122.75914555397303</v>
      </c>
      <c r="EN24" s="59">
        <f t="shared" si="20"/>
        <v>416.09247888730636</v>
      </c>
      <c r="EO24" s="59">
        <f ca="1">AVERAGE(OFFSET($EN$3,0,0,'Données projet'!$E$15+1,1))-AVERAGE(OFFSET($H$3,0,0,'Données projet'!$E$15+1,1))</f>
        <v>207.93042467236967</v>
      </c>
      <c r="EP24" s="59">
        <f t="shared" si="46"/>
        <v>250.70954318710835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6.3778791718327668</v>
      </c>
      <c r="EX24" s="21">
        <f>EXP(-LN(2)/2)*EX23+(1-EXP(-LN(2)/2))/(LN(2)/2)*ER24*EU24*VLOOKUP('Données projet'!$B$15,Paramètres!$A$1:$I$89,3,0)*0.475*44/12</f>
        <v>7.4963034875901222</v>
      </c>
      <c r="EY24" s="22">
        <f t="shared" si="21"/>
        <v>13.874182659422889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4.0628205128205126</v>
      </c>
      <c r="FE24" s="12">
        <f>IF('Données projet'!$A$218&gt;35,FE23+FD24-FM23,IF(A24&lt;'Données projet'!$A$218,$FB$205^A24,IF(A24='Données projet'!$A$218,'Données projet'!$B$218,FE23+FD24-FM23)))</f>
        <v>28.851222752799568</v>
      </c>
      <c r="FF24" s="17">
        <f>FE24*VLOOKUP('Données projet'!$B$16,Paramètres!$A$1:$I$89,3,0)*VLOOKUP('Données projet'!$B$16,Paramètres!$A$1:$I$89,5,0)</f>
        <v>31.055456171113452</v>
      </c>
      <c r="FG24" s="13">
        <f t="shared" si="47"/>
        <v>9.5941195267184156</v>
      </c>
      <c r="FH24" s="20">
        <f t="shared" si="22"/>
        <v>70.798011007057156</v>
      </c>
      <c r="FI24" s="59">
        <f t="shared" si="23"/>
        <v>364.13134434039046</v>
      </c>
      <c r="FJ24" s="59">
        <f ca="1">AVERAGE(OFFSET($FI$3,0,0,'Données projet'!$E$16+1,1))-AVERAGE(OFFSET($H$3,0,0,'Données projet'!$E$16+1,1))</f>
        <v>286.77702855541287</v>
      </c>
      <c r="FK24" s="59">
        <f t="shared" si="48"/>
        <v>227.12211541860779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4.9084615384615384</v>
      </c>
      <c r="FZ24" s="12">
        <f>IF('Données projet'!$A$244&gt;35,FZ23+FY24-GH23,IF(A24&lt;'Données projet'!$A$244,$FW$205^A24,IF(A24='Données projet'!$A$244,'Données projet'!$B$244,FZ23+FY24-GH23)))</f>
        <v>32.934164692174789</v>
      </c>
      <c r="GA24" s="17">
        <f>FZ24*VLOOKUP('Données projet'!$B$17,Paramètres!$A$1:$I$89,3,0)*VLOOKUP('Données projet'!$B$17,Paramètres!$A$1:$I$89,5,0)</f>
        <v>15.413189075937803</v>
      </c>
      <c r="GB24" s="13">
        <f t="shared" si="49"/>
        <v>5.166231738662507</v>
      </c>
      <c r="GC24" s="20">
        <f t="shared" si="25"/>
        <v>35.842491252095542</v>
      </c>
      <c r="GD24" s="59">
        <f t="shared" si="26"/>
        <v>329.17582458542887</v>
      </c>
      <c r="GE24" s="59">
        <f ca="1">AVERAGE(OFFSET($GD$3,0,0,'Données projet'!$E$17+1,1))-AVERAGE(OFFSET($H$3,0,0,'Données projet'!$E$17+1,1))</f>
        <v>123.2823358462245</v>
      </c>
      <c r="GF24" s="59">
        <f t="shared" si="50"/>
        <v>92.75115399786057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0</v>
      </c>
      <c r="GN24" s="21">
        <f>EXP(-LN(2)/2)*GN23+(1-EXP(-LN(2)/2))/(LN(2)/2)*GH24*GK24*VLOOKUP('Données projet'!$B$17,Paramètres!$A$1:$I$89,3,0)*0.475*44/12</f>
        <v>0</v>
      </c>
      <c r="GO24" s="21">
        <f t="shared" si="27"/>
        <v>0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14.926923076923075</v>
      </c>
      <c r="GU24" s="12">
        <f>IF('Données projet'!$A$270&gt;35,GU23+GT24-HC23,IF(A24&lt;'Données projet'!$A$270,$GR$205^A24,IF(A24='Données projet'!$A$270,'Données projet'!$B$270,GU23+GT24-HC23)))</f>
        <v>143.95384615384614</v>
      </c>
      <c r="GV24" s="17">
        <f>GU24*VLOOKUP('Données projet'!$B$18,Paramètres!$A$1:$I$89,3,0)*VLOOKUP('Données projet'!$B$18,Paramètres!$A$1:$I$89,5,0)</f>
        <v>86.084400000000002</v>
      </c>
      <c r="GW24" s="13">
        <f t="shared" si="51"/>
        <v>23.618445758177199</v>
      </c>
      <c r="GX24" s="20">
        <f t="shared" si="28"/>
        <v>191.06578969549196</v>
      </c>
      <c r="GY24" s="59">
        <f t="shared" si="29"/>
        <v>484.39912302882527</v>
      </c>
      <c r="GZ24" s="59">
        <f ca="1">AVERAGE(OFFSET($GY$3,0,0,'Données projet'!$E$18+1,1))-AVERAGE(OFFSET($H$3,0,0,'Données projet'!$E$18+1,1))</f>
        <v>171.96009656745713</v>
      </c>
      <c r="HA24" s="59">
        <f t="shared" si="52"/>
        <v>172.37574906747716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>
        <f>EXP(-LN(2)/35)*HG23+(1-EXP(-LN(2)/35))/(LN(2)/35)*HC24*HD24*VLOOKUP('Données projet'!$B$18,Paramètres!$A$1:$I$89,3,0)*0.475*44/12</f>
        <v>0</v>
      </c>
      <c r="HH24" s="21">
        <f>EXP(-LN(2)/25)*HH23+(1-EXP(-LN(2)/25))/(LN(2)/25)*Calculateur!HC24*Calculateur!HE24*VLOOKUP('Données projet'!$B$18,Paramètres!$A$1:$I$89,3,0)*0.475*44/12</f>
        <v>6.6966447943880016</v>
      </c>
      <c r="HI24" s="21">
        <f>EXP(-LN(2)/2)*HI23+(1-EXP(-LN(2)/2))/(LN(2)/2)*HC24*HF24*VLOOKUP('Données projet'!$B$18,Paramètres!$A$1:$I$89,3,0)*0.475*44/12</f>
        <v>3.5618046673661952</v>
      </c>
      <c r="HJ24" s="22">
        <f t="shared" si="30"/>
        <v>10.258449461754196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20.658974358974358</v>
      </c>
      <c r="N25" s="13">
        <f>IF('Données projet'!$A$36&gt;35,N24+M25-V24,IF(A25&lt;'Données projet'!$A$36,$K$205^A25,IF(A25='Données projet'!$A$36,'Données projet'!$B$36,N24+M25-V24)))</f>
        <v>196.24358974358969</v>
      </c>
      <c r="O25" s="13">
        <f>N25*VLOOKUP('Données projet'!$B$9,Paramètres!$A$1:$I$89,3,0)*VLOOKUP('Données projet'!$B$9,Paramètres!$A$1:$I$89,5,0)</f>
        <v>109.70016666666663</v>
      </c>
      <c r="P25" s="13">
        <f t="shared" si="33"/>
        <v>29.260330282475415</v>
      </c>
      <c r="Q25" s="20">
        <f t="shared" si="2"/>
        <v>242.02286551975575</v>
      </c>
      <c r="R25" s="59">
        <f t="shared" si="0"/>
        <v>535.35619885308904</v>
      </c>
      <c r="S25" s="59">
        <f ca="1">AVERAGE(OFFSET($R$3,0,0,'Données projet'!$E$9+1,1))-AVERAGE(OFFSET($H$3,0,0,'Données projet'!$E$9+1,1))</f>
        <v>255.5374979188561</v>
      </c>
      <c r="T25" s="59">
        <f t="shared" si="34"/>
        <v>343.10418468620901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12.5959669123291</v>
      </c>
      <c r="AB25" s="21">
        <f>EXP(-LN(2)/2)*AB24+(1-EXP(-LN(2)/2))/(LN(2)/2)*V25*Y25*VLOOKUP('Données projet'!$B$9,Paramètres!$A$1:$I$89,3,0)*0.475*44/12</f>
        <v>5.4814337633037225</v>
      </c>
      <c r="AC25" s="22">
        <f t="shared" si="3"/>
        <v>18.077400675632823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7.2264102564102561</v>
      </c>
      <c r="AI25" s="13">
        <f>IF('Données projet'!$A$62&gt;35,AI24+AH25-AQ24,IF(A25&lt;'Données projet'!$A$62,$AF$205^A25,IF(A25='Données projet'!$A$62,'Données projet'!$B$62,AI24+AH25-AQ24)))</f>
        <v>51.653390873361616</v>
      </c>
      <c r="AJ25" s="13">
        <f>AI25*VLOOKUP('Données projet'!$B$10,Paramètres!$A$1:$I$89,3,0)*VLOOKUP('Données projet'!$B$10,Paramètres!$A$1:$I$89,5,0)</f>
        <v>24.173786928733236</v>
      </c>
      <c r="AK25" s="13">
        <f t="shared" si="35"/>
        <v>7.6890986491341353</v>
      </c>
      <c r="AL25" s="20">
        <f t="shared" si="4"/>
        <v>55.494525714785674</v>
      </c>
      <c r="AM25" s="59">
        <f t="shared" si="5"/>
        <v>348.82785904811897</v>
      </c>
      <c r="AN25" s="59">
        <f ca="1">AVERAGE(OFFSET($AM$3,0,0,'Données projet'!$E$10+1,1))-AVERAGE(OFFSET($H$3,0,0,'Données projet'!$E$10+1,1))</f>
        <v>158.58786357608489</v>
      </c>
      <c r="AO25" s="59">
        <f t="shared" si="36"/>
        <v>163.20074068819849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19.071794871794875</v>
      </c>
      <c r="BD25" s="12">
        <f>IF('Données projet'!$A$88&gt;35,BD24+BC25-BL24,IF(A25&lt;'Données projet'!$A$88,$BA$205^A25,IF(A25='Données projet'!$A$88,'Données projet'!$B$88,BD24+BC25-BL24)))</f>
        <v>173.12820512820514</v>
      </c>
      <c r="BE25" s="13">
        <f>BD25*VLOOKUP('Données projet'!$B$11,Paramètres!$A$1:$I$89,3,0)*VLOOKUP('Données projet'!$B$11,Paramètres!$A$1:$I$89,5,0)</f>
        <v>103.53066666666668</v>
      </c>
      <c r="BF25" s="13">
        <f t="shared" si="37"/>
        <v>27.80142408921413</v>
      </c>
      <c r="BG25" s="20">
        <f t="shared" si="7"/>
        <v>228.73672473315909</v>
      </c>
      <c r="BH25" s="59">
        <f t="shared" si="8"/>
        <v>522.07005806649238</v>
      </c>
      <c r="BI25" s="59">
        <f ca="1">AVERAGE(OFFSET($BH$3,0,0,'Données projet'!$E$11+1,1))-AVERAGE(OFFSET($H$3,0,0,'Données projet'!$E$11+1,1))</f>
        <v>243.85350804244348</v>
      </c>
      <c r="BJ25" s="59">
        <f t="shared" si="38"/>
        <v>304.60992308960545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1.6717643004642748</v>
      </c>
      <c r="BQ25" s="21">
        <f>EXP(-LN(2)/25)*BQ24+(1-EXP(-LN(2)/25))/(LN(2)/25)*Calculateur!BL25*Calculateur!BN25*VLOOKUP('Données projet'!$B$11,Paramètres!$A$1:$I$89,3,0)*0.475*44/12</f>
        <v>14.665164346101804</v>
      </c>
      <c r="BR25" s="21">
        <f>EXP(-LN(2)/2)*BR24+(1-EXP(-LN(2)/2))/(LN(2)/2)*BL25*BO25*VLOOKUP('Données projet'!$B$11,Paramètres!$A$1:$I$89,3,0)*0.475*44/12</f>
        <v>8.9122573689205655</v>
      </c>
      <c r="BS25" s="22">
        <f t="shared" si="9"/>
        <v>25.249186015486643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13.3</v>
      </c>
      <c r="BY25" s="12">
        <f>IF('Données projet'!$A$114&gt;35,BY24+BX25-CG24,IF(A25&lt;'Données projet'!$A$114,$BV$205^A25,IF(A25='Données projet'!$A$114,'Données projet'!$B$114,BY24+BX25-CG24)))</f>
        <v>93.6</v>
      </c>
      <c r="BZ25" s="13">
        <f>BY25*VLOOKUP('Données projet'!$B$12,Paramètres!$A$1:$I$89,3,0)*VLOOKUP('Données projet'!$B$12,Paramètres!$A$1:$I$89,5,0)</f>
        <v>55.972799999999999</v>
      </c>
      <c r="CA25" s="13">
        <f t="shared" si="39"/>
        <v>16.145985978099571</v>
      </c>
      <c r="CB25" s="20">
        <f t="shared" si="10"/>
        <v>125.6068855785234</v>
      </c>
      <c r="CC25" s="59">
        <f t="shared" si="11"/>
        <v>418.94021891185673</v>
      </c>
      <c r="CD25" s="59">
        <f ca="1">AVERAGE(OFFSET($CC$3,0,0,'Données projet'!$E$12+1,1))-AVERAGE(OFFSET($H$3,0,0,'Données projet'!$E$12+1,1))</f>
        <v>270.30888762640245</v>
      </c>
      <c r="CE25" s="59">
        <f t="shared" si="40"/>
        <v>202.23783851977691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3.3639249375139624</v>
      </c>
      <c r="CM25" s="21">
        <f>EXP(-LN(2)/2)*CM24+(1-EXP(-LN(2)/2))/(LN(2)/2)*CG25*CJ25*VLOOKUP('Données projet'!$B$12,Paramètres!$A$1:$I$89,3,0)*0.475*44/12</f>
        <v>3.3853745696041333</v>
      </c>
      <c r="CN25" s="22">
        <f t="shared" si="12"/>
        <v>6.7492995071180957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14.5</v>
      </c>
      <c r="CT25" s="12">
        <f>IF('Données projet'!$A$140&gt;35,CT24+CS25-DB24,IF(A25&lt;'Données projet'!$A$140,$CQ$205^A25,IF(A25='Données projet'!$A$140,'Données projet'!$B$140,CT24+CS25-DB24)))</f>
        <v>96</v>
      </c>
      <c r="CU25" s="17">
        <f>CT25*VLOOKUP('Données projet'!$B$13,Paramètres!$A$1:$I$89,3,0)*VLOOKUP('Données projet'!$B$13,Paramètres!$A$1:$I$89,5,0)</f>
        <v>76.377600000000001</v>
      </c>
      <c r="CV25" s="13">
        <f t="shared" si="41"/>
        <v>21.249114127498419</v>
      </c>
      <c r="CW25" s="20">
        <f t="shared" si="13"/>
        <v>170.03319377205972</v>
      </c>
      <c r="CX25" s="59">
        <f t="shared" si="14"/>
        <v>463.36652710539306</v>
      </c>
      <c r="CY25" s="59">
        <f ca="1">AVERAGE(OFFSET($CX$3,0,0,'Données projet'!$E$13+1,1))-AVERAGE(OFFSET($H$3,0,0,'Données projet'!$E$13+1,1))</f>
        <v>260.20517190557814</v>
      </c>
      <c r="CZ25" s="59">
        <f t="shared" si="42"/>
        <v>307.22009971147133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7.357610750105267</v>
      </c>
      <c r="DH25" s="21">
        <f>EXP(-LN(2)/2)*DH24+(1-EXP(-LN(2)/2))/(LN(2)/2)*DB25*DE25*VLOOKUP('Données projet'!$B$13,Paramètres!$A$1:$I$89,3,0)*0.475*44/12</f>
        <v>6.2868613610528934</v>
      </c>
      <c r="DI25" s="22">
        <f t="shared" si="15"/>
        <v>13.64447211115816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4.0628205128205126</v>
      </c>
      <c r="DO25" s="12">
        <f>IF('Données projet'!$A$166&gt;35,DO24+DN25-DW24,IF(A25&lt;'Données projet'!$A$166,$DL$205^A25,IF(A25='Données projet'!$A$166,'Données projet'!$B$166,DO24+DN25-DW24)))</f>
        <v>33.860693883812012</v>
      </c>
      <c r="DP25" s="17">
        <f>DO25*VLOOKUP('Données projet'!$B$14,Paramètres!$A$1:$I$89,3,0)*VLOOKUP('Données projet'!$B$14,Paramètres!$A$1:$I$89,5,0)</f>
        <v>34.334743598185383</v>
      </c>
      <c r="DQ25" s="13">
        <f t="shared" si="43"/>
        <v>10.48398662234813</v>
      </c>
      <c r="DR25" s="20">
        <f t="shared" si="16"/>
        <v>78.059288467429198</v>
      </c>
      <c r="DS25" s="59">
        <f t="shared" si="17"/>
        <v>371.39262180076253</v>
      </c>
      <c r="DT25" s="59">
        <f ca="1">AVERAGE(OFFSET($DS$3,0,0,'Données projet'!$E$14+1,1))-AVERAGE(OFFSET($H$3,0,0,'Données projet'!$E$14+1,1))</f>
        <v>263.15518481854753</v>
      </c>
      <c r="DU25" s="59">
        <f t="shared" si="44"/>
        <v>210.80755370263819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14.5</v>
      </c>
      <c r="EJ25" s="12">
        <f>IF('Données projet'!$A$192&gt;35,EJ24+EI25-ER24,IF(A25&lt;'Données projet'!$A$192,$EG$205^A25,IF(A25='Données projet'!$A$192,'Données projet'!$B$192,EJ24+EI25-ER24)))</f>
        <v>96</v>
      </c>
      <c r="EK25" s="17">
        <f>EJ25*VLOOKUP('Données projet'!$B$15,Paramètres!$A$1:$I$89,3,0)*VLOOKUP('Données projet'!$B$15,Paramètres!$A$1:$I$89,5,0)</f>
        <v>64.396799999999999</v>
      </c>
      <c r="EL25" s="13">
        <f t="shared" si="45"/>
        <v>18.275301428499329</v>
      </c>
      <c r="EM25" s="20">
        <f t="shared" si="19"/>
        <v>143.987243321303</v>
      </c>
      <c r="EN25" s="59">
        <f t="shared" si="20"/>
        <v>437.32057665463628</v>
      </c>
      <c r="EO25" s="59">
        <f ca="1">AVERAGE(OFFSET($EN$3,0,0,'Données projet'!$E$15+1,1))-AVERAGE(OFFSET($H$3,0,0,'Données projet'!$E$15+1,1))</f>
        <v>207.93042467236967</v>
      </c>
      <c r="EP25" s="59">
        <f t="shared" si="46"/>
        <v>250.70954318710835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6.2034757304809114</v>
      </c>
      <c r="EX25" s="21">
        <f>EXP(-LN(2)/2)*EX24+(1-EXP(-LN(2)/2))/(LN(2)/2)*ER25*EU25*VLOOKUP('Données projet'!$B$15,Paramètres!$A$1:$I$89,3,0)*0.475*44/12</f>
        <v>5.3006870299073423</v>
      </c>
      <c r="EY25" s="22">
        <f t="shared" si="21"/>
        <v>11.504162760388255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4.0628205128205126</v>
      </c>
      <c r="FE25" s="12">
        <f>IF('Données projet'!$A$218&gt;35,FE24+FD25-FM24,IF(A25&lt;'Données projet'!$A$218,$FB$205^A25,IF(A25='Données projet'!$A$218,'Données projet'!$B$218,FE24+FD25-FM24)))</f>
        <v>33.860693883812012</v>
      </c>
      <c r="FF25" s="17">
        <f>FE25*VLOOKUP('Données projet'!$B$16,Paramètres!$A$1:$I$89,3,0)*VLOOKUP('Données projet'!$B$16,Paramètres!$A$1:$I$89,5,0)</f>
        <v>36.447650896535251</v>
      </c>
      <c r="FG25" s="13">
        <f t="shared" si="47"/>
        <v>11.052060987038981</v>
      </c>
      <c r="FH25" s="20">
        <f t="shared" si="22"/>
        <v>82.728664863891794</v>
      </c>
      <c r="FI25" s="59">
        <f t="shared" si="23"/>
        <v>376.06199819722508</v>
      </c>
      <c r="FJ25" s="59">
        <f ca="1">AVERAGE(OFFSET($FI$3,0,0,'Données projet'!$E$16+1,1))-AVERAGE(OFFSET($H$3,0,0,'Données projet'!$E$16+1,1))</f>
        <v>286.77702855541287</v>
      </c>
      <c r="FK25" s="59">
        <f t="shared" si="48"/>
        <v>227.12211541860779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4.9084615384615384</v>
      </c>
      <c r="FZ25" s="12">
        <f>IF('Données projet'!$A$244&gt;35,FZ24+FY25-GH24,IF(A25&lt;'Données projet'!$A$244,$FW$205^A25,IF(A25='Données projet'!$A$244,'Données projet'!$B$244,FZ24+FY25-GH24)))</f>
        <v>38.896949331432715</v>
      </c>
      <c r="GA25" s="17">
        <f>FZ25*VLOOKUP('Données projet'!$B$17,Paramètres!$A$1:$I$89,3,0)*VLOOKUP('Données projet'!$B$17,Paramètres!$A$1:$I$89,5,0)</f>
        <v>18.20377228711051</v>
      </c>
      <c r="GB25" s="13">
        <f t="shared" si="49"/>
        <v>5.9845386042761088</v>
      </c>
      <c r="GC25" s="20">
        <f t="shared" si="25"/>
        <v>42.127974802498365</v>
      </c>
      <c r="GD25" s="59">
        <f t="shared" si="26"/>
        <v>335.4613081358317</v>
      </c>
      <c r="GE25" s="59">
        <f ca="1">AVERAGE(OFFSET($GD$3,0,0,'Données projet'!$E$17+1,1))-AVERAGE(OFFSET($H$3,0,0,'Données projet'!$E$17+1,1))</f>
        <v>123.2823358462245</v>
      </c>
      <c r="GF25" s="59">
        <f t="shared" si="50"/>
        <v>92.75115399786057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0</v>
      </c>
      <c r="GN25" s="21">
        <f>EXP(-LN(2)/2)*GN24+(1-EXP(-LN(2)/2))/(LN(2)/2)*GH25*GK25*VLOOKUP('Données projet'!$B$17,Paramètres!$A$1:$I$89,3,0)*0.475*44/12</f>
        <v>0</v>
      </c>
      <c r="GO25" s="21">
        <f t="shared" si="27"/>
        <v>0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14.926923076923075</v>
      </c>
      <c r="GU25" s="12">
        <f>IF('Données projet'!$A$270&gt;35,GU24+GT25-HC24,IF(A25&lt;'Données projet'!$A$270,$GR$205^A25,IF(A25='Données projet'!$A$270,'Données projet'!$B$270,GU24+GT25-HC24)))</f>
        <v>158.8807692307692</v>
      </c>
      <c r="GV25" s="17">
        <f>GU25*VLOOKUP('Données projet'!$B$18,Paramètres!$A$1:$I$89,3,0)*VLOOKUP('Données projet'!$B$18,Paramètres!$A$1:$I$89,5,0)</f>
        <v>95.0107</v>
      </c>
      <c r="GW25" s="13">
        <f t="shared" si="51"/>
        <v>25.769848277327686</v>
      </c>
      <c r="GX25" s="20">
        <f t="shared" si="28"/>
        <v>210.3594549163457</v>
      </c>
      <c r="GY25" s="59">
        <f t="shared" si="29"/>
        <v>503.69278824967898</v>
      </c>
      <c r="GZ25" s="59">
        <f ca="1">AVERAGE(OFFSET($GY$3,0,0,'Données projet'!$E$18+1,1))-AVERAGE(OFFSET($H$3,0,0,'Données projet'!$E$18+1,1))</f>
        <v>171.96009656745713</v>
      </c>
      <c r="HA25" s="59">
        <f t="shared" si="52"/>
        <v>172.37574906747716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>
        <f>EXP(-LN(2)/35)*HG24+(1-EXP(-LN(2)/35))/(LN(2)/35)*HC25*HD25*VLOOKUP('Données projet'!$B$18,Paramètres!$A$1:$I$89,3,0)*0.475*44/12</f>
        <v>0</v>
      </c>
      <c r="HH25" s="21">
        <f>EXP(-LN(2)/25)*HH24+(1-EXP(-LN(2)/25))/(LN(2)/25)*Calculateur!HC25*Calculateur!HE25*VLOOKUP('Données projet'!$B$18,Paramètres!$A$1:$I$89,3,0)*0.475*44/12</f>
        <v>6.5135246903242177</v>
      </c>
      <c r="HI25" s="21">
        <f>EXP(-LN(2)/2)*HI24+(1-EXP(-LN(2)/2))/(LN(2)/2)*HC25*HF25*VLOOKUP('Données projet'!$B$18,Paramètres!$A$1:$I$89,3,0)*0.475*44/12</f>
        <v>2.5185762335565318</v>
      </c>
      <c r="HJ25" s="22">
        <f t="shared" si="30"/>
        <v>9.0321009238807495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20.658974358974358</v>
      </c>
      <c r="N26" s="13">
        <f>IF('Données projet'!$A$36&gt;35,N25+M26-V25,IF(A26&lt;'Données projet'!$A$36,$K$205^A26,IF(A26='Données projet'!$A$36,'Données projet'!$B$36,N25+M26-V25)))</f>
        <v>216.90256410256404</v>
      </c>
      <c r="O26" s="13">
        <f>N26*VLOOKUP('Données projet'!$B$9,Paramètres!$A$1:$I$89,3,0)*VLOOKUP('Données projet'!$B$9,Paramètres!$A$1:$I$89,5,0)</f>
        <v>121.2485333333333</v>
      </c>
      <c r="P26" s="13">
        <f t="shared" si="33"/>
        <v>31.966023537079113</v>
      </c>
      <c r="Q26" s="20">
        <f t="shared" si="2"/>
        <v>266.84868654930165</v>
      </c>
      <c r="R26" s="59">
        <f t="shared" si="0"/>
        <v>560.1820198826349</v>
      </c>
      <c r="S26" s="59">
        <f ca="1">AVERAGE(OFFSET($R$3,0,0,'Données projet'!$E$9+1,1))-AVERAGE(OFFSET($H$3,0,0,'Données projet'!$E$9+1,1))</f>
        <v>255.5374979188561</v>
      </c>
      <c r="T26" s="59">
        <f t="shared" si="34"/>
        <v>343.10418468620901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12.251529534718349</v>
      </c>
      <c r="AB26" s="21">
        <f>EXP(-LN(2)/2)*AB25+(1-EXP(-LN(2)/2))/(LN(2)/2)*V26*Y26*VLOOKUP('Données projet'!$B$9,Paramètres!$A$1:$I$89,3,0)*0.475*44/12</f>
        <v>3.8759589846569593</v>
      </c>
      <c r="AC26" s="22">
        <f t="shared" si="3"/>
        <v>16.127488519375309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7.2264102564102561</v>
      </c>
      <c r="AI26" s="13">
        <f>IF('Données projet'!$A$62&gt;35,AI25+AH26-AQ25,IF(A26&lt;'Données projet'!$A$62,$AF$205^A26,IF(A26='Données projet'!$A$62,'Données projet'!$B$62,AI25+AH26-AQ25)))</f>
        <v>61.796939298472864</v>
      </c>
      <c r="AJ26" s="13">
        <f>AI26*VLOOKUP('Données projet'!$B$10,Paramètres!$A$1:$I$89,3,0)*VLOOKUP('Données projet'!$B$10,Paramètres!$A$1:$I$89,5,0)</f>
        <v>28.920967591685301</v>
      </c>
      <c r="AK26" s="13">
        <f t="shared" si="35"/>
        <v>9.0090648177637647</v>
      </c>
      <c r="AL26" s="20">
        <f t="shared" si="4"/>
        <v>66.061473113123796</v>
      </c>
      <c r="AM26" s="59">
        <f t="shared" si="5"/>
        <v>359.3948064464571</v>
      </c>
      <c r="AN26" s="59">
        <f ca="1">AVERAGE(OFFSET($AM$3,0,0,'Données projet'!$E$10+1,1))-AVERAGE(OFFSET($H$3,0,0,'Données projet'!$E$10+1,1))</f>
        <v>158.58786357608489</v>
      </c>
      <c r="AO26" s="59">
        <f t="shared" si="36"/>
        <v>163.20074068819849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19.071794871794875</v>
      </c>
      <c r="BD26" s="12">
        <f>IF('Données projet'!$A$88&gt;35,BD25+BC26-BL25,IF(A26&lt;'Données projet'!$A$88,$BA$205^A26,IF(A26='Données projet'!$A$88,'Données projet'!$B$88,BD25+BC26-BL25)))</f>
        <v>192.20000000000002</v>
      </c>
      <c r="BE26" s="13">
        <f>BD26*VLOOKUP('Données projet'!$B$11,Paramètres!$A$1:$I$89,3,0)*VLOOKUP('Données projet'!$B$11,Paramètres!$A$1:$I$89,5,0)</f>
        <v>114.93560000000001</v>
      </c>
      <c r="BF26" s="13">
        <f t="shared" si="37"/>
        <v>30.49086327624272</v>
      </c>
      <c r="BG26" s="20">
        <f t="shared" si="7"/>
        <v>253.28442353945601</v>
      </c>
      <c r="BH26" s="59">
        <f t="shared" si="8"/>
        <v>546.6177568727893</v>
      </c>
      <c r="BI26" s="59">
        <f ca="1">AVERAGE(OFFSET($BH$3,0,0,'Données projet'!$E$11+1,1))-AVERAGE(OFFSET($H$3,0,0,'Données projet'!$E$11+1,1))</f>
        <v>243.85350804244348</v>
      </c>
      <c r="BJ26" s="59">
        <f t="shared" si="38"/>
        <v>304.60992308960545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1.6389820222077092</v>
      </c>
      <c r="BQ26" s="21">
        <f>EXP(-LN(2)/25)*BQ25+(1-EXP(-LN(2)/25))/(LN(2)/25)*Calculateur!BL26*Calculateur!BN26*VLOOKUP('Données projet'!$B$11,Paramètres!$A$1:$I$89,3,0)*0.475*44/12</f>
        <v>14.264144655850174</v>
      </c>
      <c r="BR26" s="21">
        <f>EXP(-LN(2)/2)*BR25+(1-EXP(-LN(2)/2))/(LN(2)/2)*BL26*BO26*VLOOKUP('Données projet'!$B$11,Paramètres!$A$1:$I$89,3,0)*0.475*44/12</f>
        <v>6.3019176212435104</v>
      </c>
      <c r="BS26" s="22">
        <f t="shared" si="9"/>
        <v>22.205044299301395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13.3</v>
      </c>
      <c r="BY26" s="12">
        <f>IF('Données projet'!$A$114&gt;35,BY25+BX26-CG25,IF(A26&lt;'Données projet'!$A$114,$BV$205^A26,IF(A26='Données projet'!$A$114,'Données projet'!$B$114,BY25+BX26-CG25)))</f>
        <v>106.89999999999999</v>
      </c>
      <c r="BZ26" s="13">
        <f>BY26*VLOOKUP('Données projet'!$B$12,Paramètres!$A$1:$I$89,3,0)*VLOOKUP('Données projet'!$B$12,Paramètres!$A$1:$I$89,5,0)</f>
        <v>63.926200000000001</v>
      </c>
      <c r="CA26" s="13">
        <f t="shared" si="39"/>
        <v>18.157244068140116</v>
      </c>
      <c r="CB26" s="20">
        <f t="shared" si="10"/>
        <v>142.96199841867738</v>
      </c>
      <c r="CC26" s="59">
        <f t="shared" si="11"/>
        <v>436.29533175201072</v>
      </c>
      <c r="CD26" s="59">
        <f ca="1">AVERAGE(OFFSET($CC$3,0,0,'Données projet'!$E$12+1,1))-AVERAGE(OFFSET($H$3,0,0,'Données projet'!$E$12+1,1))</f>
        <v>270.30888762640245</v>
      </c>
      <c r="CE26" s="59">
        <f t="shared" si="40"/>
        <v>202.23783851977691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3.271938233196519</v>
      </c>
      <c r="CM26" s="21">
        <f>EXP(-LN(2)/2)*CM25+(1-EXP(-LN(2)/2))/(LN(2)/2)*CG26*CJ26*VLOOKUP('Données projet'!$B$12,Paramètres!$A$1:$I$89,3,0)*0.475*44/12</f>
        <v>2.3938213150235725</v>
      </c>
      <c r="CN26" s="22">
        <f t="shared" si="12"/>
        <v>5.6657595482200911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14.5</v>
      </c>
      <c r="CT26" s="12">
        <f>IF('Données projet'!$A$140&gt;35,CT25+CS26-DB25,IF(A26&lt;'Données projet'!$A$140,$CQ$205^A26,IF(A26='Données projet'!$A$140,'Données projet'!$B$140,CT25+CS26-DB25)))</f>
        <v>110.5</v>
      </c>
      <c r="CU26" s="17">
        <f>CT26*VLOOKUP('Données projet'!$B$13,Paramètres!$A$1:$I$89,3,0)*VLOOKUP('Données projet'!$B$13,Paramètres!$A$1:$I$89,5,0)</f>
        <v>87.913800000000009</v>
      </c>
      <c r="CV26" s="13">
        <f t="shared" si="41"/>
        <v>24.061399085756083</v>
      </c>
      <c r="CW26" s="20">
        <f t="shared" si="13"/>
        <v>195.02347174102519</v>
      </c>
      <c r="CX26" s="59">
        <f t="shared" si="14"/>
        <v>488.35680507435848</v>
      </c>
      <c r="CY26" s="59">
        <f ca="1">AVERAGE(OFFSET($CX$3,0,0,'Données projet'!$E$13+1,1))-AVERAGE(OFFSET($H$3,0,0,'Données projet'!$E$13+1,1))</f>
        <v>260.20517190557814</v>
      </c>
      <c r="CZ26" s="59">
        <f t="shared" si="42"/>
        <v>307.22009971147133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7.156416497223705</v>
      </c>
      <c r="DH26" s="21">
        <f>EXP(-LN(2)/2)*DH25+(1-EXP(-LN(2)/2))/(LN(2)/2)*DB26*DE26*VLOOKUP('Données projet'!$B$13,Paramètres!$A$1:$I$89,3,0)*0.475*44/12</f>
        <v>4.4454823007801894</v>
      </c>
      <c r="DI26" s="22">
        <f t="shared" si="15"/>
        <v>11.601898798003894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4.0628205128205126</v>
      </c>
      <c r="DO26" s="12">
        <f>IF('Données projet'!$A$166&gt;35,DO25+DN26-DW25,IF(A26&lt;'Données projet'!$A$166,$DL$205^A26,IF(A26='Données projet'!$A$166,'Données projet'!$B$166,DO25+DN26-DW25)))</f>
        <v>39.739965273463824</v>
      </c>
      <c r="DP26" s="17">
        <f>DO26*VLOOKUP('Données projet'!$B$14,Paramètres!$A$1:$I$89,3,0)*VLOOKUP('Données projet'!$B$14,Paramètres!$A$1:$I$89,5,0)</f>
        <v>40.29632478729232</v>
      </c>
      <c r="DQ26" s="13">
        <f t="shared" si="43"/>
        <v>12.077154054085931</v>
      </c>
      <c r="DR26" s="20">
        <f t="shared" si="16"/>
        <v>91.217142315400451</v>
      </c>
      <c r="DS26" s="59">
        <f t="shared" si="17"/>
        <v>384.55047564873377</v>
      </c>
      <c r="DT26" s="59">
        <f ca="1">AVERAGE(OFFSET($DS$3,0,0,'Données projet'!$E$14+1,1))-AVERAGE(OFFSET($H$3,0,0,'Données projet'!$E$14+1,1))</f>
        <v>263.15518481854753</v>
      </c>
      <c r="DU26" s="59">
        <f t="shared" si="44"/>
        <v>210.80755370263819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14.5</v>
      </c>
      <c r="EJ26" s="12">
        <f>IF('Données projet'!$A$192&gt;35,EJ25+EI26-ER25,IF(A26&lt;'Données projet'!$A$192,$EG$205^A26,IF(A26='Données projet'!$A$192,'Données projet'!$B$192,EJ25+EI26-ER25)))</f>
        <v>110.5</v>
      </c>
      <c r="EK26" s="17">
        <f>EJ26*VLOOKUP('Données projet'!$B$15,Paramètres!$A$1:$I$89,3,0)*VLOOKUP('Données projet'!$B$15,Paramètres!$A$1:$I$89,5,0)</f>
        <v>74.123400000000004</v>
      </c>
      <c r="EL26" s="13">
        <f t="shared" si="45"/>
        <v>20.694007215790624</v>
      </c>
      <c r="EM26" s="20">
        <f t="shared" si="19"/>
        <v>165.14031756750202</v>
      </c>
      <c r="EN26" s="59">
        <f t="shared" si="20"/>
        <v>458.47365090083531</v>
      </c>
      <c r="EO26" s="59">
        <f ca="1">AVERAGE(OFFSET($EN$3,0,0,'Données projet'!$E$15+1,1))-AVERAGE(OFFSET($H$3,0,0,'Données projet'!$E$15+1,1))</f>
        <v>207.93042467236967</v>
      </c>
      <c r="EP26" s="59">
        <f t="shared" si="46"/>
        <v>250.70954318710835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6.0338413604043009</v>
      </c>
      <c r="EX26" s="21">
        <f>EXP(-LN(2)/2)*EX25+(1-EXP(-LN(2)/2))/(LN(2)/2)*ER26*EU26*VLOOKUP('Données projet'!$B$15,Paramètres!$A$1:$I$89,3,0)*0.475*44/12</f>
        <v>3.748151743795062</v>
      </c>
      <c r="EY26" s="22">
        <f t="shared" si="21"/>
        <v>9.781993104199362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4.0628205128205126</v>
      </c>
      <c r="FE26" s="12">
        <f>IF('Données projet'!$A$218&gt;35,FE25+FD26-FM25,IF(A26&lt;'Données projet'!$A$218,$FB$205^A26,IF(A26='Données projet'!$A$218,'Données projet'!$B$218,FE25+FD26-FM25)))</f>
        <v>39.739965273463824</v>
      </c>
      <c r="FF26" s="17">
        <f>FE26*VLOOKUP('Données projet'!$B$16,Paramètres!$A$1:$I$89,3,0)*VLOOKUP('Données projet'!$B$16,Paramètres!$A$1:$I$89,5,0)</f>
        <v>42.776098620356457</v>
      </c>
      <c r="FG26" s="13">
        <f t="shared" si="47"/>
        <v>12.731554127615578</v>
      </c>
      <c r="FH26" s="20">
        <f t="shared" si="22"/>
        <v>96.67582853605127</v>
      </c>
      <c r="FI26" s="59">
        <f t="shared" si="23"/>
        <v>390.00916186938457</v>
      </c>
      <c r="FJ26" s="59">
        <f ca="1">AVERAGE(OFFSET($FI$3,0,0,'Données projet'!$E$16+1,1))-AVERAGE(OFFSET($H$3,0,0,'Données projet'!$E$16+1,1))</f>
        <v>286.77702855541287</v>
      </c>
      <c r="FK26" s="59">
        <f t="shared" si="48"/>
        <v>227.12211541860779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4.9084615384615384</v>
      </c>
      <c r="FZ26" s="12">
        <f>IF('Données projet'!$A$244&gt;35,FZ25+FY26-GH25,IF(A26&lt;'Données projet'!$A$244,$FW$205^A26,IF(A26='Données projet'!$A$244,'Données projet'!$B$244,FZ25+FY26-GH25)))</f>
        <v>45.939305928458197</v>
      </c>
      <c r="GA26" s="17">
        <f>FZ26*VLOOKUP('Données projet'!$B$17,Paramètres!$A$1:$I$89,3,0)*VLOOKUP('Données projet'!$B$17,Paramètres!$A$1:$I$89,5,0)</f>
        <v>21.499595174518436</v>
      </c>
      <c r="GB26" s="13">
        <f t="shared" si="49"/>
        <v>6.9324614376170377</v>
      </c>
      <c r="GC26" s="20">
        <f t="shared" si="25"/>
        <v>49.51916526613595</v>
      </c>
      <c r="GD26" s="59">
        <f t="shared" si="26"/>
        <v>342.85249859946924</v>
      </c>
      <c r="GE26" s="59">
        <f ca="1">AVERAGE(OFFSET($GD$3,0,0,'Données projet'!$E$17+1,1))-AVERAGE(OFFSET($H$3,0,0,'Données projet'!$E$17+1,1))</f>
        <v>123.2823358462245</v>
      </c>
      <c r="GF26" s="59">
        <f t="shared" si="50"/>
        <v>92.75115399786057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0</v>
      </c>
      <c r="GN26" s="21">
        <f>EXP(-LN(2)/2)*GN25+(1-EXP(-LN(2)/2))/(LN(2)/2)*GH26*GK26*VLOOKUP('Données projet'!$B$17,Paramètres!$A$1:$I$89,3,0)*0.475*44/12</f>
        <v>0</v>
      </c>
      <c r="GO26" s="21">
        <f t="shared" si="27"/>
        <v>0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>
        <f>VLOOKUP(A26,'Données projet'!$A$269:$I$289,2,0)</f>
        <v>173.80769230769229</v>
      </c>
      <c r="GS26" s="12">
        <f>VLOOKUP(A26,'Données projet'!$A$269:$I$289,9,0)</f>
        <v>14.926923076923075</v>
      </c>
      <c r="GT26" s="12">
        <f t="array" ref="GT26">INDEX(GS:GS,MIN(IF(ISNUMBER(GS26:GS222),ROW(GS26:GS222),"")))</f>
        <v>14.926923076923075</v>
      </c>
      <c r="GU26" s="12">
        <f>IF('Données projet'!$A$270&gt;35,GU25+GT26-HC25,IF(A26&lt;'Données projet'!$A$270,$GR$205^A26,IF(A26='Données projet'!$A$270,'Données projet'!$B$270,GU25+GT26-HC25)))</f>
        <v>173.80769230769226</v>
      </c>
      <c r="GV26" s="17">
        <f>GU26*VLOOKUP('Données projet'!$B$18,Paramètres!$A$1:$I$89,3,0)*VLOOKUP('Données projet'!$B$18,Paramètres!$A$1:$I$89,5,0)</f>
        <v>103.93699999999998</v>
      </c>
      <c r="GW26" s="13">
        <f t="shared" si="51"/>
        <v>27.897815230264825</v>
      </c>
      <c r="GX26" s="20">
        <f t="shared" si="28"/>
        <v>229.61230319271121</v>
      </c>
      <c r="GY26" s="59">
        <f t="shared" si="29"/>
        <v>522.9456365260445</v>
      </c>
      <c r="GZ26" s="59">
        <f ca="1">AVERAGE(OFFSET($GY$3,0,0,'Données projet'!$E$18+1,1))-AVERAGE(OFFSET($H$3,0,0,'Données projet'!$E$18+1,1))</f>
        <v>171.96009656745713</v>
      </c>
      <c r="HA26" s="59">
        <f t="shared" si="52"/>
        <v>172.37574906747716</v>
      </c>
      <c r="HB26" s="15">
        <f>IF(ISNA(VLOOKUP(A26,'Données projet'!$A$269:$I$289,3,0)),0,VLOOKUP(A26,'Données projet'!$A$269:$I$289,3,0))</f>
        <v>2</v>
      </c>
      <c r="HC26" s="15">
        <f>IF(ISNA(VLOOKUP(A26,'Données projet'!$A$269:$I$289,4,0)),0,VLOOKUP(A26,'Données projet'!$A$269:$I$289,4,0))</f>
        <v>54.099999999999994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0.22500000000000001</v>
      </c>
      <c r="HF26" s="16">
        <f>IF(ISNA(VLOOKUP(A26,'Données projet'!$A$269:$I$289,7,0)),0%,VLOOKUP(A26,'Données projet'!$A$269:$I$289,7,0))</f>
        <v>0.5</v>
      </c>
      <c r="HG26" s="21">
        <f>EXP(-LN(2)/35)*HG25+(1-EXP(-LN(2)/35))/(LN(2)/35)*HC26*HD26*VLOOKUP('Données projet'!$B$18,Paramètres!$A$1:$I$89,3,0)*0.475*44/12</f>
        <v>0</v>
      </c>
      <c r="HH26" s="21">
        <f>EXP(-LN(2)/25)*HH25+(1-EXP(-LN(2)/25))/(LN(2)/25)*Calculateur!HC26*Calculateur!HE26*VLOOKUP('Données projet'!$B$18,Paramètres!$A$1:$I$89,3,0)*0.475*44/12</f>
        <v>15.953659896191905</v>
      </c>
      <c r="HI26" s="21">
        <f>EXP(-LN(2)/2)*HI25+(1-EXP(-LN(2)/2))/(LN(2)/2)*HC26*HF26*VLOOKUP('Données projet'!$B$18,Paramètres!$A$1:$I$89,3,0)*0.475*44/12</f>
        <v>20.095778755241454</v>
      </c>
      <c r="HJ26" s="22">
        <f t="shared" si="30"/>
        <v>36.049438651433363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237.56153846153845</v>
      </c>
      <c r="L27" s="12">
        <f>VLOOKUP(A27,'Données projet'!$A$35:$I$55,9,0)</f>
        <v>20.658974358974358</v>
      </c>
      <c r="M27" s="12">
        <f t="array" ref="M27">INDEX(L:L,MIN(IF(ISNUMBER(L27:L223),ROW(L27:L223),"")))</f>
        <v>20.658974358974358</v>
      </c>
      <c r="N27" s="13">
        <f>IF('Données projet'!$A$36&gt;35,N26+M27-V26,IF(A27&lt;'Données projet'!$A$36,$K$205^A27,IF(A27='Données projet'!$A$36,'Données projet'!$B$36,N26+M27-V26)))</f>
        <v>237.56153846153839</v>
      </c>
      <c r="O27" s="13">
        <f>N27*VLOOKUP('Données projet'!$B$9,Paramètres!$A$1:$I$89,3,0)*VLOOKUP('Données projet'!$B$9,Paramètres!$A$1:$I$89,5,0)</f>
        <v>132.79689999999997</v>
      </c>
      <c r="P27" s="13">
        <f t="shared" si="33"/>
        <v>34.641837967861036</v>
      </c>
      <c r="Q27" s="20">
        <f t="shared" si="2"/>
        <v>291.62246862735793</v>
      </c>
      <c r="R27" s="59">
        <f t="shared" si="0"/>
        <v>584.95580196069125</v>
      </c>
      <c r="S27" s="59">
        <f ca="1">AVERAGE(OFFSET($R$3,0,0,'Données projet'!$E$9+1,1))-AVERAGE(OFFSET($H$3,0,0,'Données projet'!$E$9+1,1))</f>
        <v>255.5374979188561</v>
      </c>
      <c r="T27" s="59">
        <f t="shared" si="34"/>
        <v>343.10418468620901</v>
      </c>
      <c r="U27" s="15">
        <f>IF(ISNA(VLOOKUP(A27,'Données projet'!$A$35:$I$55,3,0)),0,VLOOKUP(A27,'Données projet'!$A$35:$I$55,3,0))</f>
        <v>2</v>
      </c>
      <c r="V27" s="15">
        <f>IF(ISNA(VLOOKUP(A27,'Données projet'!$A$35:$I$55,4,0)),0,VLOOKUP(A27,'Données projet'!$A$35:$I$55,4,0))</f>
        <v>42.661538461538463</v>
      </c>
      <c r="W27" s="16">
        <f>IF(ISNA(VLOOKUP(A27,'Données projet'!$A$35:$I$55,5,0)),0%,VLOOKUP(A27,'Données projet'!$A$35:$I$55,5,0)*VLOOKUP('Données projet'!$B$9,Paramètres!$A$1:$I$89,7,0))</f>
        <v>0.11000000000000001</v>
      </c>
      <c r="X27" s="16">
        <f>IF(ISNA(VLOOKUP(A27,'Données projet'!$A$35:$I$55,6,0)),0%,VLOOKUP(A27,'Données projet'!$A$35:$I$55,6,0)*VLOOKUP('Données projet'!$B$9,Paramètres!$A$1:$I$89,7,0))</f>
        <v>0.22000000000000003</v>
      </c>
      <c r="Y27" s="16">
        <f>IF(ISNA(VLOOKUP(A27,'Données projet'!$A$35:$I$55,7,0)),0%,VLOOKUP(A27,'Données projet'!$A$35:$I$55,7,0))</f>
        <v>0.4</v>
      </c>
      <c r="Z27" s="21">
        <f>EXP(-LN(2)/35)*Z26+(1-EXP(-LN(2)/35))/(LN(2)/35)*V27*W27*VLOOKUP('Données projet'!$B$9,Paramètres!$A$1:$I$89,3,0)*0.475*44/12</f>
        <v>3.4799208202474183</v>
      </c>
      <c r="AA27" s="21">
        <f>EXP(-LN(2)/25)*AA26+(1-EXP(-LN(2)/25))/(LN(2)/25)*Calculateur!V27*Calculateur!X27*VLOOKUP('Données projet'!$B$9,Paramètres!$A$1:$I$89,3,0)*0.475*44/12</f>
        <v>18.848948907360175</v>
      </c>
      <c r="AB27" s="21">
        <f>EXP(-LN(2)/2)*AB26+(1-EXP(-LN(2)/2))/(LN(2)/2)*V27*Y27*VLOOKUP('Données projet'!$B$9,Paramètres!$A$1:$I$89,3,0)*0.475*44/12</f>
        <v>13.541216635632523</v>
      </c>
      <c r="AC27" s="22">
        <f t="shared" si="3"/>
        <v>35.870086363240119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7.2264102564102561</v>
      </c>
      <c r="AI27" s="13">
        <f>IF('Données projet'!$A$62&gt;35,AI26+AH27-AQ26,IF(A27&lt;'Données projet'!$A$62,$AF$205^A27,IF(A27='Données projet'!$A$62,'Données projet'!$B$62,AI26+AH27-AQ26)))</f>
        <v>73.932449391789717</v>
      </c>
      <c r="AJ27" s="13">
        <f>AI27*VLOOKUP('Données projet'!$B$10,Paramètres!$A$1:$I$89,3,0)*VLOOKUP('Données projet'!$B$10,Paramètres!$A$1:$I$89,5,0)</f>
        <v>34.600386315357589</v>
      </c>
      <c r="AK27" s="13">
        <f t="shared" si="35"/>
        <v>10.555625905490055</v>
      </c>
      <c r="AL27" s="20">
        <f t="shared" si="4"/>
        <v>78.646721284642979</v>
      </c>
      <c r="AM27" s="59">
        <f t="shared" si="5"/>
        <v>371.98005461797629</v>
      </c>
      <c r="AN27" s="59">
        <f ca="1">AVERAGE(OFFSET($AM$3,0,0,'Données projet'!$E$10+1,1))-AVERAGE(OFFSET($H$3,0,0,'Données projet'!$E$10+1,1))</f>
        <v>158.58786357608489</v>
      </c>
      <c r="AO27" s="59">
        <f t="shared" si="36"/>
        <v>163.20074068819849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19.071794871794875</v>
      </c>
      <c r="BD27" s="12">
        <f>IF('Données projet'!$A$88&gt;35,BD26+BC27-BL26,IF(A27&lt;'Données projet'!$A$88,$BA$205^A27,IF(A27='Données projet'!$A$88,'Données projet'!$B$88,BD26+BC27-BL26)))</f>
        <v>211.2717948717949</v>
      </c>
      <c r="BE27" s="13">
        <f>BD27*VLOOKUP('Données projet'!$B$11,Paramètres!$A$1:$I$89,3,0)*VLOOKUP('Données projet'!$B$11,Paramètres!$A$1:$I$89,5,0)</f>
        <v>126.34053333333337</v>
      </c>
      <c r="BF27" s="13">
        <f t="shared" si="37"/>
        <v>33.149363946532553</v>
      </c>
      <c r="BG27" s="20">
        <f t="shared" si="7"/>
        <v>277.77823776243309</v>
      </c>
      <c r="BH27" s="59">
        <f t="shared" si="8"/>
        <v>571.11157109576641</v>
      </c>
      <c r="BI27" s="59">
        <f ca="1">AVERAGE(OFFSET($BH$3,0,0,'Données projet'!$E$11+1,1))-AVERAGE(OFFSET($H$3,0,0,'Données projet'!$E$11+1,1))</f>
        <v>243.85350804244348</v>
      </c>
      <c r="BJ27" s="59">
        <f t="shared" si="38"/>
        <v>304.60992308960545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1.6068425844325394</v>
      </c>
      <c r="BQ27" s="21">
        <f>EXP(-LN(2)/25)*BQ26+(1-EXP(-LN(2)/25))/(LN(2)/25)*Calculateur!BL27*Calculateur!BN27*VLOOKUP('Données projet'!$B$11,Paramètres!$A$1:$I$89,3,0)*0.475*44/12</f>
        <v>13.874090870117184</v>
      </c>
      <c r="BR27" s="21">
        <f>EXP(-LN(2)/2)*BR26+(1-EXP(-LN(2)/2))/(LN(2)/2)*BL27*BO27*VLOOKUP('Données projet'!$B$11,Paramètres!$A$1:$I$89,3,0)*0.475*44/12</f>
        <v>4.4561286844602837</v>
      </c>
      <c r="BS27" s="22">
        <f t="shared" si="9"/>
        <v>19.93706213901001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13.3</v>
      </c>
      <c r="BY27" s="12">
        <f>IF('Données projet'!$A$114&gt;35,BY26+BX27-CG26,IF(A27&lt;'Données projet'!$A$114,$BV$205^A27,IF(A27='Données projet'!$A$114,'Données projet'!$B$114,BY26+BX27-CG26)))</f>
        <v>120.19999999999999</v>
      </c>
      <c r="BZ27" s="13">
        <f>BY27*VLOOKUP('Données projet'!$B$12,Paramètres!$A$1:$I$89,3,0)*VLOOKUP('Données projet'!$B$12,Paramètres!$A$1:$I$89,5,0)</f>
        <v>71.879599999999996</v>
      </c>
      <c r="CA27" s="13">
        <f t="shared" si="39"/>
        <v>20.139506236095318</v>
      </c>
      <c r="CB27" s="20">
        <f t="shared" si="10"/>
        <v>160.26661002786599</v>
      </c>
      <c r="CC27" s="59">
        <f t="shared" si="11"/>
        <v>453.59994336119928</v>
      </c>
      <c r="CD27" s="59">
        <f ca="1">AVERAGE(OFFSET($CC$3,0,0,'Données projet'!$E$12+1,1))-AVERAGE(OFFSET($H$3,0,0,'Données projet'!$E$12+1,1))</f>
        <v>270.30888762640245</v>
      </c>
      <c r="CE27" s="59">
        <f t="shared" si="40"/>
        <v>202.23783851977691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3.1824669101460068</v>
      </c>
      <c r="CM27" s="21">
        <f>EXP(-LN(2)/2)*CM26+(1-EXP(-LN(2)/2))/(LN(2)/2)*CG27*CJ27*VLOOKUP('Données projet'!$B$12,Paramètres!$A$1:$I$89,3,0)*0.475*44/12</f>
        <v>1.6926872848020669</v>
      </c>
      <c r="CN27" s="22">
        <f t="shared" si="12"/>
        <v>4.8751541949480739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14.5</v>
      </c>
      <c r="CT27" s="12">
        <f>IF('Données projet'!$A$140&gt;35,CT26+CS27-DB26,IF(A27&lt;'Données projet'!$A$140,$CQ$205^A27,IF(A27='Données projet'!$A$140,'Données projet'!$B$140,CT26+CS27-DB26)))</f>
        <v>125</v>
      </c>
      <c r="CU27" s="17">
        <f>CT27*VLOOKUP('Données projet'!$B$13,Paramètres!$A$1:$I$89,3,0)*VLOOKUP('Données projet'!$B$13,Paramètres!$A$1:$I$89,5,0)</f>
        <v>99.45</v>
      </c>
      <c r="CV27" s="13">
        <f t="shared" si="41"/>
        <v>26.830925603893352</v>
      </c>
      <c r="CW27" s="20">
        <f t="shared" si="13"/>
        <v>219.93927876011423</v>
      </c>
      <c r="CX27" s="59">
        <f t="shared" si="14"/>
        <v>513.27261209344761</v>
      </c>
      <c r="CY27" s="59">
        <f ca="1">AVERAGE(OFFSET($CX$3,0,0,'Données projet'!$E$13+1,1))-AVERAGE(OFFSET($H$3,0,0,'Données projet'!$E$13+1,1))</f>
        <v>260.20517190557814</v>
      </c>
      <c r="CZ27" s="59">
        <f t="shared" si="42"/>
        <v>307.22009971147133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6.960723911767535</v>
      </c>
      <c r="DH27" s="21">
        <f>EXP(-LN(2)/2)*DH26+(1-EXP(-LN(2)/2))/(LN(2)/2)*DB27*DE27*VLOOKUP('Données projet'!$B$13,Paramètres!$A$1:$I$89,3,0)*0.475*44/12</f>
        <v>3.1434306805264476</v>
      </c>
      <c r="DI27" s="22">
        <f t="shared" si="15"/>
        <v>10.104154592293982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4.0628205128205126</v>
      </c>
      <c r="DO27" s="12">
        <f>IF('Données projet'!$A$166&gt;35,DO26+DN27-DW26,IF(A27&lt;'Données projet'!$A$166,$DL$205^A27,IF(A27='Données projet'!$A$166,'Données projet'!$B$166,DO26+DN27-DW26)))</f>
        <v>46.640061345320483</v>
      </c>
      <c r="DP27" s="17">
        <f>DO27*VLOOKUP('Données projet'!$B$14,Paramètres!$A$1:$I$89,3,0)*VLOOKUP('Données projet'!$B$14,Paramètres!$A$1:$I$89,5,0)</f>
        <v>47.293022204154973</v>
      </c>
      <c r="DQ27" s="13">
        <f t="shared" si="43"/>
        <v>13.912422373299071</v>
      </c>
      <c r="DR27" s="20">
        <f t="shared" si="16"/>
        <v>106.5994826390658</v>
      </c>
      <c r="DS27" s="59">
        <f t="shared" si="17"/>
        <v>399.93281597239911</v>
      </c>
      <c r="DT27" s="59">
        <f ca="1">AVERAGE(OFFSET($DS$3,0,0,'Données projet'!$E$14+1,1))-AVERAGE(OFFSET($H$3,0,0,'Données projet'!$E$14+1,1))</f>
        <v>263.15518481854753</v>
      </c>
      <c r="DU27" s="59">
        <f t="shared" si="44"/>
        <v>210.80755370263819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14.5</v>
      </c>
      <c r="EJ27" s="12">
        <f>IF('Données projet'!$A$192&gt;35,EJ26+EI27-ER26,IF(A27&lt;'Données projet'!$A$192,$EG$205^A27,IF(A27='Données projet'!$A$192,'Données projet'!$B$192,EJ26+EI27-ER26)))</f>
        <v>125</v>
      </c>
      <c r="EK27" s="17">
        <f>EJ27*VLOOKUP('Données projet'!$B$15,Paramètres!$A$1:$I$89,3,0)*VLOOKUP('Données projet'!$B$15,Paramètres!$A$1:$I$89,5,0)</f>
        <v>83.850000000000009</v>
      </c>
      <c r="EL27" s="13">
        <f t="shared" si="45"/>
        <v>23.075938604999987</v>
      </c>
      <c r="EM27" s="20">
        <f t="shared" si="19"/>
        <v>186.22934307037499</v>
      </c>
      <c r="EN27" s="59">
        <f t="shared" si="20"/>
        <v>479.56267640370834</v>
      </c>
      <c r="EO27" s="59">
        <f ca="1">AVERAGE(OFFSET($EN$3,0,0,'Données projet'!$E$15+1,1))-AVERAGE(OFFSET($H$3,0,0,'Données projet'!$E$15+1,1))</f>
        <v>207.93042467236967</v>
      </c>
      <c r="EP27" s="59">
        <f t="shared" si="46"/>
        <v>250.70954318710835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5.8688456510981188</v>
      </c>
      <c r="EX27" s="21">
        <f>EXP(-LN(2)/2)*EX26+(1-EXP(-LN(2)/2))/(LN(2)/2)*ER27*EU27*VLOOKUP('Données projet'!$B$15,Paramètres!$A$1:$I$89,3,0)*0.475*44/12</f>
        <v>2.6503435149536716</v>
      </c>
      <c r="EY27" s="22">
        <f t="shared" si="21"/>
        <v>8.51918916605179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4.0628205128205126</v>
      </c>
      <c r="FE27" s="12">
        <f>IF('Données projet'!$A$218&gt;35,FE26+FD27-FM26,IF(A27&lt;'Données projet'!$A$218,$FB$205^A27,IF(A27='Données projet'!$A$218,'Données projet'!$B$218,FE26+FD27-FM26)))</f>
        <v>46.640061345320483</v>
      </c>
      <c r="FF27" s="17">
        <f>FE27*VLOOKUP('Données projet'!$B$16,Paramètres!$A$1:$I$89,3,0)*VLOOKUP('Données projet'!$B$16,Paramètres!$A$1:$I$89,5,0)</f>
        <v>50.203362032102966</v>
      </c>
      <c r="FG27" s="13">
        <f t="shared" si="47"/>
        <v>14.666266381853569</v>
      </c>
      <c r="FH27" s="20">
        <f t="shared" si="22"/>
        <v>112.98126948764094</v>
      </c>
      <c r="FI27" s="59">
        <f t="shared" si="23"/>
        <v>406.31460282097424</v>
      </c>
      <c r="FJ27" s="59">
        <f ca="1">AVERAGE(OFFSET($FI$3,0,0,'Données projet'!$E$16+1,1))-AVERAGE(OFFSET($H$3,0,0,'Données projet'!$E$16+1,1))</f>
        <v>286.77702855541287</v>
      </c>
      <c r="FK27" s="59">
        <f t="shared" si="48"/>
        <v>227.12211541860779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4.9084615384615384</v>
      </c>
      <c r="FZ27" s="12">
        <f>IF('Données projet'!$A$244&gt;35,FZ26+FY27-GH26,IF(A27&lt;'Données projet'!$A$244,$FW$205^A27,IF(A27='Données projet'!$A$244,'Données projet'!$B$244,FZ26+FY27-GH26)))</f>
        <v>54.256692760299323</v>
      </c>
      <c r="GA27" s="17">
        <f>FZ27*VLOOKUP('Données projet'!$B$17,Paramètres!$A$1:$I$89,3,0)*VLOOKUP('Données projet'!$B$17,Paramètres!$A$1:$I$89,5,0)</f>
        <v>25.392132211820083</v>
      </c>
      <c r="GB27" s="13">
        <f t="shared" si="49"/>
        <v>8.0305307997692346</v>
      </c>
      <c r="GC27" s="20">
        <f t="shared" si="25"/>
        <v>58.211138078518069</v>
      </c>
      <c r="GD27" s="59">
        <f t="shared" si="26"/>
        <v>351.54447141185136</v>
      </c>
      <c r="GE27" s="59">
        <f ca="1">AVERAGE(OFFSET($GD$3,0,0,'Données projet'!$E$17+1,1))-AVERAGE(OFFSET($H$3,0,0,'Données projet'!$E$17+1,1))</f>
        <v>123.2823358462245</v>
      </c>
      <c r="GF27" s="59">
        <f t="shared" si="50"/>
        <v>92.75115399786057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0</v>
      </c>
      <c r="GN27" s="21">
        <f>EXP(-LN(2)/2)*GN26+(1-EXP(-LN(2)/2))/(LN(2)/2)*GH27*GK27*VLOOKUP('Données projet'!$B$17,Paramètres!$A$1:$I$89,3,0)*0.475*44/12</f>
        <v>0</v>
      </c>
      <c r="GO27" s="21">
        <f t="shared" si="27"/>
        <v>0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15.073076923076925</v>
      </c>
      <c r="GU27" s="12">
        <f>IF('Données projet'!$A$270&gt;35,GU26+GT27-HC26,IF(A27&lt;'Données projet'!$A$270,$GR$205^A27,IF(A27='Données projet'!$A$270,'Données projet'!$B$270,GU26+GT27-HC26)))</f>
        <v>134.78076923076921</v>
      </c>
      <c r="GV27" s="17">
        <f>GU27*VLOOKUP('Données projet'!$B$18,Paramètres!$A$1:$I$89,3,0)*VLOOKUP('Données projet'!$B$18,Paramètres!$A$1:$I$89,5,0)</f>
        <v>80.598899999999986</v>
      </c>
      <c r="GW27" s="13">
        <f t="shared" si="51"/>
        <v>22.283554667877272</v>
      </c>
      <c r="GX27" s="20">
        <f t="shared" si="28"/>
        <v>179.18694187988618</v>
      </c>
      <c r="GY27" s="59">
        <f t="shared" si="29"/>
        <v>472.52027521321952</v>
      </c>
      <c r="GZ27" s="59">
        <f ca="1">AVERAGE(OFFSET($GY$3,0,0,'Données projet'!$E$18+1,1))-AVERAGE(OFFSET($H$3,0,0,'Données projet'!$E$18+1,1))</f>
        <v>171.96009656745713</v>
      </c>
      <c r="HA27" s="59">
        <f t="shared" si="52"/>
        <v>172.37574906747716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>
        <f>EXP(-LN(2)/35)*HG26+(1-EXP(-LN(2)/35))/(LN(2)/35)*HC27*HD27*VLOOKUP('Données projet'!$B$18,Paramètres!$A$1:$I$89,3,0)*0.475*44/12</f>
        <v>0</v>
      </c>
      <c r="HH27" s="21">
        <f>EXP(-LN(2)/25)*HH26+(1-EXP(-LN(2)/25))/(LN(2)/25)*Calculateur!HC27*Calculateur!HE27*VLOOKUP('Données projet'!$B$18,Paramètres!$A$1:$I$89,3,0)*0.475*44/12</f>
        <v>15.517406227364026</v>
      </c>
      <c r="HI27" s="21">
        <f>EXP(-LN(2)/2)*HI26+(1-EXP(-LN(2)/2))/(LN(2)/2)*HC27*HF27*VLOOKUP('Données projet'!$B$18,Paramètres!$A$1:$I$89,3,0)*0.475*44/12</f>
        <v>14.20986143105579</v>
      </c>
      <c r="HJ27" s="22">
        <f t="shared" si="30"/>
        <v>29.727267658419816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22.828205128205127</v>
      </c>
      <c r="N28" s="13">
        <f>IF('Données projet'!$A$36&gt;35,N27+M28-V27,IF(A28&lt;'Données projet'!$A$36,$K$205^A28,IF(A28='Données projet'!$A$36,'Données projet'!$B$36,N27+M28-V27)))</f>
        <v>217.72820512820502</v>
      </c>
      <c r="O28" s="13">
        <f>N28*VLOOKUP('Données projet'!$B$9,Paramètres!$A$1:$I$89,3,0)*VLOOKUP('Données projet'!$B$9,Paramètres!$A$1:$I$89,5,0)</f>
        <v>121.71006666666661</v>
      </c>
      <c r="P28" s="13">
        <f t="shared" si="33"/>
        <v>32.073515207801002</v>
      </c>
      <c r="Q28" s="20">
        <f t="shared" si="2"/>
        <v>267.83973843136442</v>
      </c>
      <c r="R28" s="59">
        <f t="shared" si="0"/>
        <v>561.17307176469774</v>
      </c>
      <c r="S28" s="59">
        <f ca="1">AVERAGE(OFFSET($R$3,0,0,'Données projet'!$E$9+1,1))-AVERAGE(OFFSET($H$3,0,0,'Données projet'!$E$9+1,1))</f>
        <v>255.5374979188561</v>
      </c>
      <c r="T28" s="59">
        <f t="shared" si="34"/>
        <v>343.10418468620901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3.4116816955044831</v>
      </c>
      <c r="AA28" s="21">
        <f>EXP(-LN(2)/25)*AA27+(1-EXP(-LN(2)/25))/(LN(2)/25)*Calculateur!V28*Calculateur!X28*VLOOKUP('Données projet'!$B$9,Paramètres!$A$1:$I$89,3,0)*0.475*44/12</f>
        <v>18.333523408265268</v>
      </c>
      <c r="AB28" s="21">
        <f>EXP(-LN(2)/2)*AB27+(1-EXP(-LN(2)/2))/(LN(2)/2)*V28*Y28*VLOOKUP('Données projet'!$B$9,Paramètres!$A$1:$I$89,3,0)*0.475*44/12</f>
        <v>9.5750861085718437</v>
      </c>
      <c r="AC28" s="22">
        <f t="shared" si="3"/>
        <v>31.320291212341594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7.2264102564102561</v>
      </c>
      <c r="AI28" s="13">
        <f>IF('Données projet'!$A$62&gt;35,AI27+AH28-AQ27,IF(A28&lt;'Données projet'!$A$62,$AF$205^A28,IF(A28='Données projet'!$A$62,'Données projet'!$B$62,AI27+AH28-AQ27)))</f>
        <v>88.451097014195071</v>
      </c>
      <c r="AJ28" s="13">
        <f>AI28*VLOOKUP('Données projet'!$B$10,Paramètres!$A$1:$I$89,3,0)*VLOOKUP('Données projet'!$B$10,Paramètres!$A$1:$I$89,5,0)</f>
        <v>41.39511340264329</v>
      </c>
      <c r="AK28" s="13">
        <f t="shared" si="35"/>
        <v>12.367680831528276</v>
      </c>
      <c r="AL28" s="20">
        <f t="shared" si="4"/>
        <v>93.636866624515463</v>
      </c>
      <c r="AM28" s="59">
        <f t="shared" si="5"/>
        <v>386.97019995784876</v>
      </c>
      <c r="AN28" s="59">
        <f ca="1">AVERAGE(OFFSET($AM$3,0,0,'Données projet'!$E$10+1,1))-AVERAGE(OFFSET($H$3,0,0,'Données projet'!$E$10+1,1))</f>
        <v>158.58786357608489</v>
      </c>
      <c r="AO28" s="59">
        <f t="shared" si="36"/>
        <v>163.20074068819849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19.071794871794875</v>
      </c>
      <c r="BD28" s="12">
        <f>IF('Données projet'!$A$88&gt;35,BD27+BC28-BL27,IF(A28&lt;'Données projet'!$A$88,$BA$205^A28,IF(A28='Données projet'!$A$88,'Données projet'!$B$88,BD27+BC28-BL27)))</f>
        <v>230.34358974358977</v>
      </c>
      <c r="BE28" s="13">
        <f>BD28*VLOOKUP('Données projet'!$B$11,Paramètres!$A$1:$I$89,3,0)*VLOOKUP('Données projet'!$B$11,Paramètres!$A$1:$I$89,5,0)</f>
        <v>137.74546666666669</v>
      </c>
      <c r="BF28" s="13">
        <f t="shared" si="37"/>
        <v>35.780036573255778</v>
      </c>
      <c r="BG28" s="20">
        <f t="shared" si="7"/>
        <v>302.22358480953159</v>
      </c>
      <c r="BH28" s="59">
        <f t="shared" si="8"/>
        <v>595.5569181428649</v>
      </c>
      <c r="BI28" s="59">
        <f ca="1">AVERAGE(OFFSET($BH$3,0,0,'Données projet'!$E$11+1,1))-AVERAGE(OFFSET($H$3,0,0,'Données projet'!$E$11+1,1))</f>
        <v>243.85350804244348</v>
      </c>
      <c r="BJ28" s="59">
        <f t="shared" si="38"/>
        <v>304.60992308960545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1.5753333814290191</v>
      </c>
      <c r="BQ28" s="21">
        <f>EXP(-LN(2)/25)*BQ27+(1-EXP(-LN(2)/25))/(LN(2)/25)*Calculateur!BL28*Calculateur!BN28*VLOOKUP('Données projet'!$B$11,Paramètres!$A$1:$I$89,3,0)*0.475*44/12</f>
        <v>13.494703125667101</v>
      </c>
      <c r="BR28" s="21">
        <f>EXP(-LN(2)/2)*BR27+(1-EXP(-LN(2)/2))/(LN(2)/2)*BL28*BO28*VLOOKUP('Données projet'!$B$11,Paramètres!$A$1:$I$89,3,0)*0.475*44/12</f>
        <v>3.1509588106217561</v>
      </c>
      <c r="BS28" s="22">
        <f t="shared" si="9"/>
        <v>18.220995317717875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13.3</v>
      </c>
      <c r="BY28" s="12">
        <f>IF('Données projet'!$A$114&gt;35,BY27+BX28-CG27,IF(A28&lt;'Données projet'!$A$114,$BV$205^A28,IF(A28='Données projet'!$A$114,'Données projet'!$B$114,BY27+BX28-CG27)))</f>
        <v>133.5</v>
      </c>
      <c r="BZ28" s="13">
        <f>BY28*VLOOKUP('Données projet'!$B$12,Paramètres!$A$1:$I$89,3,0)*VLOOKUP('Données projet'!$B$12,Paramètres!$A$1:$I$89,5,0)</f>
        <v>79.833000000000013</v>
      </c>
      <c r="CA28" s="13">
        <f t="shared" si="39"/>
        <v>22.096346795793803</v>
      </c>
      <c r="CB28" s="20">
        <f t="shared" si="10"/>
        <v>177.52694566934088</v>
      </c>
      <c r="CC28" s="59">
        <f t="shared" si="11"/>
        <v>470.86027900267419</v>
      </c>
      <c r="CD28" s="59">
        <f ca="1">AVERAGE(OFFSET($CC$3,0,0,'Données projet'!$E$12+1,1))-AVERAGE(OFFSET($H$3,0,0,'Données projet'!$E$12+1,1))</f>
        <v>270.30888762640245</v>
      </c>
      <c r="CE28" s="59">
        <f t="shared" si="40"/>
        <v>202.23783851977691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3.0954421851294032</v>
      </c>
      <c r="CM28" s="21">
        <f>EXP(-LN(2)/2)*CM27+(1-EXP(-LN(2)/2))/(LN(2)/2)*CG28*CJ28*VLOOKUP('Données projet'!$B$12,Paramètres!$A$1:$I$89,3,0)*0.475*44/12</f>
        <v>1.1969106575117865</v>
      </c>
      <c r="CN28" s="22">
        <f t="shared" si="12"/>
        <v>4.2923528426411899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14.5</v>
      </c>
      <c r="CT28" s="12">
        <f>IF('Données projet'!$A$140&gt;35,CT27+CS28-DB27,IF(A28&lt;'Données projet'!$A$140,$CQ$205^A28,IF(A28='Données projet'!$A$140,'Données projet'!$B$140,CT27+CS28-DB27)))</f>
        <v>139.5</v>
      </c>
      <c r="CU28" s="17">
        <f>CT28*VLOOKUP('Données projet'!$B$13,Paramètres!$A$1:$I$89,3,0)*VLOOKUP('Données projet'!$B$13,Paramètres!$A$1:$I$89,5,0)</f>
        <v>110.9862</v>
      </c>
      <c r="CV28" s="13">
        <f t="shared" si="41"/>
        <v>29.563220146103436</v>
      </c>
      <c r="CW28" s="20">
        <f t="shared" si="13"/>
        <v>244.79024008779683</v>
      </c>
      <c r="CX28" s="59">
        <f t="shared" si="14"/>
        <v>538.12357342113012</v>
      </c>
      <c r="CY28" s="59">
        <f ca="1">AVERAGE(OFFSET($CX$3,0,0,'Données projet'!$E$13+1,1))-AVERAGE(OFFSET($H$3,0,0,'Données projet'!$E$13+1,1))</f>
        <v>260.20517190557814</v>
      </c>
      <c r="CZ28" s="59">
        <f t="shared" si="42"/>
        <v>307.22009971147133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6.7703825503516901</v>
      </c>
      <c r="DH28" s="21">
        <f>EXP(-LN(2)/2)*DH27+(1-EXP(-LN(2)/2))/(LN(2)/2)*DB28*DE28*VLOOKUP('Données projet'!$B$13,Paramètres!$A$1:$I$89,3,0)*0.475*44/12</f>
        <v>2.2227411503900951</v>
      </c>
      <c r="DI28" s="22">
        <f t="shared" si="15"/>
        <v>8.9931237007417852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4.0628205128205126</v>
      </c>
      <c r="DO28" s="12">
        <f>IF('Données projet'!$A$166&gt;35,DO27+DN28-DW27,IF(A28&lt;'Données projet'!$A$166,$DL$205^A28,IF(A28='Données projet'!$A$166,'Données projet'!$B$166,DO27+DN28-DW27)))</f>
        <v>54.738229068051083</v>
      </c>
      <c r="DP28" s="17">
        <f>DO28*VLOOKUP('Données projet'!$B$14,Paramètres!$A$1:$I$89,3,0)*VLOOKUP('Données projet'!$B$14,Paramètres!$A$1:$I$89,5,0)</f>
        <v>55.504564275003808</v>
      </c>
      <c r="DQ28" s="13">
        <f t="shared" si="43"/>
        <v>16.026581711739372</v>
      </c>
      <c r="DR28" s="20">
        <f t="shared" si="16"/>
        <v>124.58341259357769</v>
      </c>
      <c r="DS28" s="59">
        <f t="shared" si="17"/>
        <v>417.91674592691101</v>
      </c>
      <c r="DT28" s="59">
        <f ca="1">AVERAGE(OFFSET($DS$3,0,0,'Données projet'!$E$14+1,1))-AVERAGE(OFFSET($H$3,0,0,'Données projet'!$E$14+1,1))</f>
        <v>263.15518481854753</v>
      </c>
      <c r="DU28" s="59">
        <f t="shared" si="44"/>
        <v>210.80755370263819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14.5</v>
      </c>
      <c r="EJ28" s="12">
        <f>IF('Données projet'!$A$192&gt;35,EJ27+EI28-ER27,IF(A28&lt;'Données projet'!$A$192,$EG$205^A28,IF(A28='Données projet'!$A$192,'Données projet'!$B$192,EJ27+EI28-ER27)))</f>
        <v>139.5</v>
      </c>
      <c r="EK28" s="17">
        <f>EJ28*VLOOKUP('Données projet'!$B$15,Paramètres!$A$1:$I$89,3,0)*VLOOKUP('Données projet'!$B$15,Paramètres!$A$1:$I$89,5,0)</f>
        <v>93.576599999999999</v>
      </c>
      <c r="EL28" s="13">
        <f t="shared" si="45"/>
        <v>25.42584863187091</v>
      </c>
      <c r="EM28" s="20">
        <f t="shared" si="19"/>
        <v>207.26259803384178</v>
      </c>
      <c r="EN28" s="59">
        <f t="shared" si="20"/>
        <v>500.59593136717513</v>
      </c>
      <c r="EO28" s="59">
        <f ca="1">AVERAGE(OFFSET($EN$3,0,0,'Données projet'!$E$15+1,1))-AVERAGE(OFFSET($H$3,0,0,'Données projet'!$E$15+1,1))</f>
        <v>207.93042467236967</v>
      </c>
      <c r="EP28" s="59">
        <f t="shared" si="46"/>
        <v>250.70954318710835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5.7083617581396613</v>
      </c>
      <c r="EX28" s="21">
        <f>EXP(-LN(2)/2)*EX27+(1-EXP(-LN(2)/2))/(LN(2)/2)*ER28*EU28*VLOOKUP('Données projet'!$B$15,Paramètres!$A$1:$I$89,3,0)*0.475*44/12</f>
        <v>1.8740758718975312</v>
      </c>
      <c r="EY28" s="22">
        <f t="shared" si="21"/>
        <v>7.5824376300371927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4.0628205128205126</v>
      </c>
      <c r="FE28" s="12">
        <f>IF('Données projet'!$A$218&gt;35,FE27+FD28-FM27,IF(A28&lt;'Données projet'!$A$218,$FB$205^A28,IF(A28='Données projet'!$A$218,'Données projet'!$B$218,FE27+FD28-FM27)))</f>
        <v>54.738229068051083</v>
      </c>
      <c r="FF28" s="17">
        <f>FE28*VLOOKUP('Données projet'!$B$16,Paramètres!$A$1:$I$89,3,0)*VLOOKUP('Données projet'!$B$16,Paramètres!$A$1:$I$89,5,0)</f>
        <v>58.920229768850184</v>
      </c>
      <c r="FG28" s="13">
        <f t="shared" si="47"/>
        <v>16.894981353213087</v>
      </c>
      <c r="FH28" s="20">
        <f t="shared" si="22"/>
        <v>132.04482603759354</v>
      </c>
      <c r="FI28" s="59">
        <f t="shared" si="23"/>
        <v>425.37815937092682</v>
      </c>
      <c r="FJ28" s="59">
        <f ca="1">AVERAGE(OFFSET($FI$3,0,0,'Données projet'!$E$16+1,1))-AVERAGE(OFFSET($H$3,0,0,'Données projet'!$E$16+1,1))</f>
        <v>286.77702855541287</v>
      </c>
      <c r="FK28" s="59">
        <f t="shared" si="48"/>
        <v>227.12211541860779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4.9084615384615384</v>
      </c>
      <c r="FZ28" s="12">
        <f>IF('Données projet'!$A$244&gt;35,FZ27+FY28-GH27,IF(A28&lt;'Données projet'!$A$244,$FW$205^A28,IF(A28='Données projet'!$A$244,'Données projet'!$B$244,FZ27+FY28-GH27)))</f>
        <v>64.079956146266369</v>
      </c>
      <c r="GA28" s="17">
        <f>FZ28*VLOOKUP('Données projet'!$B$17,Paramètres!$A$1:$I$89,3,0)*VLOOKUP('Données projet'!$B$17,Paramètres!$A$1:$I$89,5,0)</f>
        <v>29.98941947645266</v>
      </c>
      <c r="GB28" s="13">
        <f t="shared" si="49"/>
        <v>9.3025291963556676</v>
      </c>
      <c r="GC28" s="20">
        <f t="shared" si="25"/>
        <v>68.433477271807831</v>
      </c>
      <c r="GD28" s="59">
        <f t="shared" si="26"/>
        <v>361.76681060514113</v>
      </c>
      <c r="GE28" s="59">
        <f ca="1">AVERAGE(OFFSET($GD$3,0,0,'Données projet'!$E$17+1,1))-AVERAGE(OFFSET($H$3,0,0,'Données projet'!$E$17+1,1))</f>
        <v>123.2823358462245</v>
      </c>
      <c r="GF28" s="59">
        <f t="shared" si="50"/>
        <v>92.75115399786057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0</v>
      </c>
      <c r="GN28" s="21">
        <f>EXP(-LN(2)/2)*GN27+(1-EXP(-LN(2)/2))/(LN(2)/2)*GH28*GK28*VLOOKUP('Données projet'!$B$17,Paramètres!$A$1:$I$89,3,0)*0.475*44/12</f>
        <v>0</v>
      </c>
      <c r="GO28" s="21">
        <f t="shared" si="27"/>
        <v>0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15.073076923076925</v>
      </c>
      <c r="GU28" s="12">
        <f>IF('Données projet'!$A$270&gt;35,GU27+GT28-HC27,IF(A28&lt;'Données projet'!$A$270,$GR$205^A28,IF(A28='Données projet'!$A$270,'Données projet'!$B$270,GU27+GT28-HC27)))</f>
        <v>149.85384615384612</v>
      </c>
      <c r="GV28" s="17">
        <f>GU28*VLOOKUP('Données projet'!$B$18,Paramètres!$A$1:$I$89,3,0)*VLOOKUP('Données projet'!$B$18,Paramètres!$A$1:$I$89,5,0)</f>
        <v>89.6126</v>
      </c>
      <c r="GW28" s="13">
        <f t="shared" si="51"/>
        <v>24.471769998555317</v>
      </c>
      <c r="GX28" s="20">
        <f t="shared" si="28"/>
        <v>198.69694441415049</v>
      </c>
      <c r="GY28" s="59">
        <f t="shared" si="29"/>
        <v>492.03027774748381</v>
      </c>
      <c r="GZ28" s="59">
        <f ca="1">AVERAGE(OFFSET($GY$3,0,0,'Données projet'!$E$18+1,1))-AVERAGE(OFFSET($H$3,0,0,'Données projet'!$E$18+1,1))</f>
        <v>171.96009656745713</v>
      </c>
      <c r="HA28" s="59">
        <f t="shared" si="52"/>
        <v>172.37574906747716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>
        <f>EXP(-LN(2)/35)*HG27+(1-EXP(-LN(2)/35))/(LN(2)/35)*HC28*HD28*VLOOKUP('Données projet'!$B$18,Paramètres!$A$1:$I$89,3,0)*0.475*44/12</f>
        <v>0</v>
      </c>
      <c r="HH28" s="21">
        <f>EXP(-LN(2)/25)*HH27+(1-EXP(-LN(2)/25))/(LN(2)/25)*Calculateur!HC28*Calculateur!HE28*VLOOKUP('Données projet'!$B$18,Paramètres!$A$1:$I$89,3,0)*0.475*44/12</f>
        <v>15.093081938051828</v>
      </c>
      <c r="HI28" s="21">
        <f>EXP(-LN(2)/2)*HI27+(1-EXP(-LN(2)/2))/(LN(2)/2)*HC28*HF28*VLOOKUP('Données projet'!$B$18,Paramètres!$A$1:$I$89,3,0)*0.475*44/12</f>
        <v>10.047889377620729</v>
      </c>
      <c r="HJ28" s="22">
        <f t="shared" si="30"/>
        <v>25.140971315672559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22.828205128205127</v>
      </c>
      <c r="N29" s="13">
        <f>IF('Données projet'!$A$36&gt;35,N28+M29-V28,IF(A29&lt;'Données projet'!$A$36,$K$205^A29,IF(A29='Données projet'!$A$36,'Données projet'!$B$36,N28+M29-V28)))</f>
        <v>240.55641025641015</v>
      </c>
      <c r="O29" s="13">
        <f>N29*VLOOKUP('Données projet'!$B$9,Paramètres!$A$1:$I$89,3,0)*VLOOKUP('Données projet'!$B$9,Paramètres!$A$1:$I$89,5,0)</f>
        <v>134.47103333333328</v>
      </c>
      <c r="P29" s="13">
        <f t="shared" si="33"/>
        <v>35.027441907439481</v>
      </c>
      <c r="Q29" s="20">
        <f t="shared" si="2"/>
        <v>295.20984437767919</v>
      </c>
      <c r="R29" s="59">
        <f t="shared" si="0"/>
        <v>588.5431777110125</v>
      </c>
      <c r="S29" s="59">
        <f ca="1">AVERAGE(OFFSET($R$3,0,0,'Données projet'!$E$9+1,1))-AVERAGE(OFFSET($H$3,0,0,'Données projet'!$E$9+1,1))</f>
        <v>255.5374979188561</v>
      </c>
      <c r="T29" s="59">
        <f t="shared" si="34"/>
        <v>343.10418468620901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3.3447806983760007</v>
      </c>
      <c r="AA29" s="21">
        <f>EXP(-LN(2)/25)*AA28+(1-EXP(-LN(2)/25))/(LN(2)/25)*Calculateur!V29*Calculateur!X29*VLOOKUP('Données projet'!$B$9,Paramètres!$A$1:$I$89,3,0)*0.475*44/12</f>
        <v>17.832192246548161</v>
      </c>
      <c r="AB29" s="21">
        <f>EXP(-LN(2)/2)*AB28+(1-EXP(-LN(2)/2))/(LN(2)/2)*V29*Y29*VLOOKUP('Données projet'!$B$9,Paramètres!$A$1:$I$89,3,0)*0.475*44/12</f>
        <v>6.7706083178162624</v>
      </c>
      <c r="AC29" s="22">
        <f t="shared" si="3"/>
        <v>27.947581262740421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7.2264102564102561</v>
      </c>
      <c r="AI29" s="13">
        <f>IF('Données projet'!$A$62&gt;35,AI28+AH29-AQ28,IF(A29&lt;'Données projet'!$A$62,$AF$205^A29,IF(A29='Données projet'!$A$62,'Données projet'!$B$62,AI28+AH29-AQ28)))</f>
        <v>105.82087604801265</v>
      </c>
      <c r="AJ29" s="13">
        <f>AI29*VLOOKUP('Données projet'!$B$10,Paramètres!$A$1:$I$89,3,0)*VLOOKUP('Données projet'!$B$10,Paramètres!$A$1:$I$89,5,0)</f>
        <v>49.524169990469915</v>
      </c>
      <c r="AK29" s="13">
        <f t="shared" si="35"/>
        <v>14.490806184311312</v>
      </c>
      <c r="AL29" s="20">
        <f t="shared" si="4"/>
        <v>111.4927501710773</v>
      </c>
      <c r="AM29" s="59">
        <f t="shared" si="5"/>
        <v>404.82608350441063</v>
      </c>
      <c r="AN29" s="59">
        <f ca="1">AVERAGE(OFFSET($AM$3,0,0,'Données projet'!$E$10+1,1))-AVERAGE(OFFSET($H$3,0,0,'Données projet'!$E$10+1,1))</f>
        <v>158.58786357608489</v>
      </c>
      <c r="AO29" s="59">
        <f t="shared" si="36"/>
        <v>163.20074068819849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>
        <f>VLOOKUP(A29,'Données projet'!$A$87:$I$107,2,0)</f>
        <v>249.41538461538462</v>
      </c>
      <c r="BB29" s="12">
        <f>VLOOKUP(A29,'Données projet'!$A$87:$I$107,9,0)</f>
        <v>19.071794871794875</v>
      </c>
      <c r="BC29" s="12">
        <f t="array" ref="BC29">INDEX(BB:BB,MIN(IF(ISNUMBER(BB29:BB225),ROW(BB29:BB225),"")))</f>
        <v>19.071794871794875</v>
      </c>
      <c r="BD29" s="12">
        <f>IF('Données projet'!$A$88&gt;35,BD28+BC29-BL28,IF(A29&lt;'Données projet'!$A$88,$BA$205^A29,IF(A29='Données projet'!$A$88,'Données projet'!$B$88,BD28+BC29-BL28)))</f>
        <v>249.41538461538465</v>
      </c>
      <c r="BE29" s="13">
        <f>BD29*VLOOKUP('Données projet'!$B$11,Paramètres!$A$1:$I$89,3,0)*VLOOKUP('Données projet'!$B$11,Paramètres!$A$1:$I$89,5,0)</f>
        <v>149.15040000000002</v>
      </c>
      <c r="BF29" s="13">
        <f t="shared" si="37"/>
        <v>38.385447191571515</v>
      </c>
      <c r="BG29" s="20">
        <f t="shared" si="7"/>
        <v>326.62493385865372</v>
      </c>
      <c r="BH29" s="59">
        <f t="shared" si="8"/>
        <v>619.95826719198703</v>
      </c>
      <c r="BI29" s="59">
        <f ca="1">AVERAGE(OFFSET($BH$3,0,0,'Données projet'!$E$11+1,1))-AVERAGE(OFFSET($H$3,0,0,'Données projet'!$E$11+1,1))</f>
        <v>243.85350804244348</v>
      </c>
      <c r="BJ29" s="59">
        <f t="shared" si="38"/>
        <v>304.60992308960545</v>
      </c>
      <c r="BK29" s="15">
        <f>IF(ISNA(VLOOKUP(A29,'Données projet'!$A$87:$I$107,3,0)),0,VLOOKUP(A29,'Données projet'!$A$87:$I$107,3,0))</f>
        <v>3</v>
      </c>
      <c r="BL29" s="15">
        <f>IF(ISNA(VLOOKUP(A29,'Données projet'!$A$87:$I$107,4,0)),0,VLOOKUP(A29,'Données projet'!$A$87:$I$107,4,0))</f>
        <v>46.984615384615381</v>
      </c>
      <c r="BM29" s="16">
        <f>IF(ISNA(VLOOKUP(A29,'Données projet'!$A$87:$I$107,5,0)),0%,VLOOKUP(A29,'Données projet'!$A$87:$I$107,5,0)*VLOOKUP('Données projet'!$B$11,Paramètres!$A$1:$I$89,7,0))</f>
        <v>9.0000000000000011E-2</v>
      </c>
      <c r="BN29" s="16">
        <f>IF(ISNA(VLOOKUP(A29,'Données projet'!$A$87:$I$107,6,0)),0%,VLOOKUP(A29,'Données projet'!$A$87:$I$107,6,0)*VLOOKUP('Données projet'!$B$11,Paramètres!$A$1:$I$89,7,0))</f>
        <v>0.18000000000000002</v>
      </c>
      <c r="BO29" s="16">
        <f>IF(ISNA(VLOOKUP(A29,'Données projet'!$A$87:$I$107,7,0)),0%,VLOOKUP(A29,'Données projet'!$A$87:$I$107,7,0))</f>
        <v>0.4</v>
      </c>
      <c r="BP29" s="21">
        <f>EXP(-LN(2)/35)*BP28+(1-EXP(-LN(2)/35))/(LN(2)/35)*BL29*BM29*VLOOKUP('Données projet'!$B$11,Paramètres!$A$1:$I$89,3,0)*0.475*44/12</f>
        <v>4.8989415119211124</v>
      </c>
      <c r="BQ29" s="21">
        <f>EXP(-LN(2)/25)*BQ28+(1-EXP(-LN(2)/25))/(LN(2)/25)*Calculateur!BL29*Calculateur!BN29*VLOOKUP('Données projet'!$B$11,Paramètres!$A$1:$I$89,3,0)*0.475*44/12</f>
        <v>19.808272788471665</v>
      </c>
      <c r="BR29" s="21">
        <f>EXP(-LN(2)/2)*BR28+(1-EXP(-LN(2)/2))/(LN(2)/2)*BL29*BO29*VLOOKUP('Données projet'!$B$11,Paramètres!$A$1:$I$89,3,0)*0.475*44/12</f>
        <v>14.952906109086786</v>
      </c>
      <c r="BS29" s="22">
        <f t="shared" si="9"/>
        <v>39.660120409479561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13.3</v>
      </c>
      <c r="BY29" s="12">
        <f>IF('Données projet'!$A$114&gt;35,BY28+BX29-CG28,IF(A29&lt;'Données projet'!$A$114,$BV$205^A29,IF(A29='Données projet'!$A$114,'Données projet'!$B$114,BY28+BX29-CG28)))</f>
        <v>146.80000000000001</v>
      </c>
      <c r="BZ29" s="13">
        <f>BY29*VLOOKUP('Données projet'!$B$12,Paramètres!$A$1:$I$89,3,0)*VLOOKUP('Données projet'!$B$12,Paramètres!$A$1:$I$89,5,0)</f>
        <v>87.786400000000015</v>
      </c>
      <c r="CA29" s="13">
        <f t="shared" si="39"/>
        <v>24.030586680166543</v>
      </c>
      <c r="CB29" s="20">
        <f t="shared" si="10"/>
        <v>194.74791846795674</v>
      </c>
      <c r="CC29" s="59">
        <f t="shared" si="11"/>
        <v>488.08125180129002</v>
      </c>
      <c r="CD29" s="59">
        <f ca="1">AVERAGE(OFFSET($CC$3,0,0,'Données projet'!$E$12+1,1))-AVERAGE(OFFSET($H$3,0,0,'Données projet'!$E$12+1,1))</f>
        <v>270.30888762640245</v>
      </c>
      <c r="CE29" s="59">
        <f t="shared" si="40"/>
        <v>202.23783851977691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3.0107971557948097</v>
      </c>
      <c r="CM29" s="21">
        <f>EXP(-LN(2)/2)*CM28+(1-EXP(-LN(2)/2))/(LN(2)/2)*CG29*CJ29*VLOOKUP('Données projet'!$B$12,Paramètres!$A$1:$I$89,3,0)*0.475*44/12</f>
        <v>0.84634364240103355</v>
      </c>
      <c r="CN29" s="22">
        <f t="shared" si="12"/>
        <v>3.857140798195843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14.5</v>
      </c>
      <c r="CT29" s="12">
        <f>IF('Données projet'!$A$140&gt;35,CT28+CS29-DB28,IF(A29&lt;'Données projet'!$A$140,$CQ$205^A29,IF(A29='Données projet'!$A$140,'Données projet'!$B$140,CT28+CS29-DB28)))</f>
        <v>154</v>
      </c>
      <c r="CU29" s="17">
        <f>CT29*VLOOKUP('Données projet'!$B$13,Paramètres!$A$1:$I$89,3,0)*VLOOKUP('Données projet'!$B$13,Paramètres!$A$1:$I$89,5,0)</f>
        <v>122.52240000000002</v>
      </c>
      <c r="CV29" s="13">
        <f t="shared" si="41"/>
        <v>32.26259352430629</v>
      </c>
      <c r="CW29" s="20">
        <f t="shared" si="13"/>
        <v>269.58386372150017</v>
      </c>
      <c r="CX29" s="59">
        <f t="shared" si="14"/>
        <v>562.91719705483342</v>
      </c>
      <c r="CY29" s="59">
        <f ca="1">AVERAGE(OFFSET($CX$3,0,0,'Données projet'!$E$13+1,1))-AVERAGE(OFFSET($H$3,0,0,'Données projet'!$E$13+1,1))</f>
        <v>260.20517190557814</v>
      </c>
      <c r="CZ29" s="59">
        <f t="shared" si="42"/>
        <v>307.22009971147133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6.585246083473379</v>
      </c>
      <c r="DH29" s="21">
        <f>EXP(-LN(2)/2)*DH28+(1-EXP(-LN(2)/2))/(LN(2)/2)*DB29*DE29*VLOOKUP('Données projet'!$B$13,Paramètres!$A$1:$I$89,3,0)*0.475*44/12</f>
        <v>1.571715340263224</v>
      </c>
      <c r="DI29" s="22">
        <f t="shared" si="15"/>
        <v>8.1569614237366039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4.0628205128205126</v>
      </c>
      <c r="DO29" s="12">
        <f>IF('Données projet'!$A$166&gt;35,DO28+DN29-DW28,IF(A29&lt;'Données projet'!$A$166,$DL$205^A29,IF(A29='Données projet'!$A$166,'Données projet'!$B$166,DO28+DN29-DW28)))</f>
        <v>64.242491006222849</v>
      </c>
      <c r="DP29" s="17">
        <f>DO29*VLOOKUP('Données projet'!$B$14,Paramètres!$A$1:$I$89,3,0)*VLOOKUP('Données projet'!$B$14,Paramètres!$A$1:$I$89,5,0)</f>
        <v>65.141885880309971</v>
      </c>
      <c r="DQ29" s="13">
        <f t="shared" si="43"/>
        <v>18.462012902656809</v>
      </c>
      <c r="DR29" s="20">
        <f t="shared" si="16"/>
        <v>145.61012371366715</v>
      </c>
      <c r="DS29" s="59">
        <f t="shared" si="17"/>
        <v>438.94345704700049</v>
      </c>
      <c r="DT29" s="59">
        <f ca="1">AVERAGE(OFFSET($DS$3,0,0,'Données projet'!$E$14+1,1))-AVERAGE(OFFSET($H$3,0,0,'Données projet'!$E$14+1,1))</f>
        <v>263.15518481854753</v>
      </c>
      <c r="DU29" s="59">
        <f t="shared" si="44"/>
        <v>210.80755370263819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14.5</v>
      </c>
      <c r="EJ29" s="12">
        <f>IF('Données projet'!$A$192&gt;35,EJ28+EI29-ER28,IF(A29&lt;'Données projet'!$A$192,$EG$205^A29,IF(A29='Données projet'!$A$192,'Données projet'!$B$192,EJ28+EI29-ER28)))</f>
        <v>154</v>
      </c>
      <c r="EK29" s="17">
        <f>EJ29*VLOOKUP('Données projet'!$B$15,Paramètres!$A$1:$I$89,3,0)*VLOOKUP('Données projet'!$B$15,Paramètres!$A$1:$I$89,5,0)</f>
        <v>103.3032</v>
      </c>
      <c r="EL29" s="13">
        <f t="shared" si="45"/>
        <v>27.747444810362108</v>
      </c>
      <c r="EM29" s="20">
        <f t="shared" si="19"/>
        <v>228.24653971138068</v>
      </c>
      <c r="EN29" s="59">
        <f t="shared" si="20"/>
        <v>521.57987304471396</v>
      </c>
      <c r="EO29" s="59">
        <f ca="1">AVERAGE(OFFSET($EN$3,0,0,'Données projet'!$E$15+1,1))-AVERAGE(OFFSET($H$3,0,0,'Données projet'!$E$15+1,1))</f>
        <v>207.93042467236967</v>
      </c>
      <c r="EP29" s="59">
        <f t="shared" si="46"/>
        <v>250.70954318710835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5.5522663056736343</v>
      </c>
      <c r="EX29" s="21">
        <f>EXP(-LN(2)/2)*EX28+(1-EXP(-LN(2)/2))/(LN(2)/2)*ER29*EU29*VLOOKUP('Données projet'!$B$15,Paramètres!$A$1:$I$89,3,0)*0.475*44/12</f>
        <v>1.325171757476836</v>
      </c>
      <c r="EY29" s="22">
        <f t="shared" si="21"/>
        <v>6.8774380631504703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4.0628205128205126</v>
      </c>
      <c r="FE29" s="12">
        <f>IF('Données projet'!$A$218&gt;35,FE28+FD29-FM28,IF(A29&lt;'Données projet'!$A$218,$FB$205^A29,IF(A29='Données projet'!$A$218,'Données projet'!$B$218,FE28+FD29-FM28)))</f>
        <v>64.242491006222849</v>
      </c>
      <c r="FF29" s="17">
        <f>FE29*VLOOKUP('Données projet'!$B$16,Paramètres!$A$1:$I$89,3,0)*VLOOKUP('Données projet'!$B$16,Paramètres!$A$1:$I$89,5,0)</f>
        <v>69.150617319098274</v>
      </c>
      <c r="FG29" s="13">
        <f t="shared" si="47"/>
        <v>19.462376278572883</v>
      </c>
      <c r="FH29" s="20">
        <f t="shared" si="22"/>
        <v>154.33429718261061</v>
      </c>
      <c r="FI29" s="59">
        <f t="shared" si="23"/>
        <v>447.66763051594393</v>
      </c>
      <c r="FJ29" s="59">
        <f ca="1">AVERAGE(OFFSET($FI$3,0,0,'Données projet'!$E$16+1,1))-AVERAGE(OFFSET($H$3,0,0,'Données projet'!$E$16+1,1))</f>
        <v>286.77702855541287</v>
      </c>
      <c r="FK29" s="59">
        <f t="shared" si="48"/>
        <v>227.12211541860779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4.9084615384615384</v>
      </c>
      <c r="FZ29" s="12">
        <f>IF('Données projet'!$A$244&gt;35,FZ28+FY29-GH28,IF(A29&lt;'Données projet'!$A$244,$FW$205^A29,IF(A29='Données projet'!$A$244,'Données projet'!$B$244,FZ28+FY29-GH28)))</f>
        <v>75.681737511137769</v>
      </c>
      <c r="GA29" s="17">
        <f>FZ29*VLOOKUP('Données projet'!$B$17,Paramètres!$A$1:$I$89,3,0)*VLOOKUP('Données projet'!$B$17,Paramètres!$A$1:$I$89,5,0)</f>
        <v>35.419053155212474</v>
      </c>
      <c r="GB29" s="13">
        <f t="shared" si="49"/>
        <v>10.776006170294048</v>
      </c>
      <c r="GC29" s="20">
        <f t="shared" si="25"/>
        <v>80.456394991923858</v>
      </c>
      <c r="GD29" s="59">
        <f t="shared" si="26"/>
        <v>373.78972832525716</v>
      </c>
      <c r="GE29" s="59">
        <f ca="1">AVERAGE(OFFSET($GD$3,0,0,'Données projet'!$E$17+1,1))-AVERAGE(OFFSET($H$3,0,0,'Données projet'!$E$17+1,1))</f>
        <v>123.2823358462245</v>
      </c>
      <c r="GF29" s="59">
        <f t="shared" si="50"/>
        <v>92.75115399786057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0</v>
      </c>
      <c r="GN29" s="21">
        <f>EXP(-LN(2)/2)*GN28+(1-EXP(-LN(2)/2))/(LN(2)/2)*GH29*GK29*VLOOKUP('Données projet'!$B$17,Paramètres!$A$1:$I$89,3,0)*0.475*44/12</f>
        <v>0</v>
      </c>
      <c r="GO29" s="21">
        <f t="shared" si="27"/>
        <v>0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15.073076923076925</v>
      </c>
      <c r="GU29" s="12">
        <f>IF('Données projet'!$A$270&gt;35,GU28+GT29-HC28,IF(A29&lt;'Données projet'!$A$270,$GR$205^A29,IF(A29='Données projet'!$A$270,'Données projet'!$B$270,GU28+GT29-HC28)))</f>
        <v>164.92692307692306</v>
      </c>
      <c r="GV29" s="17">
        <f>GU29*VLOOKUP('Données projet'!$B$18,Paramètres!$A$1:$I$89,3,0)*VLOOKUP('Données projet'!$B$18,Paramètres!$A$1:$I$89,5,0)</f>
        <v>98.626300000000001</v>
      </c>
      <c r="GW29" s="13">
        <f t="shared" si="51"/>
        <v>26.634469472597342</v>
      </c>
      <c r="GX29" s="20">
        <f t="shared" si="28"/>
        <v>218.16250683144037</v>
      </c>
      <c r="GY29" s="59">
        <f t="shared" si="29"/>
        <v>511.49584016477365</v>
      </c>
      <c r="GZ29" s="59">
        <f ca="1">AVERAGE(OFFSET($GY$3,0,0,'Données projet'!$E$18+1,1))-AVERAGE(OFFSET($H$3,0,0,'Données projet'!$E$18+1,1))</f>
        <v>171.96009656745713</v>
      </c>
      <c r="HA29" s="59">
        <f t="shared" si="52"/>
        <v>172.37574906747716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>
        <f>EXP(-LN(2)/35)*HG28+(1-EXP(-LN(2)/35))/(LN(2)/35)*HC29*HD29*VLOOKUP('Données projet'!$B$18,Paramètres!$A$1:$I$89,3,0)*0.475*44/12</f>
        <v>0</v>
      </c>
      <c r="HH29" s="21">
        <f>EXP(-LN(2)/25)*HH28+(1-EXP(-LN(2)/25))/(LN(2)/25)*Calculateur!HC29*Calculateur!HE29*VLOOKUP('Données projet'!$B$18,Paramètres!$A$1:$I$89,3,0)*0.475*44/12</f>
        <v>14.680360818745116</v>
      </c>
      <c r="HI29" s="21">
        <f>EXP(-LN(2)/2)*HI28+(1-EXP(-LN(2)/2))/(LN(2)/2)*HC29*HF29*VLOOKUP('Données projet'!$B$18,Paramètres!$A$1:$I$89,3,0)*0.475*44/12</f>
        <v>7.1049307155278969</v>
      </c>
      <c r="HJ29" s="22">
        <f t="shared" si="30"/>
        <v>21.785291534273014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22.828205128205127</v>
      </c>
      <c r="N30" s="13">
        <f>IF('Données projet'!$A$36&gt;35,N29+M30-V29,IF(A30&lt;'Données projet'!$A$36,$K$205^A30,IF(A30='Données projet'!$A$36,'Données projet'!$B$36,N29+M30-V29)))</f>
        <v>263.38461538461524</v>
      </c>
      <c r="O30" s="13">
        <f>N30*VLOOKUP('Données projet'!$B$9,Paramètres!$A$1:$I$89,3,0)*VLOOKUP('Données projet'!$B$9,Paramètres!$A$1:$I$89,5,0)</f>
        <v>147.23199999999994</v>
      </c>
      <c r="P30" s="13">
        <f t="shared" si="33"/>
        <v>37.948867426510738</v>
      </c>
      <c r="Q30" s="20">
        <f t="shared" si="2"/>
        <v>322.52334410117277</v>
      </c>
      <c r="R30" s="59">
        <f t="shared" si="0"/>
        <v>615.85667743450608</v>
      </c>
      <c r="S30" s="59">
        <f ca="1">AVERAGE(OFFSET($R$3,0,0,'Données projet'!$E$9+1,1))-AVERAGE(OFFSET($H$3,0,0,'Données projet'!$E$9+1,1))</f>
        <v>255.5374979188561</v>
      </c>
      <c r="T30" s="59">
        <f t="shared" si="34"/>
        <v>343.10418468620901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3.2791915889956287</v>
      </c>
      <c r="AA30" s="21">
        <f>EXP(-LN(2)/25)*AA29+(1-EXP(-LN(2)/25))/(LN(2)/25)*Calculateur!V30*Calculateur!X30*VLOOKUP('Données projet'!$B$9,Paramètres!$A$1:$I$89,3,0)*0.475*44/12</f>
        <v>17.344570011812067</v>
      </c>
      <c r="AB30" s="21">
        <f>EXP(-LN(2)/2)*AB29+(1-EXP(-LN(2)/2))/(LN(2)/2)*V30*Y30*VLOOKUP('Données projet'!$B$9,Paramètres!$A$1:$I$89,3,0)*0.475*44/12</f>
        <v>4.7875430542859228</v>
      </c>
      <c r="AC30" s="22">
        <f t="shared" si="3"/>
        <v>25.41130465509362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7.2264102564102561</v>
      </c>
      <c r="AI30" s="13">
        <f>IF('Données projet'!$A$62&gt;35,AI29+AH30-AQ29,IF(A30&lt;'Données projet'!$A$62,$AF$205^A30,IF(A30='Données projet'!$A$62,'Données projet'!$B$62,AI29+AH30-AQ29)))</f>
        <v>126.60168370519743</v>
      </c>
      <c r="AJ30" s="13">
        <f>AI30*VLOOKUP('Données projet'!$B$10,Paramètres!$A$1:$I$89,3,0)*VLOOKUP('Données projet'!$B$10,Paramètres!$A$1:$I$89,5,0)</f>
        <v>59.249587974032401</v>
      </c>
      <c r="AK30" s="13">
        <f t="shared" si="35"/>
        <v>16.97840255838226</v>
      </c>
      <c r="AL30" s="20">
        <f t="shared" si="4"/>
        <v>132.76375017728887</v>
      </c>
      <c r="AM30" s="59">
        <f t="shared" si="5"/>
        <v>426.09708351062216</v>
      </c>
      <c r="AN30" s="59">
        <f ca="1">AVERAGE(OFFSET($AM$3,0,0,'Données projet'!$E$10+1,1))-AVERAGE(OFFSET($H$3,0,0,'Données projet'!$E$10+1,1))</f>
        <v>158.58786357608489</v>
      </c>
      <c r="AO30" s="59">
        <f t="shared" si="36"/>
        <v>163.20074068819849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19.393589743589743</v>
      </c>
      <c r="BD30" s="12">
        <f>IF('Données projet'!$A$88&gt;35,BD29+BC30-BL29,IF(A30&lt;'Données projet'!$A$88,$BA$205^A30,IF(A30='Données projet'!$A$88,'Données projet'!$B$88,BD29+BC30-BL29)))</f>
        <v>221.82435897435903</v>
      </c>
      <c r="BE30" s="13">
        <f>BD30*VLOOKUP('Données projet'!$B$11,Paramètres!$A$1:$I$89,3,0)*VLOOKUP('Données projet'!$B$11,Paramètres!$A$1:$I$89,5,0)</f>
        <v>132.6509666666667</v>
      </c>
      <c r="BF30" s="13">
        <f t="shared" si="37"/>
        <v>34.608198355283058</v>
      </c>
      <c r="BG30" s="20">
        <f t="shared" si="7"/>
        <v>291.30971241322919</v>
      </c>
      <c r="BH30" s="59">
        <f t="shared" si="8"/>
        <v>584.64304574656251</v>
      </c>
      <c r="BI30" s="59">
        <f ca="1">AVERAGE(OFFSET($BH$3,0,0,'Données projet'!$E$11+1,1))-AVERAGE(OFFSET($H$3,0,0,'Données projet'!$E$11+1,1))</f>
        <v>243.85350804244348</v>
      </c>
      <c r="BJ30" s="59">
        <f t="shared" si="38"/>
        <v>304.60992308960545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4.802876256931615</v>
      </c>
      <c r="BQ30" s="21">
        <f>EXP(-LN(2)/25)*BQ29+(1-EXP(-LN(2)/25))/(LN(2)/25)*Calculateur!BL30*Calculateur!BN30*VLOOKUP('Données projet'!$B$11,Paramètres!$A$1:$I$89,3,0)*0.475*44/12</f>
        <v>19.266614527399113</v>
      </c>
      <c r="BR30" s="21">
        <f>EXP(-LN(2)/2)*BR29+(1-EXP(-LN(2)/2))/(LN(2)/2)*BL30*BO30*VLOOKUP('Données projet'!$B$11,Paramètres!$A$1:$I$89,3,0)*0.475*44/12</f>
        <v>10.573301308181021</v>
      </c>
      <c r="BS30" s="22">
        <f t="shared" si="9"/>
        <v>34.642792092511748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13.3</v>
      </c>
      <c r="BY30" s="12">
        <f>IF('Données projet'!$A$114&gt;35,BY29+BX30-CG29,IF(A30&lt;'Données projet'!$A$114,$BV$205^A30,IF(A30='Données projet'!$A$114,'Données projet'!$B$114,BY29+BX30-CG29)))</f>
        <v>160.10000000000002</v>
      </c>
      <c r="BZ30" s="13">
        <f>BY30*VLOOKUP('Données projet'!$B$12,Paramètres!$A$1:$I$89,3,0)*VLOOKUP('Données projet'!$B$12,Paramètres!$A$1:$I$89,5,0)</f>
        <v>95.739800000000017</v>
      </c>
      <c r="CA30" s="13">
        <f t="shared" si="39"/>
        <v>25.944506362071046</v>
      </c>
      <c r="CB30" s="20">
        <f t="shared" si="10"/>
        <v>211.93350024727374</v>
      </c>
      <c r="CC30" s="59">
        <f t="shared" si="11"/>
        <v>505.26683358060706</v>
      </c>
      <c r="CD30" s="59">
        <f ca="1">AVERAGE(OFFSET($CC$3,0,0,'Données projet'!$E$12+1,1))-AVERAGE(OFFSET($H$3,0,0,'Données projet'!$E$12+1,1))</f>
        <v>270.30888762640245</v>
      </c>
      <c r="CE30" s="59">
        <f t="shared" si="40"/>
        <v>202.23783851977691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2.9284667492386594</v>
      </c>
      <c r="CM30" s="21">
        <f>EXP(-LN(2)/2)*CM29+(1-EXP(-LN(2)/2))/(LN(2)/2)*CG30*CJ30*VLOOKUP('Données projet'!$B$12,Paramètres!$A$1:$I$89,3,0)*0.475*44/12</f>
        <v>0.59845532875589325</v>
      </c>
      <c r="CN30" s="22">
        <f t="shared" si="12"/>
        <v>3.5269220779945525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14.5</v>
      </c>
      <c r="CT30" s="12">
        <f>IF('Données projet'!$A$140&gt;35,CT29+CS30-DB29,IF(A30&lt;'Données projet'!$A$140,$CQ$205^A30,IF(A30='Données projet'!$A$140,'Données projet'!$B$140,CT29+CS30-DB29)))</f>
        <v>168.5</v>
      </c>
      <c r="CU30" s="17">
        <f>CT30*VLOOKUP('Données projet'!$B$13,Paramètres!$A$1:$I$89,3,0)*VLOOKUP('Données projet'!$B$13,Paramètres!$A$1:$I$89,5,0)</f>
        <v>134.05860000000001</v>
      </c>
      <c r="CV30" s="13">
        <f t="shared" si="41"/>
        <v>34.932498076856362</v>
      </c>
      <c r="CW30" s="20">
        <f t="shared" si="13"/>
        <v>294.32616248385813</v>
      </c>
      <c r="CX30" s="59">
        <f t="shared" si="14"/>
        <v>587.65949581719144</v>
      </c>
      <c r="CY30" s="59">
        <f ca="1">AVERAGE(OFFSET($CX$3,0,0,'Données projet'!$E$13+1,1))-AVERAGE(OFFSET($H$3,0,0,'Données projet'!$E$13+1,1))</f>
        <v>260.20517190557814</v>
      </c>
      <c r="CZ30" s="59">
        <f t="shared" si="42"/>
        <v>307.22009971147133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6.4051721830177586</v>
      </c>
      <c r="DH30" s="21">
        <f>EXP(-LN(2)/2)*DH29+(1-EXP(-LN(2)/2))/(LN(2)/2)*DB30*DE30*VLOOKUP('Données projet'!$B$13,Paramètres!$A$1:$I$89,3,0)*0.475*44/12</f>
        <v>1.1113705751950478</v>
      </c>
      <c r="DI30" s="22">
        <f t="shared" si="15"/>
        <v>7.5165427582128066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4.0628205128205126</v>
      </c>
      <c r="DO30" s="12">
        <f>IF('Données projet'!$A$166&gt;35,DO29+DN30-DW29,IF(A30&lt;'Données projet'!$A$166,$DL$205^A30,IF(A30='Données projet'!$A$166,'Données projet'!$B$166,DO29+DN30-DW29)))</f>
        <v>75.396988922564091</v>
      </c>
      <c r="DP30" s="17">
        <f>DO30*VLOOKUP('Données projet'!$B$14,Paramètres!$A$1:$I$89,3,0)*VLOOKUP('Données projet'!$B$14,Paramètres!$A$1:$I$89,5,0)</f>
        <v>76.452546767480001</v>
      </c>
      <c r="DQ30" s="13">
        <f t="shared" si="43"/>
        <v>21.267537054904178</v>
      </c>
      <c r="DR30" s="20">
        <f t="shared" si="16"/>
        <v>170.19581265731912</v>
      </c>
      <c r="DS30" s="59">
        <f t="shared" si="17"/>
        <v>463.52914599065241</v>
      </c>
      <c r="DT30" s="59">
        <f ca="1">AVERAGE(OFFSET($DS$3,0,0,'Données projet'!$E$14+1,1))-AVERAGE(OFFSET($H$3,0,0,'Données projet'!$E$14+1,1))</f>
        <v>263.15518481854753</v>
      </c>
      <c r="DU30" s="59">
        <f t="shared" si="44"/>
        <v>210.80755370263819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14.5</v>
      </c>
      <c r="EJ30" s="12">
        <f>IF('Données projet'!$A$192&gt;35,EJ29+EI30-ER29,IF(A30&lt;'Données projet'!$A$192,$EG$205^A30,IF(A30='Données projet'!$A$192,'Données projet'!$B$192,EJ29+EI30-ER29)))</f>
        <v>168.5</v>
      </c>
      <c r="EK30" s="17">
        <f>EJ30*VLOOKUP('Données projet'!$B$15,Paramètres!$A$1:$I$89,3,0)*VLOOKUP('Données projet'!$B$15,Paramètres!$A$1:$I$89,5,0)</f>
        <v>113.02979999999999</v>
      </c>
      <c r="EL30" s="13">
        <f t="shared" si="45"/>
        <v>30.043696324209073</v>
      </c>
      <c r="EM30" s="20">
        <f t="shared" si="19"/>
        <v>249.18633943133077</v>
      </c>
      <c r="EN30" s="59">
        <f t="shared" si="20"/>
        <v>542.51967276466405</v>
      </c>
      <c r="EO30" s="59">
        <f ca="1">AVERAGE(OFFSET($EN$3,0,0,'Données projet'!$E$15+1,1))-AVERAGE(OFFSET($H$3,0,0,'Données projet'!$E$15+1,1))</f>
        <v>207.93042467236967</v>
      </c>
      <c r="EP30" s="59">
        <f t="shared" si="46"/>
        <v>250.70954318710835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5.4004392915639938</v>
      </c>
      <c r="EX30" s="21">
        <f>EXP(-LN(2)/2)*EX29+(1-EXP(-LN(2)/2))/(LN(2)/2)*ER30*EU30*VLOOKUP('Données projet'!$B$15,Paramètres!$A$1:$I$89,3,0)*0.475*44/12</f>
        <v>0.93703793594876572</v>
      </c>
      <c r="EY30" s="22">
        <f t="shared" si="21"/>
        <v>6.3374772275127595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4.0628205128205126</v>
      </c>
      <c r="FE30" s="12">
        <f>IF('Données projet'!$A$218&gt;35,FE29+FD30-FM29,IF(A30&lt;'Données projet'!$A$218,$FB$205^A30,IF(A30='Données projet'!$A$218,'Données projet'!$B$218,FE29+FD30-FM29)))</f>
        <v>75.396988922564091</v>
      </c>
      <c r="FF30" s="17">
        <f>FE30*VLOOKUP('Données projet'!$B$16,Paramètres!$A$1:$I$89,3,0)*VLOOKUP('Données projet'!$B$16,Paramètres!$A$1:$I$89,5,0)</f>
        <v>81.157318876247984</v>
      </c>
      <c r="FG30" s="13">
        <f t="shared" si="47"/>
        <v>22.41991763647134</v>
      </c>
      <c r="FH30" s="20">
        <f t="shared" si="22"/>
        <v>180.39702025965281</v>
      </c>
      <c r="FI30" s="59">
        <f t="shared" si="23"/>
        <v>473.73035359298615</v>
      </c>
      <c r="FJ30" s="59">
        <f ca="1">AVERAGE(OFFSET($FI$3,0,0,'Données projet'!$E$16+1,1))-AVERAGE(OFFSET($H$3,0,0,'Données projet'!$E$16+1,1))</f>
        <v>286.77702855541287</v>
      </c>
      <c r="FK30" s="59">
        <f t="shared" si="48"/>
        <v>227.12211541860779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4.9084615384615384</v>
      </c>
      <c r="FZ30" s="12">
        <f>IF('Données projet'!$A$244&gt;35,FZ29+FY30-GH29,IF(A30&lt;'Données projet'!$A$244,$FW$205^A30,IF(A30='Données projet'!$A$244,'Données projet'!$B$244,FZ29+FY30-GH29)))</f>
        <v>89.384040457688172</v>
      </c>
      <c r="GA30" s="17">
        <f>FZ30*VLOOKUP('Données projet'!$B$17,Paramètres!$A$1:$I$89,3,0)*VLOOKUP('Données projet'!$B$17,Paramètres!$A$1:$I$89,5,0)</f>
        <v>41.831730934198063</v>
      </c>
      <c r="GB30" s="13">
        <f t="shared" si="49"/>
        <v>12.482874982828019</v>
      </c>
      <c r="GC30" s="20">
        <f t="shared" si="25"/>
        <v>94.597938638820423</v>
      </c>
      <c r="GD30" s="59">
        <f t="shared" si="26"/>
        <v>387.93127197215375</v>
      </c>
      <c r="GE30" s="59">
        <f ca="1">AVERAGE(OFFSET($GD$3,0,0,'Données projet'!$E$17+1,1))-AVERAGE(OFFSET($H$3,0,0,'Données projet'!$E$17+1,1))</f>
        <v>123.2823358462245</v>
      </c>
      <c r="GF30" s="59">
        <f t="shared" si="50"/>
        <v>92.75115399786057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0</v>
      </c>
      <c r="GN30" s="21">
        <f>EXP(-LN(2)/2)*GN29+(1-EXP(-LN(2)/2))/(LN(2)/2)*GH30*GK30*VLOOKUP('Données projet'!$B$17,Paramètres!$A$1:$I$89,3,0)*0.475*44/12</f>
        <v>0</v>
      </c>
      <c r="GO30" s="21">
        <f t="shared" si="27"/>
        <v>0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15.073076923076925</v>
      </c>
      <c r="GU30" s="12">
        <f>IF('Données projet'!$A$270&gt;35,GU29+GT30-HC29,IF(A30&lt;'Données projet'!$A$270,$GR$205^A30,IF(A30='Données projet'!$A$270,'Données projet'!$B$270,GU29+GT30-HC29)))</f>
        <v>180</v>
      </c>
      <c r="GV30" s="17">
        <f>GU30*VLOOKUP('Données projet'!$B$18,Paramètres!$A$1:$I$89,3,0)*VLOOKUP('Données projet'!$B$18,Paramètres!$A$1:$I$89,5,0)</f>
        <v>107.64</v>
      </c>
      <c r="GW30" s="13">
        <f t="shared" si="51"/>
        <v>28.774250263353583</v>
      </c>
      <c r="GX30" s="20">
        <f t="shared" si="28"/>
        <v>237.58815254200749</v>
      </c>
      <c r="GY30" s="59">
        <f t="shared" si="29"/>
        <v>530.92148587534075</v>
      </c>
      <c r="GZ30" s="59">
        <f ca="1">AVERAGE(OFFSET($GY$3,0,0,'Données projet'!$E$18+1,1))-AVERAGE(OFFSET($H$3,0,0,'Données projet'!$E$18+1,1))</f>
        <v>171.96009656745713</v>
      </c>
      <c r="HA30" s="59">
        <f t="shared" si="52"/>
        <v>172.37574906747716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>
        <f>EXP(-LN(2)/35)*HG29+(1-EXP(-LN(2)/35))/(LN(2)/35)*HC30*HD30*VLOOKUP('Données projet'!$B$18,Paramètres!$A$1:$I$89,3,0)*0.475*44/12</f>
        <v>0</v>
      </c>
      <c r="HH30" s="21">
        <f>EXP(-LN(2)/25)*HH29+(1-EXP(-LN(2)/25))/(LN(2)/25)*Calculateur!HC30*Calculateur!HE30*VLOOKUP('Données projet'!$B$18,Paramètres!$A$1:$I$89,3,0)*0.475*44/12</f>
        <v>14.278925580149908</v>
      </c>
      <c r="HI30" s="21">
        <f>EXP(-LN(2)/2)*HI29+(1-EXP(-LN(2)/2))/(LN(2)/2)*HC30*HF30*VLOOKUP('Données projet'!$B$18,Paramètres!$A$1:$I$89,3,0)*0.475*44/12</f>
        <v>5.0239446888103654</v>
      </c>
      <c r="HJ30" s="22">
        <f t="shared" si="30"/>
        <v>19.302870268960273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22.828205128205127</v>
      </c>
      <c r="N31" s="13">
        <f>IF('Données projet'!$A$36&gt;35,N30+M31-V30,IF(A31&lt;'Données projet'!$A$36,$K$205^A31,IF(A31='Données projet'!$A$36,'Données projet'!$B$36,N30+M31-V30)))</f>
        <v>286.21282051282037</v>
      </c>
      <c r="O31" s="13">
        <f>N31*VLOOKUP('Données projet'!$B$9,Paramètres!$A$1:$I$89,3,0)*VLOOKUP('Données projet'!$B$9,Paramètres!$A$1:$I$89,5,0)</f>
        <v>159.99296666666658</v>
      </c>
      <c r="P31" s="13">
        <f t="shared" si="33"/>
        <v>40.840929014671453</v>
      </c>
      <c r="Q31" s="20">
        <f t="shared" si="2"/>
        <v>349.785701644997</v>
      </c>
      <c r="R31" s="59">
        <f t="shared" si="0"/>
        <v>643.11903497833032</v>
      </c>
      <c r="S31" s="59">
        <f ca="1">AVERAGE(OFFSET($R$3,0,0,'Données projet'!$E$9+1,1))-AVERAGE(OFFSET($H$3,0,0,'Données projet'!$E$9+1,1))</f>
        <v>255.5374979188561</v>
      </c>
      <c r="T31" s="59">
        <f t="shared" si="34"/>
        <v>343.10418468620901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3.2148886420447993</v>
      </c>
      <c r="AA31" s="21">
        <f>EXP(-LN(2)/25)*AA30+(1-EXP(-LN(2)/25))/(LN(2)/25)*Calculateur!V31*Calculateur!X31*VLOOKUP('Données projet'!$B$9,Paramètres!$A$1:$I$89,3,0)*0.475*44/12</f>
        <v>16.87028183272777</v>
      </c>
      <c r="AB31" s="21">
        <f>EXP(-LN(2)/2)*AB30+(1-EXP(-LN(2)/2))/(LN(2)/2)*V31*Y31*VLOOKUP('Données projet'!$B$9,Paramètres!$A$1:$I$89,3,0)*0.475*44/12</f>
        <v>3.3853041589081316</v>
      </c>
      <c r="AC31" s="22">
        <f t="shared" si="3"/>
        <v>23.470474633680698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7.2264102564102561</v>
      </c>
      <c r="AI31" s="13">
        <f>IF('Données projet'!$A$62&gt;35,AI30+AH31-AQ30,IF(A31&lt;'Données projet'!$A$62,$AF$205^A31,IF(A31='Données projet'!$A$62,'Données projet'!$B$62,AI30+AH31-AQ30)))</f>
        <v>151.46336824615491</v>
      </c>
      <c r="AJ31" s="13">
        <f>AI31*VLOOKUP('Données projet'!$B$10,Paramètres!$A$1:$I$89,3,0)*VLOOKUP('Données projet'!$B$10,Paramètres!$A$1:$I$89,5,0)</f>
        <v>70.884856339200496</v>
      </c>
      <c r="AK31" s="13">
        <f t="shared" si="35"/>
        <v>19.893037679751526</v>
      </c>
      <c r="AL31" s="20">
        <f t="shared" si="4"/>
        <v>158.10483208300809</v>
      </c>
      <c r="AM31" s="59">
        <f t="shared" si="5"/>
        <v>451.43816541634141</v>
      </c>
      <c r="AN31" s="59">
        <f ca="1">AVERAGE(OFFSET($AM$3,0,0,'Données projet'!$E$10+1,1))-AVERAGE(OFFSET($H$3,0,0,'Données projet'!$E$10+1,1))</f>
        <v>158.58786357608489</v>
      </c>
      <c r="AO31" s="59">
        <f t="shared" si="36"/>
        <v>163.20074068819849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19.393589743589743</v>
      </c>
      <c r="BD31" s="12">
        <f>IF('Données projet'!$A$88&gt;35,BD30+BC31-BL30,IF(A31&lt;'Données projet'!$A$88,$BA$205^A31,IF(A31='Données projet'!$A$88,'Données projet'!$B$88,BD30+BC31-BL30)))</f>
        <v>241.21794871794879</v>
      </c>
      <c r="BE31" s="13">
        <f>BD31*VLOOKUP('Données projet'!$B$11,Paramètres!$A$1:$I$89,3,0)*VLOOKUP('Données projet'!$B$11,Paramètres!$A$1:$I$89,5,0)</f>
        <v>144.24833333333339</v>
      </c>
      <c r="BF31" s="13">
        <f t="shared" si="37"/>
        <v>37.268539287745227</v>
      </c>
      <c r="BG31" s="20">
        <f t="shared" si="7"/>
        <v>316.14188648171188</v>
      </c>
      <c r="BH31" s="59">
        <f t="shared" si="8"/>
        <v>609.47521981504519</v>
      </c>
      <c r="BI31" s="59">
        <f ca="1">AVERAGE(OFFSET($BH$3,0,0,'Données projet'!$E$11+1,1))-AVERAGE(OFFSET($H$3,0,0,'Données projet'!$E$11+1,1))</f>
        <v>243.85350804244348</v>
      </c>
      <c r="BJ31" s="59">
        <f t="shared" si="38"/>
        <v>304.60992308960545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4.7086947829984425</v>
      </c>
      <c r="BQ31" s="21">
        <f>EXP(-LN(2)/25)*BQ30+(1-EXP(-LN(2)/25))/(LN(2)/25)*Calculateur!BL31*Calculateur!BN31*VLOOKUP('Données projet'!$B$11,Paramètres!$A$1:$I$89,3,0)*0.475*44/12</f>
        <v>18.73976793996016</v>
      </c>
      <c r="BR31" s="21">
        <f>EXP(-LN(2)/2)*BR30+(1-EXP(-LN(2)/2))/(LN(2)/2)*BL31*BO31*VLOOKUP('Données projet'!$B$11,Paramètres!$A$1:$I$89,3,0)*0.475*44/12</f>
        <v>7.476453054543394</v>
      </c>
      <c r="BS31" s="22">
        <f t="shared" si="9"/>
        <v>30.924915777501997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13.3</v>
      </c>
      <c r="BY31" s="12">
        <f>IF('Données projet'!$A$114&gt;35,BY30+BX31-CG30,IF(A31&lt;'Données projet'!$A$114,$BV$205^A31,IF(A31='Données projet'!$A$114,'Données projet'!$B$114,BY30+BX31-CG30)))</f>
        <v>173.40000000000003</v>
      </c>
      <c r="BZ31" s="13">
        <f>BY31*VLOOKUP('Données projet'!$B$12,Paramètres!$A$1:$I$89,3,0)*VLOOKUP('Données projet'!$B$12,Paramètres!$A$1:$I$89,5,0)</f>
        <v>103.69320000000003</v>
      </c>
      <c r="CA31" s="13">
        <f t="shared" si="39"/>
        <v>27.83998582032487</v>
      </c>
      <c r="CB31" s="20">
        <f t="shared" si="10"/>
        <v>229.08696530373251</v>
      </c>
      <c r="CC31" s="59">
        <f t="shared" si="11"/>
        <v>522.4202986370658</v>
      </c>
      <c r="CD31" s="59">
        <f ca="1">AVERAGE(OFFSET($CC$3,0,0,'Données projet'!$E$12+1,1))-AVERAGE(OFFSET($H$3,0,0,'Données projet'!$E$12+1,1))</f>
        <v>270.30888762640245</v>
      </c>
      <c r="CE31" s="59">
        <f t="shared" si="40"/>
        <v>202.23783851977691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2.8483876719793551</v>
      </c>
      <c r="CM31" s="21">
        <f>EXP(-LN(2)/2)*CM30+(1-EXP(-LN(2)/2))/(LN(2)/2)*CG31*CJ31*VLOOKUP('Données projet'!$B$12,Paramètres!$A$1:$I$89,3,0)*0.475*44/12</f>
        <v>0.42317182120051677</v>
      </c>
      <c r="CN31" s="22">
        <f t="shared" si="12"/>
        <v>3.2715594931798719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14.5</v>
      </c>
      <c r="CT31" s="12">
        <f>IF('Données projet'!$A$140&gt;35,CT30+CS31-DB30,IF(A31&lt;'Données projet'!$A$140,$CQ$205^A31,IF(A31='Données projet'!$A$140,'Données projet'!$B$140,CT30+CS31-DB30)))</f>
        <v>183</v>
      </c>
      <c r="CU31" s="17">
        <f>CT31*VLOOKUP('Données projet'!$B$13,Paramètres!$A$1:$I$89,3,0)*VLOOKUP('Données projet'!$B$13,Paramètres!$A$1:$I$89,5,0)</f>
        <v>145.59479999999999</v>
      </c>
      <c r="CV31" s="13">
        <f t="shared" si="41"/>
        <v>37.575758023691719</v>
      </c>
      <c r="CW31" s="20">
        <f t="shared" si="13"/>
        <v>319.02205522459639</v>
      </c>
      <c r="CX31" s="59">
        <f t="shared" si="14"/>
        <v>612.3553885579297</v>
      </c>
      <c r="CY31" s="59">
        <f ca="1">AVERAGE(OFFSET($CX$3,0,0,'Données projet'!$E$13+1,1))-AVERAGE(OFFSET($H$3,0,0,'Données projet'!$E$13+1,1))</f>
        <v>260.20517190557814</v>
      </c>
      <c r="CZ31" s="59">
        <f t="shared" si="42"/>
        <v>307.22009971147133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6.2300224128397721</v>
      </c>
      <c r="DH31" s="21">
        <f>EXP(-LN(2)/2)*DH30+(1-EXP(-LN(2)/2))/(LN(2)/2)*DB31*DE31*VLOOKUP('Données projet'!$B$13,Paramètres!$A$1:$I$89,3,0)*0.475*44/12</f>
        <v>0.78585767013161212</v>
      </c>
      <c r="DI31" s="22">
        <f t="shared" si="15"/>
        <v>7.0158800829713845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4.0628205128205126</v>
      </c>
      <c r="DO31" s="12">
        <f>IF('Données projet'!$A$166&gt;35,DO30+DN31-DW30,IF(A31&lt;'Données projet'!$A$166,$DL$205^A31,IF(A31='Données projet'!$A$166,'Données projet'!$B$166,DO30+DN31-DW30)))</f>
        <v>88.488255196060223</v>
      </c>
      <c r="DP31" s="17">
        <f>DO31*VLOOKUP('Données projet'!$B$14,Paramètres!$A$1:$I$89,3,0)*VLOOKUP('Données projet'!$B$14,Paramètres!$A$1:$I$89,5,0)</f>
        <v>89.72709076880507</v>
      </c>
      <c r="DQ31" s="13">
        <f t="shared" si="43"/>
        <v>24.499394230010086</v>
      </c>
      <c r="DR31" s="20">
        <f t="shared" si="16"/>
        <v>198.94446137293639</v>
      </c>
      <c r="DS31" s="59">
        <f t="shared" si="17"/>
        <v>492.27779470626967</v>
      </c>
      <c r="DT31" s="59">
        <f ca="1">AVERAGE(OFFSET($DS$3,0,0,'Données projet'!$E$14+1,1))-AVERAGE(OFFSET($H$3,0,0,'Données projet'!$E$14+1,1))</f>
        <v>263.15518481854753</v>
      </c>
      <c r="DU31" s="59">
        <f t="shared" si="44"/>
        <v>210.80755370263819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14.5</v>
      </c>
      <c r="EJ31" s="12">
        <f>IF('Données projet'!$A$192&gt;35,EJ30+EI31-ER30,IF(A31&lt;'Données projet'!$A$192,$EG$205^A31,IF(A31='Données projet'!$A$192,'Données projet'!$B$192,EJ30+EI31-ER30)))</f>
        <v>183</v>
      </c>
      <c r="EK31" s="17">
        <f>EJ31*VLOOKUP('Données projet'!$B$15,Paramètres!$A$1:$I$89,3,0)*VLOOKUP('Données projet'!$B$15,Paramètres!$A$1:$I$89,5,0)</f>
        <v>122.7564</v>
      </c>
      <c r="EL31" s="13">
        <f t="shared" si="45"/>
        <v>32.317032143878919</v>
      </c>
      <c r="EM31" s="20">
        <f t="shared" si="19"/>
        <v>270.08622765058908</v>
      </c>
      <c r="EN31" s="59">
        <f t="shared" si="20"/>
        <v>563.41956098392234</v>
      </c>
      <c r="EO31" s="59">
        <f ca="1">AVERAGE(OFFSET($EN$3,0,0,'Données projet'!$E$15+1,1))-AVERAGE(OFFSET($H$3,0,0,'Données projet'!$E$15+1,1))</f>
        <v>207.93042467236967</v>
      </c>
      <c r="EP31" s="59">
        <f t="shared" si="46"/>
        <v>250.70954318710835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5.2527639951394169</v>
      </c>
      <c r="EX31" s="21">
        <f>EXP(-LN(2)/2)*EX30+(1-EXP(-LN(2)/2))/(LN(2)/2)*ER31*EU31*VLOOKUP('Données projet'!$B$15,Paramètres!$A$1:$I$89,3,0)*0.475*44/12</f>
        <v>0.66258587873841801</v>
      </c>
      <c r="EY31" s="22">
        <f t="shared" si="21"/>
        <v>5.915349873877835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4.0628205128205126</v>
      </c>
      <c r="FE31" s="12">
        <f>IF('Données projet'!$A$218&gt;35,FE30+FD31-FM30,IF(A31&lt;'Données projet'!$A$218,$FB$205^A31,IF(A31='Données projet'!$A$218,'Données projet'!$B$218,FE30+FD31-FM30)))</f>
        <v>88.488255196060223</v>
      </c>
      <c r="FF31" s="17">
        <f>FE31*VLOOKUP('Données projet'!$B$16,Paramètres!$A$1:$I$89,3,0)*VLOOKUP('Données projet'!$B$16,Paramètres!$A$1:$I$89,5,0)</f>
        <v>95.248757893039226</v>
      </c>
      <c r="FG31" s="13">
        <f t="shared" si="47"/>
        <v>25.826892853754671</v>
      </c>
      <c r="FH31" s="20">
        <f t="shared" si="22"/>
        <v>210.87342505066601</v>
      </c>
      <c r="FI31" s="59">
        <f t="shared" si="23"/>
        <v>504.20675838399933</v>
      </c>
      <c r="FJ31" s="59">
        <f ca="1">AVERAGE(OFFSET($FI$3,0,0,'Données projet'!$E$16+1,1))-AVERAGE(OFFSET($H$3,0,0,'Données projet'!$E$16+1,1))</f>
        <v>286.77702855541287</v>
      </c>
      <c r="FK31" s="59">
        <f t="shared" si="48"/>
        <v>227.12211541860779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4.9084615384615384</v>
      </c>
      <c r="FZ31" s="12">
        <f>IF('Données projet'!$A$244&gt;35,FZ30+FY31-GH30,IF(A31&lt;'Données projet'!$A$244,$FW$205^A31,IF(A31='Données projet'!$A$244,'Données projet'!$B$244,FZ30+FY31-GH30)))</f>
        <v>105.56716787013318</v>
      </c>
      <c r="GA31" s="17">
        <f>FZ31*VLOOKUP('Données projet'!$B$17,Paramètres!$A$1:$I$89,3,0)*VLOOKUP('Données projet'!$B$17,Paramètres!$A$1:$I$89,5,0)</f>
        <v>49.405434563222322</v>
      </c>
      <c r="GB31" s="13">
        <f t="shared" si="49"/>
        <v>14.46010380603388</v>
      </c>
      <c r="GC31" s="20">
        <f t="shared" si="25"/>
        <v>111.23247932645454</v>
      </c>
      <c r="GD31" s="59">
        <f t="shared" si="26"/>
        <v>404.56581265978787</v>
      </c>
      <c r="GE31" s="59">
        <f ca="1">AVERAGE(OFFSET($GD$3,0,0,'Données projet'!$E$17+1,1))-AVERAGE(OFFSET($H$3,0,0,'Données projet'!$E$17+1,1))</f>
        <v>123.2823358462245</v>
      </c>
      <c r="GF31" s="59">
        <f t="shared" si="50"/>
        <v>92.75115399786057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0</v>
      </c>
      <c r="GN31" s="21">
        <f>EXP(-LN(2)/2)*GN30+(1-EXP(-LN(2)/2))/(LN(2)/2)*GH31*GK31*VLOOKUP('Données projet'!$B$17,Paramètres!$A$1:$I$89,3,0)*0.475*44/12</f>
        <v>0</v>
      </c>
      <c r="GO31" s="21">
        <f t="shared" si="27"/>
        <v>0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15.073076923076925</v>
      </c>
      <c r="GU31" s="12">
        <f>IF('Données projet'!$A$270&gt;35,GU30+GT31-HC30,IF(A31&lt;'Données projet'!$A$270,$GR$205^A31,IF(A31='Données projet'!$A$270,'Données projet'!$B$270,GU30+GT31-HC30)))</f>
        <v>195.07307692307694</v>
      </c>
      <c r="GV31" s="17">
        <f>GU31*VLOOKUP('Données projet'!$B$18,Paramètres!$A$1:$I$89,3,0)*VLOOKUP('Données projet'!$B$18,Paramètres!$A$1:$I$89,5,0)</f>
        <v>116.65370000000001</v>
      </c>
      <c r="GW31" s="13">
        <f t="shared" si="51"/>
        <v>30.893249762406356</v>
      </c>
      <c r="GX31" s="20">
        <f t="shared" si="28"/>
        <v>256.9776041695244</v>
      </c>
      <c r="GY31" s="59">
        <f t="shared" si="29"/>
        <v>550.31093750285777</v>
      </c>
      <c r="GZ31" s="59">
        <f ca="1">AVERAGE(OFFSET($GY$3,0,0,'Données projet'!$E$18+1,1))-AVERAGE(OFFSET($H$3,0,0,'Données projet'!$E$18+1,1))</f>
        <v>171.96009656745713</v>
      </c>
      <c r="HA31" s="59">
        <f t="shared" si="52"/>
        <v>172.37574906747716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>
        <f>EXP(-LN(2)/35)*HG30+(1-EXP(-LN(2)/35))/(LN(2)/35)*HC31*HD31*VLOOKUP('Données projet'!$B$18,Paramètres!$A$1:$I$89,3,0)*0.475*44/12</f>
        <v>0</v>
      </c>
      <c r="HH31" s="21">
        <f>EXP(-LN(2)/25)*HH30+(1-EXP(-LN(2)/25))/(LN(2)/25)*Calculateur!HC31*Calculateur!HE31*VLOOKUP('Données projet'!$B$18,Paramètres!$A$1:$I$89,3,0)*0.475*44/12</f>
        <v>13.888467609264648</v>
      </c>
      <c r="HI31" s="21">
        <f>EXP(-LN(2)/2)*HI30+(1-EXP(-LN(2)/2))/(LN(2)/2)*HC31*HF31*VLOOKUP('Données projet'!$B$18,Paramètres!$A$1:$I$89,3,0)*0.475*44/12</f>
        <v>3.5524653577639489</v>
      </c>
      <c r="HJ31" s="22">
        <f t="shared" si="30"/>
        <v>17.440932967028598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22.828205128205127</v>
      </c>
      <c r="N32" s="13">
        <f>IF('Données projet'!$A$36&gt;35,N31+M32-V31,IF(A32&lt;'Données projet'!$A$36,$K$205^A32,IF(A32='Données projet'!$A$36,'Données projet'!$B$36,N31+M32-V31)))</f>
        <v>309.0410256410255</v>
      </c>
      <c r="O32" s="13">
        <f>N32*VLOOKUP('Données projet'!$B$9,Paramètres!$A$1:$I$89,3,0)*VLOOKUP('Données projet'!$B$9,Paramètres!$A$1:$I$89,5,0)</f>
        <v>172.75393333333326</v>
      </c>
      <c r="P32" s="13">
        <f t="shared" si="33"/>
        <v>43.706234996805463</v>
      </c>
      <c r="Q32" s="20">
        <f t="shared" si="2"/>
        <v>377.00145984165829</v>
      </c>
      <c r="R32" s="59">
        <f t="shared" si="0"/>
        <v>670.33479317499155</v>
      </c>
      <c r="S32" s="59">
        <f ca="1">AVERAGE(OFFSET($R$3,0,0,'Données projet'!$E$9+1,1))-AVERAGE(OFFSET($H$3,0,0,'Données projet'!$E$9+1,1))</f>
        <v>255.5374979188561</v>
      </c>
      <c r="T32" s="59">
        <f t="shared" si="34"/>
        <v>343.10418468620901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3.1518466366627509</v>
      </c>
      <c r="AA32" s="21">
        <f>EXP(-LN(2)/25)*AA31+(1-EXP(-LN(2)/25))/(LN(2)/25)*Calculateur!V32*Calculateur!X32*VLOOKUP('Données projet'!$B$9,Paramètres!$A$1:$I$89,3,0)*0.475*44/12</f>
        <v>16.408963088842263</v>
      </c>
      <c r="AB32" s="21">
        <f>EXP(-LN(2)/2)*AB31+(1-EXP(-LN(2)/2))/(LN(2)/2)*V32*Y32*VLOOKUP('Données projet'!$B$9,Paramètres!$A$1:$I$89,3,0)*0.475*44/12</f>
        <v>2.3937715271429618</v>
      </c>
      <c r="AC32" s="22">
        <f t="shared" si="3"/>
        <v>21.954581252647976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7.2264102564102561</v>
      </c>
      <c r="AI32" s="13">
        <f>IF('Données projet'!$A$62&gt;35,AI31+AH32-AQ31,IF(A32&lt;'Données projet'!$A$62,$AF$205^A32,IF(A32='Données projet'!$A$62,'Données projet'!$B$62,AI31+AH32-AQ31)))</f>
        <v>181.20732085910257</v>
      </c>
      <c r="AJ32" s="13">
        <f>AI32*VLOOKUP('Données projet'!$B$10,Paramètres!$A$1:$I$89,3,0)*VLOOKUP('Données projet'!$B$10,Paramètres!$A$1:$I$89,5,0)</f>
        <v>84.805026162060003</v>
      </c>
      <c r="AK32" s="13">
        <f t="shared" si="35"/>
        <v>23.308020101846395</v>
      </c>
      <c r="AL32" s="20">
        <f t="shared" si="4"/>
        <v>188.29688890963698</v>
      </c>
      <c r="AM32" s="59">
        <f t="shared" si="5"/>
        <v>481.63022224297026</v>
      </c>
      <c r="AN32" s="59">
        <f ca="1">AVERAGE(OFFSET($AM$3,0,0,'Données projet'!$E$10+1,1))-AVERAGE(OFFSET($H$3,0,0,'Données projet'!$E$10+1,1))</f>
        <v>158.58786357608489</v>
      </c>
      <c r="AO32" s="59">
        <f t="shared" si="36"/>
        <v>163.20074068819849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19.393589743589743</v>
      </c>
      <c r="BD32" s="12">
        <f>IF('Données projet'!$A$88&gt;35,BD31+BC32-BL31,IF(A32&lt;'Données projet'!$A$88,$BA$205^A32,IF(A32='Données projet'!$A$88,'Données projet'!$B$88,BD31+BC32-BL31)))</f>
        <v>260.61153846153854</v>
      </c>
      <c r="BE32" s="13">
        <f>BD32*VLOOKUP('Données projet'!$B$11,Paramètres!$A$1:$I$89,3,0)*VLOOKUP('Données projet'!$B$11,Paramètres!$A$1:$I$89,5,0)</f>
        <v>155.84570000000005</v>
      </c>
      <c r="BF32" s="13">
        <f t="shared" si="37"/>
        <v>39.904071626695313</v>
      </c>
      <c r="BG32" s="20">
        <f t="shared" si="7"/>
        <v>340.93085224982775</v>
      </c>
      <c r="BH32" s="59">
        <f t="shared" si="8"/>
        <v>634.26418558316107</v>
      </c>
      <c r="BI32" s="59">
        <f ca="1">AVERAGE(OFFSET($BH$3,0,0,'Données projet'!$E$11+1,1))-AVERAGE(OFFSET($H$3,0,0,'Données projet'!$E$11+1,1))</f>
        <v>243.85350804244348</v>
      </c>
      <c r="BJ32" s="59">
        <f t="shared" si="38"/>
        <v>304.60992308960545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4.6163601503240725</v>
      </c>
      <c r="BQ32" s="21">
        <f>EXP(-LN(2)/25)*BQ31+(1-EXP(-LN(2)/25))/(LN(2)/25)*Calculateur!BL32*Calculateur!BN32*VLOOKUP('Données projet'!$B$11,Paramètres!$A$1:$I$89,3,0)*0.475*44/12</f>
        <v>18.227328000160384</v>
      </c>
      <c r="BR32" s="21">
        <f>EXP(-LN(2)/2)*BR31+(1-EXP(-LN(2)/2))/(LN(2)/2)*BL32*BO32*VLOOKUP('Données projet'!$B$11,Paramètres!$A$1:$I$89,3,0)*0.475*44/12</f>
        <v>5.2866506540905114</v>
      </c>
      <c r="BS32" s="22">
        <f t="shared" si="9"/>
        <v>28.130338804574968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13.3</v>
      </c>
      <c r="BY32" s="12">
        <f>IF('Données projet'!$A$114&gt;35,BY31+BX32-CG31,IF(A32&lt;'Données projet'!$A$114,$BV$205^A32,IF(A32='Données projet'!$A$114,'Données projet'!$B$114,BY31+BX32-CG31)))</f>
        <v>186.70000000000005</v>
      </c>
      <c r="BZ32" s="13">
        <f>BY32*VLOOKUP('Données projet'!$B$12,Paramètres!$A$1:$I$89,3,0)*VLOOKUP('Données projet'!$B$12,Paramètres!$A$1:$I$89,5,0)</f>
        <v>111.64660000000003</v>
      </c>
      <c r="CA32" s="13">
        <f t="shared" si="39"/>
        <v>29.718600259496139</v>
      </c>
      <c r="CB32" s="20">
        <f t="shared" si="10"/>
        <v>246.21105711862251</v>
      </c>
      <c r="CC32" s="59">
        <f t="shared" si="11"/>
        <v>539.54439045195579</v>
      </c>
      <c r="CD32" s="59">
        <f ca="1">AVERAGE(OFFSET($CC$3,0,0,'Données projet'!$E$12+1,1))-AVERAGE(OFFSET($H$3,0,0,'Données projet'!$E$12+1,1))</f>
        <v>270.30888762640245</v>
      </c>
      <c r="CE32" s="59">
        <f t="shared" si="40"/>
        <v>202.23783851977691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2.7704983612988818</v>
      </c>
      <c r="CM32" s="21">
        <f>EXP(-LN(2)/2)*CM31+(1-EXP(-LN(2)/2))/(LN(2)/2)*CG32*CJ32*VLOOKUP('Données projet'!$B$12,Paramètres!$A$1:$I$89,3,0)*0.475*44/12</f>
        <v>0.29922766437794662</v>
      </c>
      <c r="CN32" s="22">
        <f t="shared" si="12"/>
        <v>3.0697260256768284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14.5</v>
      </c>
      <c r="CT32" s="12">
        <f>IF('Données projet'!$A$140&gt;35,CT31+CS32-DB31,IF(A32&lt;'Données projet'!$A$140,$CQ$205^A32,IF(A32='Données projet'!$A$140,'Données projet'!$B$140,CT31+CS32-DB31)))</f>
        <v>197.5</v>
      </c>
      <c r="CU32" s="17">
        <f>CT32*VLOOKUP('Données projet'!$B$13,Paramètres!$A$1:$I$89,3,0)*VLOOKUP('Données projet'!$B$13,Paramètres!$A$1:$I$89,5,0)</f>
        <v>157.13100000000003</v>
      </c>
      <c r="CV32" s="13">
        <f t="shared" si="41"/>
        <v>40.194724574621844</v>
      </c>
      <c r="CW32" s="20">
        <f t="shared" si="13"/>
        <v>343.67563696746635</v>
      </c>
      <c r="CX32" s="59">
        <f t="shared" si="14"/>
        <v>637.00897030079966</v>
      </c>
      <c r="CY32" s="59">
        <f ca="1">AVERAGE(OFFSET($CX$3,0,0,'Données projet'!$E$13+1,1))-AVERAGE(OFFSET($H$3,0,0,'Données projet'!$E$13+1,1))</f>
        <v>260.20517190557814</v>
      </c>
      <c r="CZ32" s="59">
        <f t="shared" si="42"/>
        <v>307.22009971147133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6.0596621223380289</v>
      </c>
      <c r="DH32" s="21">
        <f>EXP(-LN(2)/2)*DH31+(1-EXP(-LN(2)/2))/(LN(2)/2)*DB32*DE32*VLOOKUP('Données projet'!$B$13,Paramètres!$A$1:$I$89,3,0)*0.475*44/12</f>
        <v>0.55568528759752389</v>
      </c>
      <c r="DI32" s="22">
        <f t="shared" si="15"/>
        <v>6.6153474099355529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4.0628205128205126</v>
      </c>
      <c r="DO32" s="12">
        <f>IF('Données projet'!$A$166&gt;35,DO31+DN32-DW31,IF(A32&lt;'Données projet'!$A$166,$DL$205^A32,IF(A32='Données projet'!$A$166,'Données projet'!$B$166,DO31+DN32-DW31)))</f>
        <v>103.85257315361756</v>
      </c>
      <c r="DP32" s="17">
        <f>DO32*VLOOKUP('Données projet'!$B$14,Paramètres!$A$1:$I$89,3,0)*VLOOKUP('Données projet'!$B$14,Paramètres!$A$1:$I$89,5,0)</f>
        <v>105.30650917776822</v>
      </c>
      <c r="DQ32" s="13">
        <f t="shared" si="43"/>
        <v>28.222370840964146</v>
      </c>
      <c r="DR32" s="20">
        <f t="shared" si="16"/>
        <v>232.56279936595885</v>
      </c>
      <c r="DS32" s="59">
        <f t="shared" si="17"/>
        <v>525.89613269929214</v>
      </c>
      <c r="DT32" s="59">
        <f ca="1">AVERAGE(OFFSET($DS$3,0,0,'Données projet'!$E$14+1,1))-AVERAGE(OFFSET($H$3,0,0,'Données projet'!$E$14+1,1))</f>
        <v>263.15518481854753</v>
      </c>
      <c r="DU32" s="59">
        <f t="shared" si="44"/>
        <v>210.80755370263819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14.5</v>
      </c>
      <c r="EJ32" s="12">
        <f>IF('Données projet'!$A$192&gt;35,EJ31+EI32-ER31,IF(A32&lt;'Données projet'!$A$192,$EG$205^A32,IF(A32='Données projet'!$A$192,'Données projet'!$B$192,EJ31+EI32-ER31)))</f>
        <v>197.5</v>
      </c>
      <c r="EK32" s="17">
        <f>EJ32*VLOOKUP('Données projet'!$B$15,Paramètres!$A$1:$I$89,3,0)*VLOOKUP('Données projet'!$B$15,Paramètres!$A$1:$I$89,5,0)</f>
        <v>132.483</v>
      </c>
      <c r="EL32" s="13">
        <f t="shared" si="45"/>
        <v>34.569474427459426</v>
      </c>
      <c r="EM32" s="20">
        <f t="shared" si="19"/>
        <v>290.94972629449177</v>
      </c>
      <c r="EN32" s="59">
        <f t="shared" si="20"/>
        <v>584.28305962782508</v>
      </c>
      <c r="EO32" s="59">
        <f ca="1">AVERAGE(OFFSET($EN$3,0,0,'Données projet'!$E$15+1,1))-AVERAGE(OFFSET($H$3,0,0,'Données projet'!$E$15+1,1))</f>
        <v>207.93042467236967</v>
      </c>
      <c r="EP32" s="59">
        <f t="shared" si="46"/>
        <v>250.70954318710835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5.1091268874614766</v>
      </c>
      <c r="EX32" s="21">
        <f>EXP(-LN(2)/2)*EX31+(1-EXP(-LN(2)/2))/(LN(2)/2)*ER32*EU32*VLOOKUP('Données projet'!$B$15,Paramètres!$A$1:$I$89,3,0)*0.475*44/12</f>
        <v>0.46851896797438286</v>
      </c>
      <c r="EY32" s="22">
        <f t="shared" si="21"/>
        <v>5.5776458554358594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4.0628205128205126</v>
      </c>
      <c r="FE32" s="12">
        <f>IF('Données projet'!$A$218&gt;35,FE31+FD32-FM31,IF(A32&lt;'Données projet'!$A$218,$FB$205^A32,IF(A32='Données projet'!$A$218,'Données projet'!$B$218,FE31+FD32-FM31)))</f>
        <v>103.85257315361756</v>
      </c>
      <c r="FF32" s="17">
        <f>FE32*VLOOKUP('Données projet'!$B$16,Paramètres!$A$1:$I$89,3,0)*VLOOKUP('Données projet'!$B$16,Paramètres!$A$1:$I$89,5,0)</f>
        <v>111.78690974255393</v>
      </c>
      <c r="FG32" s="13">
        <f t="shared" si="47"/>
        <v>29.751598792416779</v>
      </c>
      <c r="FH32" s="20">
        <f t="shared" si="22"/>
        <v>246.51290236507396</v>
      </c>
      <c r="FI32" s="59">
        <f t="shared" si="23"/>
        <v>539.84623569840733</v>
      </c>
      <c r="FJ32" s="59">
        <f ca="1">AVERAGE(OFFSET($FI$3,0,0,'Données projet'!$E$16+1,1))-AVERAGE(OFFSET($H$3,0,0,'Données projet'!$E$16+1,1))</f>
        <v>286.77702855541287</v>
      </c>
      <c r="FK32" s="59">
        <f t="shared" si="48"/>
        <v>227.12211541860779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4.9084615384615384</v>
      </c>
      <c r="FZ32" s="12">
        <f>IF('Données projet'!$A$244&gt;35,FZ31+FY32-GH31,IF(A32&lt;'Données projet'!$A$244,$FW$205^A32,IF(A32='Données projet'!$A$244,'Données projet'!$B$244,FZ31+FY32-GH31)))</f>
        <v>124.68027709483918</v>
      </c>
      <c r="GA32" s="17">
        <f>FZ32*VLOOKUP('Données projet'!$B$17,Paramètres!$A$1:$I$89,3,0)*VLOOKUP('Données projet'!$B$17,Paramètres!$A$1:$I$89,5,0)</f>
        <v>58.350369680384738</v>
      </c>
      <c r="GB32" s="13">
        <f t="shared" si="49"/>
        <v>16.750516396977062</v>
      </c>
      <c r="GC32" s="20">
        <f t="shared" si="25"/>
        <v>130.80070991807179</v>
      </c>
      <c r="GD32" s="59">
        <f t="shared" si="26"/>
        <v>424.1340432514051</v>
      </c>
      <c r="GE32" s="59">
        <f ca="1">AVERAGE(OFFSET($GD$3,0,0,'Données projet'!$E$17+1,1))-AVERAGE(OFFSET($H$3,0,0,'Données projet'!$E$17+1,1))</f>
        <v>123.2823358462245</v>
      </c>
      <c r="GF32" s="59">
        <f t="shared" si="50"/>
        <v>92.75115399786057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0</v>
      </c>
      <c r="GN32" s="21">
        <f>EXP(-LN(2)/2)*GN31+(1-EXP(-LN(2)/2))/(LN(2)/2)*GH32*GK32*VLOOKUP('Données projet'!$B$17,Paramètres!$A$1:$I$89,3,0)*0.475*44/12</f>
        <v>0</v>
      </c>
      <c r="GO32" s="21">
        <f t="shared" si="27"/>
        <v>0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>
        <f>VLOOKUP(A32,'Données projet'!$A$269:$I$289,2,0)</f>
        <v>210.14615384615385</v>
      </c>
      <c r="GS32" s="12">
        <f>VLOOKUP(A32,'Données projet'!$A$269:$I$289,9,0)</f>
        <v>15.073076923076925</v>
      </c>
      <c r="GT32" s="12">
        <f t="array" ref="GT32">INDEX(GS:GS,MIN(IF(ISNUMBER(GS32:GS228),ROW(GS32:GS228),"")))</f>
        <v>15.073076923076925</v>
      </c>
      <c r="GU32" s="12">
        <f>IF('Données projet'!$A$270&gt;35,GU31+GT32-HC31,IF(A32&lt;'Données projet'!$A$270,$GR$205^A32,IF(A32='Données projet'!$A$270,'Données projet'!$B$270,GU31+GT32-HC31)))</f>
        <v>210.14615384615388</v>
      </c>
      <c r="GV32" s="17">
        <f>GU32*VLOOKUP('Données projet'!$B$18,Paramètres!$A$1:$I$89,3,0)*VLOOKUP('Données projet'!$B$18,Paramètres!$A$1:$I$89,5,0)</f>
        <v>125.66740000000003</v>
      </c>
      <c r="GW32" s="13">
        <f t="shared" si="51"/>
        <v>32.993256286656127</v>
      </c>
      <c r="GX32" s="20">
        <f t="shared" si="28"/>
        <v>276.33397636592611</v>
      </c>
      <c r="GY32" s="59">
        <f t="shared" si="29"/>
        <v>569.66730969925948</v>
      </c>
      <c r="GZ32" s="59">
        <f ca="1">AVERAGE(OFFSET($GY$3,0,0,'Données projet'!$E$18+1,1))-AVERAGE(OFFSET($H$3,0,0,'Données projet'!$E$18+1,1))</f>
        <v>171.96009656745713</v>
      </c>
      <c r="HA32" s="59">
        <f t="shared" si="52"/>
        <v>172.37574906747716</v>
      </c>
      <c r="HB32" s="15">
        <f>IF(ISNA(VLOOKUP(A32,'Données projet'!$A$269:$I$289,3,0)),0,VLOOKUP(A32,'Données projet'!$A$269:$I$289,3,0))</f>
        <v>3</v>
      </c>
      <c r="HC32" s="15">
        <f>IF(ISNA(VLOOKUP(A32,'Données projet'!$A$269:$I$289,4,0)),0,VLOOKUP(A32,'Données projet'!$A$269:$I$289,4,0))</f>
        <v>47.661538461538463</v>
      </c>
      <c r="HD32" s="16">
        <f>IF(ISNA(VLOOKUP(A32,'Données projet'!$A$269:$I$289,5,0)),0%,VLOOKUP(A32,'Données projet'!$A$269:$I$289,5,0)*VLOOKUP('Données projet'!$B$18,Paramètres!$A$1:$I$89,7,0))</f>
        <v>4.5000000000000005E-2</v>
      </c>
      <c r="HE32" s="16">
        <f>IF(ISNA(VLOOKUP(A32,'Données projet'!$A$269:$I$289,6,0)),0%,VLOOKUP(A32,'Données projet'!$A$269:$I$289,6,0)*VLOOKUP('Données projet'!$B$18,Paramètres!$A$1:$I$89,7,0))</f>
        <v>0.20250000000000001</v>
      </c>
      <c r="HF32" s="16">
        <f>IF(ISNA(VLOOKUP(A32,'Données projet'!$A$269:$I$289,7,0)),0%,VLOOKUP(A32,'Données projet'!$A$269:$I$289,7,0))</f>
        <v>0.45</v>
      </c>
      <c r="HG32" s="21">
        <f>EXP(-LN(2)/35)*HG31+(1-EXP(-LN(2)/35))/(LN(2)/35)*HC32*HD32*VLOOKUP('Données projet'!$B$18,Paramètres!$A$1:$I$89,3,0)*0.475*44/12</f>
        <v>1.7014144267420017</v>
      </c>
      <c r="HH32" s="21">
        <f>EXP(-LN(2)/25)*HH31+(1-EXP(-LN(2)/25))/(LN(2)/25)*Calculateur!HC32*Calculateur!HE32*VLOOKUP('Données projet'!$B$18,Paramètres!$A$1:$I$89,3,0)*0.475*44/12</f>
        <v>21.134905626470424</v>
      </c>
      <c r="HI32" s="21">
        <f>EXP(-LN(2)/2)*HI31+(1-EXP(-LN(2)/2))/(LN(2)/2)*HC32*HF32*VLOOKUP('Données projet'!$B$18,Paramètres!$A$1:$I$89,3,0)*0.475*44/12</f>
        <v>17.033666767436326</v>
      </c>
      <c r="HJ32" s="22">
        <f t="shared" si="30"/>
        <v>39.869986820648748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331.86923076923074</v>
      </c>
      <c r="L33" s="12">
        <f>VLOOKUP(A33,'Données projet'!$A$35:$I$55,9,0)</f>
        <v>22.828205128205127</v>
      </c>
      <c r="M33" s="12">
        <f t="array" ref="M33">INDEX(L:L,MIN(IF(ISNUMBER(L33:L229),ROW(L33:L229),"")))</f>
        <v>22.828205128205127</v>
      </c>
      <c r="N33" s="13">
        <f>IF('Données projet'!$A$36&gt;35,N32+M33-V32,IF(A33&lt;'Données projet'!$A$36,$K$205^A33,IF(A33='Données projet'!$A$36,'Données projet'!$B$36,N32+M33-V32)))</f>
        <v>331.86923076923063</v>
      </c>
      <c r="O33" s="13">
        <f>N33*VLOOKUP('Données projet'!$B$9,Paramètres!$A$1:$I$89,3,0)*VLOOKUP('Données projet'!$B$9,Paramètres!$A$1:$I$89,5,0)</f>
        <v>185.5148999999999</v>
      </c>
      <c r="P33" s="13">
        <f t="shared" si="33"/>
        <v>46.546986497298995</v>
      </c>
      <c r="Q33" s="20">
        <f t="shared" si="2"/>
        <v>404.17445231612891</v>
      </c>
      <c r="R33" s="59">
        <f t="shared" si="0"/>
        <v>697.50778564946222</v>
      </c>
      <c r="S33" s="59">
        <f ca="1">AVERAGE(OFFSET($R$3,0,0,'Données projet'!$E$9+1,1))-AVERAGE(OFFSET($H$3,0,0,'Données projet'!$E$9+1,1))</f>
        <v>255.5374979188561</v>
      </c>
      <c r="T33" s="59">
        <f t="shared" si="34"/>
        <v>343.10418468620901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65.669230769230765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3.0900408465544178</v>
      </c>
      <c r="AA33" s="21">
        <f>EXP(-LN(2)/25)*AA32+(1-EXP(-LN(2)/25))/(LN(2)/25)*Calculateur!V33*Calculateur!X33*VLOOKUP('Données projet'!$B$9,Paramètres!$A$1:$I$89,3,0)*0.475*44/12</f>
        <v>15.960259130268007</v>
      </c>
      <c r="AB33" s="21">
        <f>EXP(-LN(2)/2)*AB32+(1-EXP(-LN(2)/2))/(LN(2)/2)*V33*Y33*VLOOKUP('Données projet'!$B$9,Paramètres!$A$1:$I$89,3,0)*0.475*44/12</f>
        <v>1.692652079454066</v>
      </c>
      <c r="AC33" s="22">
        <f t="shared" si="3"/>
        <v>20.74295205627649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216.79230769230767</v>
      </c>
      <c r="AG33" s="12">
        <f>VLOOKUP(A33,'Données projet'!$A$61:$I$81,9,0)</f>
        <v>7.2264102564102561</v>
      </c>
      <c r="AH33" s="12">
        <f t="array" ref="AH33">INDEX(AG:AG,MIN(IF(ISNUMBER(AG33:AG229),ROW(AG33:AG229),"")))</f>
        <v>7.2264102564102561</v>
      </c>
      <c r="AI33" s="13">
        <f>IF('Données projet'!$A$62&gt;35,AI32+AH33-AQ32,IF(A33&lt;'Données projet'!$A$62,$AF$205^A33,IF(A33='Données projet'!$A$62,'Données projet'!$B$62,AI32+AH33-AQ32)))</f>
        <v>216.79230769230767</v>
      </c>
      <c r="AJ33" s="13">
        <f>AI33*VLOOKUP('Données projet'!$B$10,Paramètres!$A$1:$I$89,3,0)*VLOOKUP('Données projet'!$B$10,Paramètres!$A$1:$I$89,5,0)</f>
        <v>101.45879999999998</v>
      </c>
      <c r="AK33" s="13">
        <f t="shared" si="35"/>
        <v>27.309243053465156</v>
      </c>
      <c r="AL33" s="20">
        <f t="shared" si="4"/>
        <v>224.27100831811845</v>
      </c>
      <c r="AM33" s="59">
        <f t="shared" si="5"/>
        <v>517.6043416514517</v>
      </c>
      <c r="AN33" s="59">
        <f ca="1">AVERAGE(OFFSET($AM$3,0,0,'Données projet'!$E$10+1,1))-AVERAGE(OFFSET($H$3,0,0,'Données projet'!$E$10+1,1))</f>
        <v>158.58786357608489</v>
      </c>
      <c r="AO33" s="59">
        <f t="shared" si="36"/>
        <v>163.20074068819849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19.393589743589743</v>
      </c>
      <c r="BD33" s="12">
        <f>IF('Données projet'!$A$88&gt;35,BD32+BC33-BL32,IF(A33&lt;'Données projet'!$A$88,$BA$205^A33,IF(A33='Données projet'!$A$88,'Données projet'!$B$88,BD32+BC33-BL32)))</f>
        <v>280.0051282051283</v>
      </c>
      <c r="BE33" s="13">
        <f>BD33*VLOOKUP('Données projet'!$B$11,Paramètres!$A$1:$I$89,3,0)*VLOOKUP('Données projet'!$B$11,Paramètres!$A$1:$I$89,5,0)</f>
        <v>167.44306666666677</v>
      </c>
      <c r="BF33" s="13">
        <f t="shared" si="37"/>
        <v>42.516851449807113</v>
      </c>
      <c r="BG33" s="20">
        <f t="shared" si="7"/>
        <v>365.68019071952534</v>
      </c>
      <c r="BH33" s="59">
        <f t="shared" si="8"/>
        <v>659.01352405285866</v>
      </c>
      <c r="BI33" s="59">
        <f ca="1">AVERAGE(OFFSET($BH$3,0,0,'Données projet'!$E$11+1,1))-AVERAGE(OFFSET($H$3,0,0,'Données projet'!$E$11+1,1))</f>
        <v>243.85350804244348</v>
      </c>
      <c r="BJ33" s="59">
        <f t="shared" si="38"/>
        <v>304.60992308960545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4.525836143477882</v>
      </c>
      <c r="BQ33" s="21">
        <f>EXP(-LN(2)/25)*BQ32+(1-EXP(-LN(2)/25))/(LN(2)/25)*Calculateur!BL33*Calculateur!BN33*VLOOKUP('Données projet'!$B$11,Paramètres!$A$1:$I$89,3,0)*0.475*44/12</f>
        <v>17.728900757462476</v>
      </c>
      <c r="BR33" s="21">
        <f>EXP(-LN(2)/2)*BR32+(1-EXP(-LN(2)/2))/(LN(2)/2)*BL33*BO33*VLOOKUP('Données projet'!$B$11,Paramètres!$A$1:$I$89,3,0)*0.475*44/12</f>
        <v>3.7382265272716979</v>
      </c>
      <c r="BS33" s="22">
        <f t="shared" si="9"/>
        <v>25.992963428212057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200</v>
      </c>
      <c r="BW33" s="12">
        <f>VLOOKUP(A33,'Données projet'!$A$113:$I$133,9,0)</f>
        <v>13.3</v>
      </c>
      <c r="BX33" s="12">
        <f t="array" ref="BX33">INDEX(BW:BW,MIN(IF(ISNUMBER(BW33:BW229),ROW(BW33:BW229),"")))</f>
        <v>13.3</v>
      </c>
      <c r="BY33" s="12">
        <f>IF('Données projet'!$A$114&gt;35,BY32+BX33-CG32,IF(A33&lt;'Données projet'!$A$114,$BV$205^A33,IF(A33='Données projet'!$A$114,'Données projet'!$B$114,BY32+BX33-CG32)))</f>
        <v>200.00000000000006</v>
      </c>
      <c r="BZ33" s="13">
        <f>BY33*VLOOKUP('Données projet'!$B$12,Paramètres!$A$1:$I$89,3,0)*VLOOKUP('Données projet'!$B$12,Paramètres!$A$1:$I$89,5,0)</f>
        <v>119.60000000000004</v>
      </c>
      <c r="CA33" s="13">
        <f t="shared" si="39"/>
        <v>31.581687741452708</v>
      </c>
      <c r="CB33" s="20">
        <f t="shared" si="10"/>
        <v>263.30810614969687</v>
      </c>
      <c r="CC33" s="59">
        <f t="shared" si="11"/>
        <v>556.64143948303013</v>
      </c>
      <c r="CD33" s="59">
        <f ca="1">AVERAGE(OFFSET($CC$3,0,0,'Données projet'!$E$12+1,1))-AVERAGE(OFFSET($H$3,0,0,'Données projet'!$E$12+1,1))</f>
        <v>270.30888762640245</v>
      </c>
      <c r="CE33" s="59">
        <f t="shared" si="40"/>
        <v>202.23783851977691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60</v>
      </c>
      <c r="CH33" s="16">
        <f>IF(ISNA(VLOOKUP(A33,'Données projet'!$A$113:$I$133,5,0)),0%,VLOOKUP(A33,'Données projet'!$A$113:$I$133,5,0)*VLOOKUP('Données projet'!$B$12,Paramètres!$A$1:$I$89,7,0))</f>
        <v>4.5000000000000005E-2</v>
      </c>
      <c r="CI33" s="16">
        <f>IF(ISNA(VLOOKUP(A33,'Données projet'!$A$113:$I$133,6,0)),0%,VLOOKUP(A33,'Données projet'!$A$113:$I$133,6,0)*VLOOKUP('Données projet'!$B$12,Paramètres!$A$1:$I$89,7,0))</f>
        <v>0.20250000000000001</v>
      </c>
      <c r="CJ33" s="16">
        <f>IF(ISNA(VLOOKUP(A33,'Données projet'!$A$113:$I$133,7,0)),0%,VLOOKUP(A33,'Données projet'!$A$113:$I$133,7,0))</f>
        <v>0.45</v>
      </c>
      <c r="CK33" s="21">
        <f>EXP(-LN(2)/35)*CK32+(1-EXP(-LN(2)/35))/(LN(2)/35)*CG33*CH33*VLOOKUP('Données projet'!$B$12,Paramètres!$A$1:$I$89,3,0)*0.475*44/12</f>
        <v>2.1418709697526821</v>
      </c>
      <c r="CL33" s="21">
        <f>EXP(-LN(2)/25)*CL32+(1-EXP(-LN(2)/25))/(LN(2)/25)*Calculateur!CG33*Calculateur!CI33*VLOOKUP('Données projet'!$B$12,Paramètres!$A$1:$I$89,3,0)*0.475*44/12</f>
        <v>12.295208172240732</v>
      </c>
      <c r="CM33" s="21">
        <f>EXP(-LN(2)/2)*CM32+(1-EXP(-LN(2)/2))/(LN(2)/2)*CG33*CJ33*VLOOKUP('Données projet'!$B$12,Paramètres!$A$1:$I$89,3,0)*0.475*44/12</f>
        <v>18.49260858646258</v>
      </c>
      <c r="CN33" s="22">
        <f t="shared" si="12"/>
        <v>32.929687728455995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212</v>
      </c>
      <c r="CR33" s="12">
        <f>VLOOKUP(A33,'Données projet'!$A$139:$I$159,9,0)</f>
        <v>14.5</v>
      </c>
      <c r="CS33" s="12">
        <f t="array" ref="CS33">INDEX(CR:CR,MIN(IF(ISNUMBER(CR33:CR229),ROW(CR33:CR229),"")))</f>
        <v>14.5</v>
      </c>
      <c r="CT33" s="12">
        <f>IF('Données projet'!$A$140&gt;35,CT32+CS33-DB32,IF(A33&lt;'Données projet'!$A$140,$CQ$205^A33,IF(A33='Données projet'!$A$140,'Données projet'!$B$140,CT32+CS33-DB32)))</f>
        <v>212</v>
      </c>
      <c r="CU33" s="17">
        <f>CT33*VLOOKUP('Données projet'!$B$13,Paramètres!$A$1:$I$89,3,0)*VLOOKUP('Données projet'!$B$13,Paramètres!$A$1:$I$89,5,0)</f>
        <v>168.66720000000001</v>
      </c>
      <c r="CV33" s="13">
        <f t="shared" si="41"/>
        <v>42.791384119459089</v>
      </c>
      <c r="CW33" s="20">
        <f t="shared" si="13"/>
        <v>368.29036734139123</v>
      </c>
      <c r="CX33" s="59">
        <f t="shared" si="14"/>
        <v>661.62370067472455</v>
      </c>
      <c r="CY33" s="59">
        <f ca="1">AVERAGE(OFFSET($CX$3,0,0,'Données projet'!$E$13+1,1))-AVERAGE(OFFSET($H$3,0,0,'Données projet'!$E$13+1,1))</f>
        <v>260.20517190557814</v>
      </c>
      <c r="CZ33" s="59">
        <f t="shared" si="42"/>
        <v>307.22009971147133</v>
      </c>
      <c r="DA33" s="15">
        <f>IF(ISNA(VLOOKUP(A33,'Données projet'!$A$139:$I$159,3,0)),0,VLOOKUP(A33,'Données projet'!$A$139:$I$159,3,0))</f>
        <v>2</v>
      </c>
      <c r="DB33" s="15">
        <f>IF(ISNA(VLOOKUP(A33,'Données projet'!$A$139:$I$159,4,0)),0,VLOOKUP(A33,'Données projet'!$A$139:$I$159,4,0))</f>
        <v>70</v>
      </c>
      <c r="DC33" s="16">
        <f>IF(ISNA(VLOOKUP(A33,'Données projet'!$A$139:$I$159,5,0)),0%,VLOOKUP(A33,'Données projet'!$A$139:$I$159,5,0)*VLOOKUP('Données projet'!$B$13,Paramètres!$A$1:$I$89,7,0))</f>
        <v>5.3000000000000005E-2</v>
      </c>
      <c r="DD33" s="16">
        <f>IF(ISNA(VLOOKUP(A33,'Données projet'!$A$139:$I$159,6,0)),0%,VLOOKUP(A33,'Données projet'!$A$139:$I$159,6,0)*VLOOKUP('Données projet'!$B$13,Paramètres!$A$1:$I$89,7,0))</f>
        <v>0.23850000000000002</v>
      </c>
      <c r="DE33" s="16">
        <f>IF(ISNA(VLOOKUP(A33,'Données projet'!$A$139:$I$159,7,0)),0%,VLOOKUP(A33,'Données projet'!$A$139:$I$159,7,0))</f>
        <v>0.45</v>
      </c>
      <c r="DF33" s="21">
        <f>EXP(-LN(2)/35)*DF32+(1-EXP(-LN(2)/35))/(LN(2)/35)*DB33*DC33*VLOOKUP('Données projet'!$B$13,Paramètres!$A$1:$I$89,3,0)*0.475*44/12</f>
        <v>3.2629903879783009</v>
      </c>
      <c r="DG33" s="21">
        <f>EXP(-LN(2)/25)*DG32+(1-EXP(-LN(2)/25))/(LN(2)/25)*Calculateur!DB33*Calculateur!DD33*VLOOKUP('Données projet'!$B$13,Paramètres!$A$1:$I$89,3,0)*0.475*44/12</f>
        <v>20.519602724797</v>
      </c>
      <c r="DH33" s="21">
        <f>EXP(-LN(2)/2)*DH32+(1-EXP(-LN(2)/2))/(LN(2)/2)*DB33*DE33*VLOOKUP('Données projet'!$B$13,Paramètres!$A$1:$I$89,3,0)*0.475*44/12</f>
        <v>24.039034252757283</v>
      </c>
      <c r="DI33" s="22">
        <f t="shared" si="15"/>
        <v>47.821627365532585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121.88461538461537</v>
      </c>
      <c r="DM33" s="12">
        <f>VLOOKUP(A33,'Données projet'!$A$165:$I$185,9,0)</f>
        <v>4.0628205128205126</v>
      </c>
      <c r="DN33" s="12">
        <f t="array" ref="DN33">INDEX(DM:DM,MIN(IF(ISNUMBER(DM33:DM229),ROW(DM33:DM229),"")))</f>
        <v>4.0628205128205126</v>
      </c>
      <c r="DO33" s="12">
        <f>IF('Données projet'!$A$166&gt;35,DO32+DN33-DW32,IF(A33&lt;'Données projet'!$A$166,$DL$205^A33,IF(A33='Données projet'!$A$166,'Données projet'!$B$166,DO32+DN33-DW32)))</f>
        <v>121.88461538461537</v>
      </c>
      <c r="DP33" s="17">
        <f>DO33*VLOOKUP('Données projet'!$B$14,Paramètres!$A$1:$I$89,3,0)*VLOOKUP('Données projet'!$B$14,Paramètres!$A$1:$I$89,5,0)</f>
        <v>123.59099999999999</v>
      </c>
      <c r="DQ33" s="13">
        <f t="shared" si="43"/>
        <v>32.511098372760657</v>
      </c>
      <c r="DR33" s="20">
        <f t="shared" si="16"/>
        <v>271.87782133255809</v>
      </c>
      <c r="DS33" s="59">
        <f t="shared" si="17"/>
        <v>565.2111546658914</v>
      </c>
      <c r="DT33" s="59">
        <f ca="1">AVERAGE(OFFSET($DS$3,0,0,'Données projet'!$E$14+1,1))-AVERAGE(OFFSET($H$3,0,0,'Données projet'!$E$14+1,1))</f>
        <v>263.15518481854753</v>
      </c>
      <c r="DU33" s="59">
        <f t="shared" si="44"/>
        <v>210.80755370263819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212</v>
      </c>
      <c r="EH33" s="12">
        <f>VLOOKUP(A33,'Données projet'!$A$191:$I$211,9,0)</f>
        <v>14.5</v>
      </c>
      <c r="EI33" s="12">
        <f t="array" ref="EI33">INDEX(EH:EH,MIN(IF(ISNUMBER(EH33:EH229),ROW(EH33:EH229),"")))</f>
        <v>14.5</v>
      </c>
      <c r="EJ33" s="12">
        <f>IF('Données projet'!$A$192&gt;35,EJ32+EI33-ER32,IF(A33&lt;'Données projet'!$A$192,$EG$205^A33,IF(A33='Données projet'!$A$192,'Données projet'!$B$192,EJ32+EI33-ER32)))</f>
        <v>212</v>
      </c>
      <c r="EK33" s="17">
        <f>EJ33*VLOOKUP('Données projet'!$B$15,Paramètres!$A$1:$I$89,3,0)*VLOOKUP('Données projet'!$B$15,Paramètres!$A$1:$I$89,5,0)</f>
        <v>142.20959999999999</v>
      </c>
      <c r="EL33" s="13">
        <f t="shared" si="45"/>
        <v>36.802731569585646</v>
      </c>
      <c r="EM33" s="20">
        <f t="shared" si="19"/>
        <v>311.77981081702825</v>
      </c>
      <c r="EN33" s="59">
        <f t="shared" si="20"/>
        <v>605.11314415036156</v>
      </c>
      <c r="EO33" s="59">
        <f ca="1">AVERAGE(OFFSET($EN$3,0,0,'Données projet'!$E$15+1,1))-AVERAGE(OFFSET($H$3,0,0,'Données projet'!$E$15+1,1))</f>
        <v>207.93042467236967</v>
      </c>
      <c r="EP33" s="59">
        <f t="shared" si="46"/>
        <v>250.70954318710835</v>
      </c>
      <c r="EQ33" s="15">
        <f>IF(ISNA(VLOOKUP(A33,'Données projet'!$A$191:$I$211,3,0)),0,VLOOKUP(A33,'Données projet'!$A$191:$I$211,3,0))</f>
        <v>2</v>
      </c>
      <c r="ER33" s="15">
        <f>IF(ISNA(VLOOKUP(A33,'Données projet'!$A$191:$I$211,4,0)),0,VLOOKUP(A33,'Données projet'!$A$191:$I$211,4,0))</f>
        <v>70</v>
      </c>
      <c r="ES33" s="16">
        <f>IF(ISNA(VLOOKUP(A33,'Données projet'!$A$191:$I$211,5,0)),0%,VLOOKUP(A33,'Données projet'!$A$191:$I$211,5,0)*VLOOKUP('Données projet'!$B$15,Paramètres!$A$1:$I$89,7,0))</f>
        <v>5.3000000000000005E-2</v>
      </c>
      <c r="ET33" s="16">
        <f>IF(ISNA(VLOOKUP(A33,'Données projet'!$A$191:$I$211,6,0)),0%,VLOOKUP(A33,'Données projet'!$A$191:$I$211,6,0)*VLOOKUP('Données projet'!$B$15,Paramètres!$A$1:$I$89,7,0))</f>
        <v>0.23850000000000002</v>
      </c>
      <c r="EU33" s="16">
        <f>IF(ISNA(VLOOKUP(A33,'Données projet'!$A$191:$I$211,7,0)),0%,VLOOKUP(A33,'Données projet'!$A$191:$I$211,7,0))</f>
        <v>0.45</v>
      </c>
      <c r="EV33" s="21">
        <f>EXP(-LN(2)/35)*EV32+(1-EXP(-LN(2)/35))/(LN(2)/35)*ER33*ES33*VLOOKUP('Données projet'!$B$15,Paramètres!$A$1:$I$89,3,0)*0.475*44/12</f>
        <v>2.7511487584915084</v>
      </c>
      <c r="EW33" s="21">
        <f>EXP(-LN(2)/25)*EW32+(1-EXP(-LN(2)/25))/(LN(2)/25)*Calculateur!ER33*Calculateur!ET33*VLOOKUP('Données projet'!$B$15,Paramètres!$A$1:$I$89,3,0)*0.475*44/12</f>
        <v>17.300841513064139</v>
      </c>
      <c r="EX33" s="21">
        <f>EXP(-LN(2)/2)*EX32+(1-EXP(-LN(2)/2))/(LN(2)/2)*ER33*EU33*VLOOKUP('Données projet'!$B$15,Paramètres!$A$1:$I$89,3,0)*0.475*44/12</f>
        <v>20.268205350363985</v>
      </c>
      <c r="EY33" s="22">
        <f t="shared" si="21"/>
        <v>40.32019562191963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121.88461538461537</v>
      </c>
      <c r="FC33" s="12">
        <f>VLOOKUP(A33,'Données projet'!$A$217:$I$237,9,0)</f>
        <v>4.0628205128205126</v>
      </c>
      <c r="FD33" s="12">
        <f t="array" ref="FD33">INDEX(FC:FC,MIN(IF(ISNUMBER(FC33:FC229),ROW(FC33:FC229),"")))</f>
        <v>4.0628205128205126</v>
      </c>
      <c r="FE33" s="12">
        <f>IF('Données projet'!$A$218&gt;35,FE32+FD33-FM32,IF(A33&lt;'Données projet'!$A$218,$FB$205^A33,IF(A33='Données projet'!$A$218,'Données projet'!$B$218,FE32+FD33-FM32)))</f>
        <v>121.88461538461537</v>
      </c>
      <c r="FF33" s="17">
        <f>FE33*VLOOKUP('Données projet'!$B$16,Paramètres!$A$1:$I$89,3,0)*VLOOKUP('Données projet'!$B$16,Paramètres!$A$1:$I$89,5,0)</f>
        <v>131.19659999999999</v>
      </c>
      <c r="FG33" s="13">
        <f t="shared" si="47"/>
        <v>34.272710841259901</v>
      </c>
      <c r="FH33" s="20">
        <f t="shared" si="22"/>
        <v>288.19238304852763</v>
      </c>
      <c r="FI33" s="59">
        <f t="shared" si="23"/>
        <v>581.525716381861</v>
      </c>
      <c r="FJ33" s="59">
        <f ca="1">AVERAGE(OFFSET($FI$3,0,0,'Données projet'!$E$16+1,1))-AVERAGE(OFFSET($H$3,0,0,'Données projet'!$E$16+1,1))</f>
        <v>286.77702855541287</v>
      </c>
      <c r="FK33" s="59">
        <f t="shared" si="48"/>
        <v>227.12211541860779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147.25384615384615</v>
      </c>
      <c r="FX33" s="12">
        <f>VLOOKUP(A33,'Données projet'!$A$243:$I$263,9,0)</f>
        <v>4.9084615384615384</v>
      </c>
      <c r="FY33" s="12">
        <f t="array" ref="FY33">INDEX(FX:FX,MIN(IF(ISNUMBER(FX33:FX229),ROW(FX33:FX229),"")))</f>
        <v>4.9084615384615384</v>
      </c>
      <c r="FZ33" s="12">
        <f>IF('Données projet'!$A$244&gt;35,FZ32+FY33-GH32,IF(A33&lt;'Données projet'!$A$244,$FW$205^A33,IF(A33='Données projet'!$A$244,'Données projet'!$B$244,FZ32+FY33-GH32)))</f>
        <v>147.25384615384615</v>
      </c>
      <c r="GA33" s="17">
        <f>FZ33*VLOOKUP('Données projet'!$B$17,Paramètres!$A$1:$I$89,3,0)*VLOOKUP('Données projet'!$B$17,Paramètres!$A$1:$I$89,5,0)</f>
        <v>68.9148</v>
      </c>
      <c r="GB33" s="13">
        <f t="shared" si="49"/>
        <v>19.403719594897876</v>
      </c>
      <c r="GC33" s="20">
        <f t="shared" si="25"/>
        <v>153.82142162778047</v>
      </c>
      <c r="GD33" s="59">
        <f t="shared" si="26"/>
        <v>447.15475496111378</v>
      </c>
      <c r="GE33" s="59">
        <f ca="1">AVERAGE(OFFSET($GD$3,0,0,'Données projet'!$E$17+1,1))-AVERAGE(OFFSET($H$3,0,0,'Données projet'!$E$17+1,1))</f>
        <v>123.2823358462245</v>
      </c>
      <c r="GF33" s="59">
        <f t="shared" si="50"/>
        <v>92.75115399786057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0</v>
      </c>
      <c r="GN33" s="21">
        <f>EXP(-LN(2)/2)*GN32+(1-EXP(-LN(2)/2))/(LN(2)/2)*GH33*GK33*VLOOKUP('Données projet'!$B$17,Paramètres!$A$1:$I$89,3,0)*0.475*44/12</f>
        <v>0</v>
      </c>
      <c r="GO33" s="21">
        <f t="shared" si="27"/>
        <v>0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14.298901098901101</v>
      </c>
      <c r="GU33" s="12">
        <f>IF('Données projet'!$A$270&gt;35,GU32+GT33-HC32,IF(A33&lt;'Données projet'!$A$270,$GR$205^A33,IF(A33='Données projet'!$A$270,'Données projet'!$B$270,GU32+GT33-HC32)))</f>
        <v>176.78351648351651</v>
      </c>
      <c r="GV33" s="17">
        <f>GU33*VLOOKUP('Données projet'!$B$18,Paramètres!$A$1:$I$89,3,0)*VLOOKUP('Données projet'!$B$18,Paramètres!$A$1:$I$89,5,0)</f>
        <v>105.71654285714287</v>
      </c>
      <c r="GW33" s="13">
        <f t="shared" si="51"/>
        <v>28.319447591123378</v>
      </c>
      <c r="GX33" s="20">
        <f t="shared" si="28"/>
        <v>233.44601669739703</v>
      </c>
      <c r="GY33" s="59">
        <f t="shared" si="29"/>
        <v>526.77935003073037</v>
      </c>
      <c r="GZ33" s="59">
        <f ca="1">AVERAGE(OFFSET($GY$3,0,0,'Données projet'!$E$18+1,1))-AVERAGE(OFFSET($H$3,0,0,'Données projet'!$E$18+1,1))</f>
        <v>171.96009656745713</v>
      </c>
      <c r="HA33" s="59">
        <f t="shared" si="52"/>
        <v>172.37574906747716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>
        <f>EXP(-LN(2)/35)*HG32+(1-EXP(-LN(2)/35))/(LN(2)/35)*HC33*HD33*VLOOKUP('Données projet'!$B$18,Paramètres!$A$1:$I$89,3,0)*0.475*44/12</f>
        <v>1.6680507275939211</v>
      </c>
      <c r="HH33" s="21">
        <f>EXP(-LN(2)/25)*HH32+(1-EXP(-LN(2)/25))/(LN(2)/25)*Calculateur!HC33*Calculateur!HE33*VLOOKUP('Données projet'!$B$18,Paramètres!$A$1:$I$89,3,0)*0.475*44/12</f>
        <v>20.556970520678206</v>
      </c>
      <c r="HI33" s="21">
        <f>EXP(-LN(2)/2)*HI32+(1-EXP(-LN(2)/2))/(LN(2)/2)*HC33*HF33*VLOOKUP('Données projet'!$B$18,Paramètres!$A$1:$I$89,3,0)*0.475*44/12</f>
        <v>12.044621279726165</v>
      </c>
      <c r="HJ33" s="22">
        <f t="shared" si="30"/>
        <v>34.269642527998293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22.884615384615376</v>
      </c>
      <c r="N34" s="13">
        <f>IF('Données projet'!$A$36&gt;35,N33+M34-V33,IF(A34&lt;'Données projet'!$A$36,$K$205^A34,IF(A34='Données projet'!$A$36,'Données projet'!$B$36,N33+M34-V33)))</f>
        <v>289.08461538461523</v>
      </c>
      <c r="O34" s="13">
        <f>N34*VLOOKUP('Données projet'!$B$9,Paramètres!$A$1:$I$89,3,0)*VLOOKUP('Données projet'!$B$9,Paramètres!$A$1:$I$89,5,0)</f>
        <v>161.59829999999991</v>
      </c>
      <c r="P34" s="13">
        <f t="shared" si="33"/>
        <v>41.202807619439696</v>
      </c>
      <c r="Q34" s="20">
        <f t="shared" si="2"/>
        <v>353.2119291038573</v>
      </c>
      <c r="R34" s="59">
        <f t="shared" si="0"/>
        <v>646.54526243719056</v>
      </c>
      <c r="S34" s="59">
        <f ca="1">AVERAGE(OFFSET($R$3,0,0,'Données projet'!$E$9+1,1))-AVERAGE(OFFSET($H$3,0,0,'Données projet'!$E$9+1,1))</f>
        <v>255.5374979188561</v>
      </c>
      <c r="T34" s="59">
        <f t="shared" si="34"/>
        <v>343.10418468620901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3.0294470302922996</v>
      </c>
      <c r="AA34" s="21">
        <f>EXP(-LN(2)/25)*AA33+(1-EXP(-LN(2)/25))/(LN(2)/25)*Calculateur!V34*Calculateur!X34*VLOOKUP('Données projet'!$B$9,Paramètres!$A$1:$I$89,3,0)*0.475*44/12</f>
        <v>15.523825005037278</v>
      </c>
      <c r="AB34" s="21">
        <f>EXP(-LN(2)/2)*AB33+(1-EXP(-LN(2)/2))/(LN(2)/2)*V34*Y34*VLOOKUP('Données projet'!$B$9,Paramètres!$A$1:$I$89,3,0)*0.475*44/12</f>
        <v>1.1968857635714809</v>
      </c>
      <c r="AC34" s="22">
        <f t="shared" si="3"/>
        <v>19.750157798901057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16.131410256410259</v>
      </c>
      <c r="AI34" s="13">
        <f>IF('Données projet'!$A$62&gt;35,AI33+AH34-AQ33,IF(A34&lt;'Données projet'!$A$62,$AF$205^A34,IF(A34='Données projet'!$A$62,'Données projet'!$B$62,AI33+AH34-AQ33)))</f>
        <v>232.92371794871792</v>
      </c>
      <c r="AJ34" s="13">
        <f>AI34*VLOOKUP('Données projet'!$B$10,Paramètres!$A$1:$I$89,3,0)*VLOOKUP('Données projet'!$B$10,Paramètres!$A$1:$I$89,5,0)</f>
        <v>109.00829999999998</v>
      </c>
      <c r="AK34" s="13">
        <f t="shared" si="35"/>
        <v>29.097209307093255</v>
      </c>
      <c r="AL34" s="20">
        <f t="shared" si="4"/>
        <v>240.53376204318738</v>
      </c>
      <c r="AM34" s="59">
        <f t="shared" si="5"/>
        <v>533.86709537652064</v>
      </c>
      <c r="AN34" s="59">
        <f ca="1">AVERAGE(OFFSET($AM$3,0,0,'Données projet'!$E$10+1,1))-AVERAGE(OFFSET($H$3,0,0,'Données projet'!$E$10+1,1))</f>
        <v>158.58786357608489</v>
      </c>
      <c r="AO34" s="59">
        <f t="shared" si="36"/>
        <v>163.20074068819849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19.393589743589743</v>
      </c>
      <c r="BD34" s="12">
        <f>IF('Données projet'!$A$88&gt;35,BD33+BC34-BL33,IF(A34&lt;'Données projet'!$A$88,$BA$205^A34,IF(A34='Données projet'!$A$88,'Données projet'!$B$88,BD33+BC34-BL33)))</f>
        <v>299.39871794871806</v>
      </c>
      <c r="BE34" s="13">
        <f>BD34*VLOOKUP('Données projet'!$B$11,Paramètres!$A$1:$I$89,3,0)*VLOOKUP('Données projet'!$B$11,Paramètres!$A$1:$I$89,5,0)</f>
        <v>179.04043333333343</v>
      </c>
      <c r="BF34" s="13">
        <f t="shared" si="37"/>
        <v>45.108633894312518</v>
      </c>
      <c r="BG34" s="20">
        <f t="shared" si="7"/>
        <v>390.39295875481668</v>
      </c>
      <c r="BH34" s="59">
        <f t="shared" si="8"/>
        <v>683.72629208814999</v>
      </c>
      <c r="BI34" s="59">
        <f ca="1">AVERAGE(OFFSET($BH$3,0,0,'Données projet'!$E$11+1,1))-AVERAGE(OFFSET($H$3,0,0,'Données projet'!$E$11+1,1))</f>
        <v>243.85350804244348</v>
      </c>
      <c r="BJ34" s="59">
        <f t="shared" si="38"/>
        <v>304.60992308960545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4.4370872571917523</v>
      </c>
      <c r="BQ34" s="21">
        <f>EXP(-LN(2)/25)*BQ33+(1-EXP(-LN(2)/25))/(LN(2)/25)*Calculateur!BL34*Calculateur!BN34*VLOOKUP('Données projet'!$B$11,Paramètres!$A$1:$I$89,3,0)*0.475*44/12</f>
        <v>17.244103033927296</v>
      </c>
      <c r="BR34" s="21">
        <f>EXP(-LN(2)/2)*BR33+(1-EXP(-LN(2)/2))/(LN(2)/2)*BL34*BO34*VLOOKUP('Données projet'!$B$11,Paramètres!$A$1:$I$89,3,0)*0.475*44/12</f>
        <v>2.6433253270452561</v>
      </c>
      <c r="BS34" s="22">
        <f t="shared" si="9"/>
        <v>24.324515618164305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15.7</v>
      </c>
      <c r="BY34" s="12">
        <f>IF('Données projet'!$A$114&gt;35,BY33+BX34-CG33,IF(A34&lt;'Données projet'!$A$114,$BV$205^A34,IF(A34='Données projet'!$A$114,'Données projet'!$B$114,BY33+BX34-CG33)))</f>
        <v>155.70000000000005</v>
      </c>
      <c r="BZ34" s="13">
        <f>BY34*VLOOKUP('Données projet'!$B$12,Paramètres!$A$1:$I$89,3,0)*VLOOKUP('Données projet'!$B$12,Paramètres!$A$1:$I$89,5,0)</f>
        <v>93.108600000000038</v>
      </c>
      <c r="CA34" s="13">
        <f t="shared" si="39"/>
        <v>25.313456376926009</v>
      </c>
      <c r="CB34" s="20">
        <f t="shared" si="10"/>
        <v>206.25174818981284</v>
      </c>
      <c r="CC34" s="59">
        <f t="shared" si="11"/>
        <v>499.58508152314619</v>
      </c>
      <c r="CD34" s="59">
        <f ca="1">AVERAGE(OFFSET($CC$3,0,0,'Données projet'!$E$12+1,1))-AVERAGE(OFFSET($H$3,0,0,'Données projet'!$E$12+1,1))</f>
        <v>270.30888762640245</v>
      </c>
      <c r="CE34" s="59">
        <f t="shared" si="40"/>
        <v>202.23783851977691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2.099870186448126</v>
      </c>
      <c r="CL34" s="21">
        <f>EXP(-LN(2)/25)*CL33+(1-EXP(-LN(2)/25))/(LN(2)/25)*Calculateur!CG34*Calculateur!CI34*VLOOKUP('Données projet'!$B$12,Paramètres!$A$1:$I$89,3,0)*0.475*44/12</f>
        <v>11.958995058193914</v>
      </c>
      <c r="CM34" s="21">
        <f>EXP(-LN(2)/2)*CM33+(1-EXP(-LN(2)/2))/(LN(2)/2)*CG34*CJ34*VLOOKUP('Données projet'!$B$12,Paramètres!$A$1:$I$89,3,0)*0.475*44/12</f>
        <v>13.076248933316267</v>
      </c>
      <c r="CN34" s="22">
        <f t="shared" si="12"/>
        <v>27.135114177958307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12.1</v>
      </c>
      <c r="CT34" s="12">
        <f>IF('Données projet'!$A$140&gt;35,CT33+CS34-DB33,IF(A34&lt;'Données projet'!$A$140,$CQ$205^A34,IF(A34='Données projet'!$A$140,'Données projet'!$B$140,CT33+CS34-DB33)))</f>
        <v>154.1</v>
      </c>
      <c r="CU34" s="17">
        <f>CT34*VLOOKUP('Données projet'!$B$13,Paramètres!$A$1:$I$89,3,0)*VLOOKUP('Données projet'!$B$13,Paramètres!$A$1:$I$89,5,0)</f>
        <v>122.60195999999999</v>
      </c>
      <c r="CV34" s="13">
        <f t="shared" si="41"/>
        <v>32.281104011674643</v>
      </c>
      <c r="CW34" s="20">
        <f t="shared" si="13"/>
        <v>269.75466982033333</v>
      </c>
      <c r="CX34" s="59">
        <f t="shared" si="14"/>
        <v>563.0880031536667</v>
      </c>
      <c r="CY34" s="59">
        <f ca="1">AVERAGE(OFFSET($CX$3,0,0,'Données projet'!$E$13+1,1))-AVERAGE(OFFSET($H$3,0,0,'Données projet'!$E$13+1,1))</f>
        <v>260.20517190557814</v>
      </c>
      <c r="CZ34" s="59">
        <f t="shared" si="42"/>
        <v>307.22009971147133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3.1990051366976644</v>
      </c>
      <c r="DG34" s="21">
        <f>EXP(-LN(2)/25)*DG33+(1-EXP(-LN(2)/25))/(LN(2)/25)*Calculateur!DB34*Calculateur!DD34*VLOOKUP('Données projet'!$B$13,Paramètres!$A$1:$I$89,3,0)*0.475*44/12</f>
        <v>19.958493109208415</v>
      </c>
      <c r="DH34" s="21">
        <f>EXP(-LN(2)/2)*DH33+(1-EXP(-LN(2)/2))/(LN(2)/2)*DB34*DE34*VLOOKUP('Données projet'!$B$13,Paramètres!$A$1:$I$89,3,0)*0.475*44/12</f>
        <v>16.998164133300367</v>
      </c>
      <c r="DI34" s="22">
        <f t="shared" si="15"/>
        <v>40.155662379206447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8.0564102564102562</v>
      </c>
      <c r="DO34" s="12">
        <f>IF('Données projet'!$A$166&gt;35,DO33+DN34-DW33,IF(A34&lt;'Données projet'!$A$166,$DL$205^A34,IF(A34='Données projet'!$A$166,'Données projet'!$B$166,DO33+DN34-DW33)))</f>
        <v>129.94102564102562</v>
      </c>
      <c r="DP34" s="17">
        <f>DO34*VLOOKUP('Données projet'!$B$14,Paramètres!$A$1:$I$89,3,0)*VLOOKUP('Données projet'!$B$14,Paramètres!$A$1:$I$89,5,0)</f>
        <v>131.7602</v>
      </c>
      <c r="DQ34" s="13">
        <f t="shared" si="43"/>
        <v>34.402770960054035</v>
      </c>
      <c r="DR34" s="20">
        <f t="shared" si="16"/>
        <v>289.40050775542738</v>
      </c>
      <c r="DS34" s="59">
        <f t="shared" si="17"/>
        <v>582.73384108876076</v>
      </c>
      <c r="DT34" s="59">
        <f ca="1">AVERAGE(OFFSET($DS$3,0,0,'Données projet'!$E$14+1,1))-AVERAGE(OFFSET($H$3,0,0,'Données projet'!$E$14+1,1))</f>
        <v>263.15518481854753</v>
      </c>
      <c r="DU34" s="59">
        <f t="shared" si="44"/>
        <v>210.80755370263819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12.1</v>
      </c>
      <c r="EJ34" s="12">
        <f>IF('Données projet'!$A$192&gt;35,EJ33+EI34-ER33,IF(A34&lt;'Données projet'!$A$192,$EG$205^A34,IF(A34='Données projet'!$A$192,'Données projet'!$B$192,EJ33+EI34-ER33)))</f>
        <v>154.1</v>
      </c>
      <c r="EK34" s="17">
        <f>EJ34*VLOOKUP('Données projet'!$B$15,Paramètres!$A$1:$I$89,3,0)*VLOOKUP('Données projet'!$B$15,Paramètres!$A$1:$I$89,5,0)</f>
        <v>103.37027999999999</v>
      </c>
      <c r="EL34" s="13">
        <f t="shared" si="45"/>
        <v>27.763364755740294</v>
      </c>
      <c r="EM34" s="20">
        <f t="shared" si="19"/>
        <v>228.39109794958097</v>
      </c>
      <c r="EN34" s="59">
        <f t="shared" si="20"/>
        <v>521.72443128291434</v>
      </c>
      <c r="EO34" s="59">
        <f ca="1">AVERAGE(OFFSET($EN$3,0,0,'Données projet'!$E$15+1,1))-AVERAGE(OFFSET($H$3,0,0,'Données projet'!$E$15+1,1))</f>
        <v>207.93042467236967</v>
      </c>
      <c r="EP34" s="59">
        <f t="shared" si="46"/>
        <v>250.70954318710835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2.6972004093725404</v>
      </c>
      <c r="EW34" s="21">
        <f>EXP(-LN(2)/25)*EW33+(1-EXP(-LN(2)/25))/(LN(2)/25)*Calculateur!ER34*Calculateur!ET34*VLOOKUP('Données projet'!$B$15,Paramètres!$A$1:$I$89,3,0)*0.475*44/12</f>
        <v>16.827749092077685</v>
      </c>
      <c r="EX34" s="21">
        <f>EXP(-LN(2)/2)*EX33+(1-EXP(-LN(2)/2))/(LN(2)/2)*ER34*EU34*VLOOKUP('Données projet'!$B$15,Paramètres!$A$1:$I$89,3,0)*0.475*44/12</f>
        <v>14.331785445723838</v>
      </c>
      <c r="EY34" s="22">
        <f t="shared" si="21"/>
        <v>33.856734947174061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8.0564102564102562</v>
      </c>
      <c r="FE34" s="12">
        <f>IF('Données projet'!$A$218&gt;35,FE33+FD34-FM33,IF(A34&lt;'Données projet'!$A$218,$FB$205^A34,IF(A34='Données projet'!$A$218,'Données projet'!$B$218,FE33+FD34-FM33)))</f>
        <v>129.94102564102562</v>
      </c>
      <c r="FF34" s="17">
        <f>FE34*VLOOKUP('Données projet'!$B$16,Paramètres!$A$1:$I$89,3,0)*VLOOKUP('Données projet'!$B$16,Paramètres!$A$1:$I$89,5,0)</f>
        <v>139.86851999999996</v>
      </c>
      <c r="FG34" s="13">
        <f t="shared" si="47"/>
        <v>36.266883626420665</v>
      </c>
      <c r="FH34" s="20">
        <f t="shared" si="22"/>
        <v>306.76916131601587</v>
      </c>
      <c r="FI34" s="59">
        <f t="shared" si="23"/>
        <v>600.10249464934918</v>
      </c>
      <c r="FJ34" s="59">
        <f ca="1">AVERAGE(OFFSET($FI$3,0,0,'Données projet'!$E$16+1,1))-AVERAGE(OFFSET($H$3,0,0,'Données projet'!$E$16+1,1))</f>
        <v>286.77702855541287</v>
      </c>
      <c r="FK34" s="59">
        <f t="shared" si="48"/>
        <v>227.12211541860779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11.443589743589742</v>
      </c>
      <c r="FZ34" s="12">
        <f>IF('Données projet'!$A$244&gt;35,FZ33+FY34-GH33,IF(A34&lt;'Données projet'!$A$244,$FW$205^A34,IF(A34='Données projet'!$A$244,'Données projet'!$B$244,FZ33+FY34-GH33)))</f>
        <v>158.69743589743589</v>
      </c>
      <c r="GA34" s="17">
        <f>FZ34*VLOOKUP('Données projet'!$B$17,Paramètres!$A$1:$I$89,3,0)*VLOOKUP('Données projet'!$B$17,Paramètres!$A$1:$I$89,5,0)</f>
        <v>74.270399999999995</v>
      </c>
      <c r="GB34" s="13">
        <f t="shared" si="49"/>
        <v>20.730265914492005</v>
      </c>
      <c r="GC34" s="20">
        <f t="shared" si="25"/>
        <v>165.4594931344069</v>
      </c>
      <c r="GD34" s="59">
        <f t="shared" si="26"/>
        <v>458.79282646774021</v>
      </c>
      <c r="GE34" s="59">
        <f ca="1">AVERAGE(OFFSET($GD$3,0,0,'Données projet'!$E$17+1,1))-AVERAGE(OFFSET($H$3,0,0,'Données projet'!$E$17+1,1))</f>
        <v>123.2823358462245</v>
      </c>
      <c r="GF34" s="59">
        <f t="shared" si="50"/>
        <v>92.75115399786057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0</v>
      </c>
      <c r="GM34" s="21">
        <f>EXP(-LN(2)/25)*GM33+(1-EXP(-LN(2)/25))/(LN(2)/25)*Calculateur!GH34*Calculateur!GJ34*VLOOKUP('Données projet'!$B$17,Paramètres!$A$1:$I$89,3,0)*0.475*44/12</f>
        <v>0</v>
      </c>
      <c r="GN34" s="21">
        <f>EXP(-LN(2)/2)*GN33+(1-EXP(-LN(2)/2))/(LN(2)/2)*GH34*GK34*VLOOKUP('Données projet'!$B$17,Paramètres!$A$1:$I$89,3,0)*0.475*44/12</f>
        <v>0</v>
      </c>
      <c r="GO34" s="21">
        <f t="shared" si="27"/>
        <v>0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14.298901098901101</v>
      </c>
      <c r="GU34" s="12">
        <f>IF('Données projet'!$A$270&gt;35,GU33+GT34-HC33,IF(A34&lt;'Données projet'!$A$270,$GR$205^A34,IF(A34='Données projet'!$A$270,'Données projet'!$B$270,GU33+GT34-HC33)))</f>
        <v>191.08241758241761</v>
      </c>
      <c r="GV34" s="17">
        <f>GU34*VLOOKUP('Données projet'!$B$18,Paramètres!$A$1:$I$89,3,0)*VLOOKUP('Données projet'!$B$18,Paramètres!$A$1:$I$89,5,0)</f>
        <v>114.26728571428573</v>
      </c>
      <c r="GW34" s="13">
        <f t="shared" si="51"/>
        <v>30.334152496808123</v>
      </c>
      <c r="GX34" s="20">
        <f t="shared" si="28"/>
        <v>251.84750488432181</v>
      </c>
      <c r="GY34" s="59">
        <f t="shared" si="29"/>
        <v>545.18083821765515</v>
      </c>
      <c r="GZ34" s="59">
        <f ca="1">AVERAGE(OFFSET($GY$3,0,0,'Données projet'!$E$18+1,1))-AVERAGE(OFFSET($H$3,0,0,'Données projet'!$E$18+1,1))</f>
        <v>171.96009656745713</v>
      </c>
      <c r="HA34" s="59">
        <f t="shared" si="52"/>
        <v>172.37574906747716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>
        <f>EXP(-LN(2)/35)*HG33+(1-EXP(-LN(2)/35))/(LN(2)/35)*HC34*HD34*VLOOKUP('Données projet'!$B$18,Paramètres!$A$1:$I$89,3,0)*0.475*44/12</f>
        <v>1.6353412702362873</v>
      </c>
      <c r="HH34" s="21">
        <f>EXP(-LN(2)/25)*HH33+(1-EXP(-LN(2)/25))/(LN(2)/25)*Calculateur!HC34*Calculateur!HE34*VLOOKUP('Données projet'!$B$18,Paramètres!$A$1:$I$89,3,0)*0.475*44/12</f>
        <v>19.994839080746164</v>
      </c>
      <c r="HI34" s="21">
        <f>EXP(-LN(2)/2)*HI33+(1-EXP(-LN(2)/2))/(LN(2)/2)*HC34*HF34*VLOOKUP('Données projet'!$B$18,Paramètres!$A$1:$I$89,3,0)*0.475*44/12</f>
        <v>8.5168333837181649</v>
      </c>
      <c r="HJ34" s="22">
        <f t="shared" si="30"/>
        <v>30.147013734700618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22.884615384615376</v>
      </c>
      <c r="N35" s="13">
        <f>IF('Données projet'!$A$36&gt;35,N34+M35-V34,IF(A35&lt;'Données projet'!$A$36,$K$205^A35,IF(A35='Données projet'!$A$36,'Données projet'!$B$36,N34+M35-V34)))</f>
        <v>311.96923076923059</v>
      </c>
      <c r="O35" s="13">
        <f>N35*VLOOKUP('Données projet'!$B$9,Paramètres!$A$1:$I$89,3,0)*VLOOKUP('Données projet'!$B$9,Paramètres!$A$1:$I$89,5,0)</f>
        <v>174.39079999999993</v>
      </c>
      <c r="P35" s="13">
        <f t="shared" si="33"/>
        <v>44.071952499783528</v>
      </c>
      <c r="Q35" s="20">
        <f t="shared" ref="Q35:Q66" si="53">(O35+P35)*0.475*44/12</f>
        <v>380.4892939371228</v>
      </c>
      <c r="R35" s="59">
        <f t="shared" si="0"/>
        <v>673.82262727045611</v>
      </c>
      <c r="S35" s="59">
        <f ca="1">AVERAGE(OFFSET($R$3,0,0,'Données projet'!$E$9+1,1))-AVERAGE(OFFSET($H$3,0,0,'Données projet'!$E$9+1,1))</f>
        <v>255.5374979188561</v>
      </c>
      <c r="T35" s="59">
        <f t="shared" si="34"/>
        <v>343.10418468620901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2.9700414218085029</v>
      </c>
      <c r="AA35" s="21">
        <f>EXP(-LN(2)/25)*AA34+(1-EXP(-LN(2)/25))/(LN(2)/25)*Calculateur!V35*Calculateur!X35*VLOOKUP('Données projet'!$B$9,Paramètres!$A$1:$I$89,3,0)*0.475*44/12</f>
        <v>15.099325193912057</v>
      </c>
      <c r="AB35" s="21">
        <f>EXP(-LN(2)/2)*AB34+(1-EXP(-LN(2)/2))/(LN(2)/2)*V35*Y35*VLOOKUP('Données projet'!$B$9,Paramètres!$A$1:$I$89,3,0)*0.475*44/12</f>
        <v>0.84632603972703302</v>
      </c>
      <c r="AC35" s="22">
        <f t="shared" si="3"/>
        <v>18.915692655447593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16.131410256410259</v>
      </c>
      <c r="AI35" s="13">
        <f>IF('Données projet'!$A$62&gt;35,AI34+AH35-AQ34,IF(A35&lt;'Données projet'!$A$62,$AF$205^A35,IF(A35='Données projet'!$A$62,'Données projet'!$B$62,AI34+AH35-AQ34)))</f>
        <v>249.05512820512817</v>
      </c>
      <c r="AJ35" s="13">
        <f>AI35*VLOOKUP('Données projet'!$B$10,Paramètres!$A$1:$I$89,3,0)*VLOOKUP('Données projet'!$B$10,Paramètres!$A$1:$I$89,5,0)</f>
        <v>116.55779999999997</v>
      </c>
      <c r="AK35" s="13">
        <f t="shared" si="35"/>
        <v>30.870807833785406</v>
      </c>
      <c r="AL35" s="20">
        <f t="shared" si="4"/>
        <v>256.7714919771762</v>
      </c>
      <c r="AM35" s="59">
        <f t="shared" si="5"/>
        <v>550.10482531050957</v>
      </c>
      <c r="AN35" s="59">
        <f ca="1">AVERAGE(OFFSET($AM$3,0,0,'Données projet'!$E$10+1,1))-AVERAGE(OFFSET($H$3,0,0,'Données projet'!$E$10+1,1))</f>
        <v>158.58786357608489</v>
      </c>
      <c r="AO35" s="59">
        <f t="shared" si="36"/>
        <v>163.20074068819849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>
        <f>VLOOKUP(A35,'Données projet'!$A$87:$I$107,2,0)</f>
        <v>318.7923076923077</v>
      </c>
      <c r="BB35" s="12">
        <f>VLOOKUP(A35,'Données projet'!$A$87:$I$107,9,0)</f>
        <v>19.393589743589743</v>
      </c>
      <c r="BC35" s="12">
        <f t="array" ref="BC35">INDEX(BB:BB,MIN(IF(ISNUMBER(BB35:BB231),ROW(BB35:BB231),"")))</f>
        <v>19.393589743589743</v>
      </c>
      <c r="BD35" s="12">
        <f>IF('Données projet'!$A$88&gt;35,BD34+BC35-BL34,IF(A35&lt;'Données projet'!$A$88,$BA$205^A35,IF(A35='Données projet'!$A$88,'Données projet'!$B$88,BD34+BC35-BL34)))</f>
        <v>318.79230769230782</v>
      </c>
      <c r="BE35" s="13">
        <f>BD35*VLOOKUP('Données projet'!$B$11,Paramètres!$A$1:$I$89,3,0)*VLOOKUP('Données projet'!$B$11,Paramètres!$A$1:$I$89,5,0)</f>
        <v>190.63780000000008</v>
      </c>
      <c r="BF35" s="13">
        <f t="shared" si="37"/>
        <v>47.680933861376609</v>
      </c>
      <c r="BG35" s="20">
        <f t="shared" si="7"/>
        <v>415.07179480856439</v>
      </c>
      <c r="BH35" s="59">
        <f t="shared" si="8"/>
        <v>708.40512814189765</v>
      </c>
      <c r="BI35" s="59">
        <f ca="1">AVERAGE(OFFSET($BH$3,0,0,'Données projet'!$E$11+1,1))-AVERAGE(OFFSET($H$3,0,0,'Données projet'!$E$11+1,1))</f>
        <v>243.85350804244348</v>
      </c>
      <c r="BJ35" s="59">
        <f t="shared" si="38"/>
        <v>304.60992308960545</v>
      </c>
      <c r="BK35" s="15">
        <f>IF(ISNA(VLOOKUP(A35,'Données projet'!$A$87:$I$107,3,0)),0,VLOOKUP(A35,'Données projet'!$A$87:$I$107,3,0))</f>
        <v>4</v>
      </c>
      <c r="BL35" s="15">
        <f>IF(ISNA(VLOOKUP(A35,'Données projet'!$A$87:$I$107,4,0)),0,VLOOKUP(A35,'Données projet'!$A$87:$I$107,4,0))</f>
        <v>64.523076923076914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4.3500786824342184</v>
      </c>
      <c r="BQ35" s="21">
        <f>EXP(-LN(2)/25)*BQ34+(1-EXP(-LN(2)/25))/(LN(2)/25)*Calculateur!BL35*Calculateur!BN35*VLOOKUP('Données projet'!$B$11,Paramètres!$A$1:$I$89,3,0)*0.475*44/12</f>
        <v>16.772562129636587</v>
      </c>
      <c r="BR35" s="21">
        <f>EXP(-LN(2)/2)*BR34+(1-EXP(-LN(2)/2))/(LN(2)/2)*BL35*BO35*VLOOKUP('Données projet'!$B$11,Paramètres!$A$1:$I$89,3,0)*0.475*44/12</f>
        <v>1.8691132636358492</v>
      </c>
      <c r="BS35" s="22">
        <f t="shared" si="9"/>
        <v>22.991754075706655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15.7</v>
      </c>
      <c r="BY35" s="12">
        <f>IF('Données projet'!$A$114&gt;35,BY34+BX35-CG34,IF(A35&lt;'Données projet'!$A$114,$BV$205^A35,IF(A35='Données projet'!$A$114,'Données projet'!$B$114,BY34+BX35-CG34)))</f>
        <v>171.40000000000003</v>
      </c>
      <c r="BZ35" s="13">
        <f>BY35*VLOOKUP('Données projet'!$B$12,Paramètres!$A$1:$I$89,3,0)*VLOOKUP('Données projet'!$B$12,Paramètres!$A$1:$I$89,5,0)</f>
        <v>102.49720000000003</v>
      </c>
      <c r="CA35" s="13">
        <f t="shared" si="39"/>
        <v>27.556064299174871</v>
      </c>
      <c r="CB35" s="20">
        <f t="shared" si="10"/>
        <v>226.50943532106294</v>
      </c>
      <c r="CC35" s="59">
        <f t="shared" si="11"/>
        <v>519.8427686543962</v>
      </c>
      <c r="CD35" s="59">
        <f ca="1">AVERAGE(OFFSET($CC$3,0,0,'Données projet'!$E$12+1,1))-AVERAGE(OFFSET($H$3,0,0,'Données projet'!$E$12+1,1))</f>
        <v>270.30888762640245</v>
      </c>
      <c r="CE35" s="59">
        <f t="shared" si="40"/>
        <v>202.23783851977691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2.058693012886224</v>
      </c>
      <c r="CL35" s="21">
        <f>EXP(-LN(2)/25)*CL34+(1-EXP(-LN(2)/25))/(LN(2)/25)*Calculateur!CG35*Calculateur!CI35*VLOOKUP('Données projet'!$B$12,Paramètres!$A$1:$I$89,3,0)*0.475*44/12</f>
        <v>11.631975709431384</v>
      </c>
      <c r="CM35" s="21">
        <f>EXP(-LN(2)/2)*CM34+(1-EXP(-LN(2)/2))/(LN(2)/2)*CG35*CJ35*VLOOKUP('Données projet'!$B$12,Paramètres!$A$1:$I$89,3,0)*0.475*44/12</f>
        <v>9.246304293231292</v>
      </c>
      <c r="CN35" s="22">
        <f t="shared" si="12"/>
        <v>22.936973015548901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12.1</v>
      </c>
      <c r="CT35" s="12">
        <f>IF('Données projet'!$A$140&gt;35,CT34+CS35-DB34,IF(A35&lt;'Données projet'!$A$140,$CQ$205^A35,IF(A35='Données projet'!$A$140,'Données projet'!$B$140,CT34+CS35-DB34)))</f>
        <v>166.2</v>
      </c>
      <c r="CU35" s="17">
        <f>CT35*VLOOKUP('Données projet'!$B$13,Paramètres!$A$1:$I$89,3,0)*VLOOKUP('Données projet'!$B$13,Paramètres!$A$1:$I$89,5,0)</f>
        <v>132.22872000000001</v>
      </c>
      <c r="CV35" s="13">
        <f t="shared" si="41"/>
        <v>34.510840487492601</v>
      </c>
      <c r="CW35" s="20">
        <f t="shared" si="13"/>
        <v>290.40473451571626</v>
      </c>
      <c r="CX35" s="59">
        <f t="shared" si="14"/>
        <v>583.73806784904957</v>
      </c>
      <c r="CY35" s="59">
        <f ca="1">AVERAGE(OFFSET($CX$3,0,0,'Données projet'!$E$13+1,1))-AVERAGE(OFFSET($H$3,0,0,'Données projet'!$E$13+1,1))</f>
        <v>260.20517190557814</v>
      </c>
      <c r="CZ35" s="59">
        <f t="shared" si="42"/>
        <v>307.22009971147133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3.1362745971674917</v>
      </c>
      <c r="DG35" s="21">
        <f>EXP(-LN(2)/25)*DG34+(1-EXP(-LN(2)/25))/(LN(2)/25)*Calculateur!DB35*Calculateur!DD35*VLOOKUP('Données projet'!$B$13,Paramètres!$A$1:$I$89,3,0)*0.475*44/12</f>
        <v>19.412727065565573</v>
      </c>
      <c r="DH35" s="21">
        <f>EXP(-LN(2)/2)*DH34+(1-EXP(-LN(2)/2))/(LN(2)/2)*DB35*DE35*VLOOKUP('Données projet'!$B$13,Paramètres!$A$1:$I$89,3,0)*0.475*44/12</f>
        <v>12.019517126378643</v>
      </c>
      <c r="DI35" s="22">
        <f t="shared" si="15"/>
        <v>34.568518789111707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8.0564102564102562</v>
      </c>
      <c r="DO35" s="12">
        <f>IF('Données projet'!$A$166&gt;35,DO34+DN35-DW34,IF(A35&lt;'Données projet'!$A$166,$DL$205^A35,IF(A35='Données projet'!$A$166,'Données projet'!$B$166,DO34+DN35-DW34)))</f>
        <v>137.99743589743588</v>
      </c>
      <c r="DP35" s="17">
        <f>DO35*VLOOKUP('Données projet'!$B$14,Paramètres!$A$1:$I$89,3,0)*VLOOKUP('Données projet'!$B$14,Paramètres!$A$1:$I$89,5,0)</f>
        <v>139.92939999999999</v>
      </c>
      <c r="DQ35" s="13">
        <f t="shared" si="43"/>
        <v>36.280831551634627</v>
      </c>
      <c r="DR35" s="20">
        <f t="shared" si="16"/>
        <v>306.89948661909699</v>
      </c>
      <c r="DS35" s="59">
        <f t="shared" si="17"/>
        <v>600.2328199524303</v>
      </c>
      <c r="DT35" s="59">
        <f ca="1">AVERAGE(OFFSET($DS$3,0,0,'Données projet'!$E$14+1,1))-AVERAGE(OFFSET($H$3,0,0,'Données projet'!$E$14+1,1))</f>
        <v>263.15518481854753</v>
      </c>
      <c r="DU35" s="59">
        <f t="shared" si="44"/>
        <v>210.80755370263819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12.1</v>
      </c>
      <c r="EJ35" s="12">
        <f>IF('Données projet'!$A$192&gt;35,EJ34+EI35-ER34,IF(A35&lt;'Données projet'!$A$192,$EG$205^A35,IF(A35='Données projet'!$A$192,'Données projet'!$B$192,EJ34+EI35-ER34)))</f>
        <v>166.2</v>
      </c>
      <c r="EK35" s="17">
        <f>EJ35*VLOOKUP('Données projet'!$B$15,Paramètres!$A$1:$I$89,3,0)*VLOOKUP('Données projet'!$B$15,Paramètres!$A$1:$I$89,5,0)</f>
        <v>111.48696</v>
      </c>
      <c r="EL35" s="13">
        <f t="shared" si="45"/>
        <v>29.681049698142655</v>
      </c>
      <c r="EM35" s="20">
        <f t="shared" si="19"/>
        <v>245.86761689093177</v>
      </c>
      <c r="EN35" s="59">
        <f t="shared" si="20"/>
        <v>539.20095022426506</v>
      </c>
      <c r="EO35" s="59">
        <f ca="1">AVERAGE(OFFSET($EN$3,0,0,'Données projet'!$E$15+1,1))-AVERAGE(OFFSET($H$3,0,0,'Données projet'!$E$15+1,1))</f>
        <v>207.93042467236967</v>
      </c>
      <c r="EP35" s="59">
        <f t="shared" si="46"/>
        <v>250.70954318710835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2.6443099544745516</v>
      </c>
      <c r="EW35" s="21">
        <f>EXP(-LN(2)/25)*EW34+(1-EXP(-LN(2)/25))/(LN(2)/25)*Calculateur!ER35*Calculateur!ET35*VLOOKUP('Données projet'!$B$15,Paramètres!$A$1:$I$89,3,0)*0.475*44/12</f>
        <v>16.367593408221957</v>
      </c>
      <c r="EX35" s="21">
        <f>EXP(-LN(2)/2)*EX34+(1-EXP(-LN(2)/2))/(LN(2)/2)*ER35*EU35*VLOOKUP('Données projet'!$B$15,Paramètres!$A$1:$I$89,3,0)*0.475*44/12</f>
        <v>10.134102675181992</v>
      </c>
      <c r="EY35" s="22">
        <f t="shared" si="21"/>
        <v>29.1460060378785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8.0564102564102562</v>
      </c>
      <c r="FE35" s="12">
        <f>IF('Données projet'!$A$218&gt;35,FE34+FD35-FM34,IF(A35&lt;'Données projet'!$A$218,$FB$205^A35,IF(A35='Données projet'!$A$218,'Données projet'!$B$218,FE34+FD35-FM34)))</f>
        <v>137.99743589743588</v>
      </c>
      <c r="FF35" s="17">
        <f>FE35*VLOOKUP('Données projet'!$B$16,Paramètres!$A$1:$I$89,3,0)*VLOOKUP('Données projet'!$B$16,Paramètres!$A$1:$I$89,5,0)</f>
        <v>148.54043999999996</v>
      </c>
      <c r="FG35" s="13">
        <f t="shared" si="47"/>
        <v>38.246706850465792</v>
      </c>
      <c r="FH35" s="20">
        <f t="shared" si="22"/>
        <v>325.32094743122781</v>
      </c>
      <c r="FI35" s="59">
        <f t="shared" si="23"/>
        <v>618.65428076456112</v>
      </c>
      <c r="FJ35" s="59">
        <f ca="1">AVERAGE(OFFSET($FI$3,0,0,'Données projet'!$E$16+1,1))-AVERAGE(OFFSET($H$3,0,0,'Données projet'!$E$16+1,1))</f>
        <v>286.77702855541287</v>
      </c>
      <c r="FK35" s="59">
        <f t="shared" si="48"/>
        <v>227.12211541860779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11.443589743589742</v>
      </c>
      <c r="FZ35" s="12">
        <f>IF('Données projet'!$A$244&gt;35,FZ34+FY35-GH34,IF(A35&lt;'Données projet'!$A$244,$FW$205^A35,IF(A35='Données projet'!$A$244,'Données projet'!$B$244,FZ34+FY35-GH34)))</f>
        <v>170.14102564102564</v>
      </c>
      <c r="GA35" s="17">
        <f>FZ35*VLOOKUP('Données projet'!$B$17,Paramètres!$A$1:$I$89,3,0)*VLOOKUP('Données projet'!$B$17,Paramètres!$A$1:$I$89,5,0)</f>
        <v>79.626000000000005</v>
      </c>
      <c r="GB35" s="13">
        <f t="shared" si="49"/>
        <v>22.045714260156384</v>
      </c>
      <c r="GC35" s="20">
        <f t="shared" si="25"/>
        <v>177.0782356697724</v>
      </c>
      <c r="GD35" s="59">
        <f t="shared" si="26"/>
        <v>470.41156900310568</v>
      </c>
      <c r="GE35" s="59">
        <f ca="1">AVERAGE(OFFSET($GD$3,0,0,'Données projet'!$E$17+1,1))-AVERAGE(OFFSET($H$3,0,0,'Données projet'!$E$17+1,1))</f>
        <v>123.2823358462245</v>
      </c>
      <c r="GF35" s="59">
        <f t="shared" si="50"/>
        <v>92.75115399786057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0</v>
      </c>
      <c r="GM35" s="21">
        <f>EXP(-LN(2)/25)*GM34+(1-EXP(-LN(2)/25))/(LN(2)/25)*Calculateur!GH35*Calculateur!GJ35*VLOOKUP('Données projet'!$B$17,Paramètres!$A$1:$I$89,3,0)*0.475*44/12</f>
        <v>0</v>
      </c>
      <c r="GN35" s="21">
        <f>EXP(-LN(2)/2)*GN34+(1-EXP(-LN(2)/2))/(LN(2)/2)*GH35*GK35*VLOOKUP('Données projet'!$B$17,Paramètres!$A$1:$I$89,3,0)*0.475*44/12</f>
        <v>0</v>
      </c>
      <c r="GO35" s="21">
        <f t="shared" si="27"/>
        <v>0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14.298901098901101</v>
      </c>
      <c r="GU35" s="12">
        <f>IF('Données projet'!$A$270&gt;35,GU34+GT35-HC34,IF(A35&lt;'Données projet'!$A$270,$GR$205^A35,IF(A35='Données projet'!$A$270,'Données projet'!$B$270,GU34+GT35-HC34)))</f>
        <v>205.3813186813187</v>
      </c>
      <c r="GV35" s="17">
        <f>GU35*VLOOKUP('Données projet'!$B$18,Paramètres!$A$1:$I$89,3,0)*VLOOKUP('Données projet'!$B$18,Paramètres!$A$1:$I$89,5,0)</f>
        <v>122.81802857142858</v>
      </c>
      <c r="GW35" s="13">
        <f t="shared" si="51"/>
        <v>32.331367630744694</v>
      </c>
      <c r="GX35" s="20">
        <f t="shared" si="28"/>
        <v>270.21853171878513</v>
      </c>
      <c r="GY35" s="59">
        <f t="shared" si="29"/>
        <v>563.5518650521185</v>
      </c>
      <c r="GZ35" s="59">
        <f ca="1">AVERAGE(OFFSET($GY$3,0,0,'Données projet'!$E$18+1,1))-AVERAGE(OFFSET($H$3,0,0,'Données projet'!$E$18+1,1))</f>
        <v>171.96009656745713</v>
      </c>
      <c r="HA35" s="59">
        <f t="shared" si="52"/>
        <v>172.37574906747716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>
        <f>EXP(-LN(2)/35)*HG34+(1-EXP(-LN(2)/35))/(LN(2)/35)*HC35*HD35*VLOOKUP('Données projet'!$B$18,Paramètres!$A$1:$I$89,3,0)*0.475*44/12</f>
        <v>1.6032732253866375</v>
      </c>
      <c r="HH35" s="21">
        <f>EXP(-LN(2)/25)*HH34+(1-EXP(-LN(2)/25))/(LN(2)/25)*Calculateur!HC35*Calculateur!HE35*VLOOKUP('Données projet'!$B$18,Paramètres!$A$1:$I$89,3,0)*0.475*44/12</f>
        <v>19.448079154600272</v>
      </c>
      <c r="HI35" s="21">
        <f>EXP(-LN(2)/2)*HI34+(1-EXP(-LN(2)/2))/(LN(2)/2)*HC35*HF35*VLOOKUP('Données projet'!$B$18,Paramètres!$A$1:$I$89,3,0)*0.475*44/12</f>
        <v>6.0223106398630843</v>
      </c>
      <c r="HJ35" s="22">
        <f t="shared" si="30"/>
        <v>27.073663019849995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22.884615384615376</v>
      </c>
      <c r="N36" s="13">
        <f>IF('Données projet'!$A$36&gt;35,N35+M36-V35,IF(A36&lt;'Données projet'!$A$36,$K$205^A36,IF(A36='Données projet'!$A$36,'Données projet'!$B$36,N35+M36-V35)))</f>
        <v>334.85384615384595</v>
      </c>
      <c r="O36" s="13">
        <f>N36*VLOOKUP('Données projet'!$B$9,Paramètres!$A$1:$I$89,3,0)*VLOOKUP('Données projet'!$B$9,Paramètres!$A$1:$I$89,5,0)</f>
        <v>187.18329999999989</v>
      </c>
      <c r="P36" s="13">
        <f t="shared" si="33"/>
        <v>46.91668019244311</v>
      </c>
      <c r="Q36" s="20">
        <f t="shared" si="53"/>
        <v>407.72413216850492</v>
      </c>
      <c r="R36" s="59">
        <f t="shared" si="0"/>
        <v>701.05746550183824</v>
      </c>
      <c r="S36" s="59">
        <f ca="1">AVERAGE(OFFSET($R$3,0,0,'Données projet'!$E$9+1,1))-AVERAGE(OFFSET($H$3,0,0,'Données projet'!$E$9+1,1))</f>
        <v>255.5374979188561</v>
      </c>
      <c r="T36" s="59">
        <f t="shared" si="34"/>
        <v>343.10418468620901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2.91180072107323</v>
      </c>
      <c r="AA36" s="21">
        <f>EXP(-LN(2)/25)*AA35+(1-EXP(-LN(2)/25))/(LN(2)/25)*Calculateur!V36*Calculateur!X36*VLOOKUP('Données projet'!$B$9,Paramètres!$A$1:$I$89,3,0)*0.475*44/12</f>
        <v>14.68643335244553</v>
      </c>
      <c r="AB36" s="21">
        <f>EXP(-LN(2)/2)*AB35+(1-EXP(-LN(2)/2))/(LN(2)/2)*V36*Y36*VLOOKUP('Données projet'!$B$9,Paramètres!$A$1:$I$89,3,0)*0.475*44/12</f>
        <v>0.59844288178574045</v>
      </c>
      <c r="AC36" s="22">
        <f t="shared" si="3"/>
        <v>18.1966769553045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16.131410256410259</v>
      </c>
      <c r="AI36" s="13">
        <f>IF('Données projet'!$A$62&gt;35,AI35+AH36-AQ35,IF(A36&lt;'Données projet'!$A$62,$AF$205^A36,IF(A36='Données projet'!$A$62,'Données projet'!$B$62,AI35+AH36-AQ35)))</f>
        <v>265.18653846153842</v>
      </c>
      <c r="AJ36" s="13">
        <f>AI36*VLOOKUP('Données projet'!$B$10,Paramètres!$A$1:$I$89,3,0)*VLOOKUP('Données projet'!$B$10,Paramètres!$A$1:$I$89,5,0)</f>
        <v>124.10729999999997</v>
      </c>
      <c r="AK36" s="13">
        <f t="shared" si="35"/>
        <v>32.631075149258578</v>
      </c>
      <c r="AL36" s="20">
        <f t="shared" si="4"/>
        <v>272.98600338495862</v>
      </c>
      <c r="AM36" s="59">
        <f t="shared" si="5"/>
        <v>566.31933671829188</v>
      </c>
      <c r="AN36" s="59">
        <f ca="1">AVERAGE(OFFSET($AM$3,0,0,'Données projet'!$E$10+1,1))-AVERAGE(OFFSET($H$3,0,0,'Données projet'!$E$10+1,1))</f>
        <v>158.58786357608489</v>
      </c>
      <c r="AO36" s="59">
        <f t="shared" si="36"/>
        <v>163.20074068819849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18.055769230769229</v>
      </c>
      <c r="BD36" s="12">
        <f>IF('Données projet'!$A$88&gt;35,BD35+BC36-BL35,IF(A36&lt;'Données projet'!$A$88,$BA$205^A36,IF(A36='Données projet'!$A$88,'Données projet'!$B$88,BD35+BC36-BL35)))</f>
        <v>272.3250000000001</v>
      </c>
      <c r="BE36" s="13">
        <f>BD36*VLOOKUP('Données projet'!$B$11,Paramètres!$A$1:$I$89,3,0)*VLOOKUP('Données projet'!$B$11,Paramètres!$A$1:$I$89,5,0)</f>
        <v>162.85035000000008</v>
      </c>
      <c r="BF36" s="13">
        <f t="shared" si="37"/>
        <v>41.484757610477807</v>
      </c>
      <c r="BG36" s="20">
        <f t="shared" si="7"/>
        <v>355.88364575491568</v>
      </c>
      <c r="BH36" s="59">
        <f t="shared" si="8"/>
        <v>649.21697908824899</v>
      </c>
      <c r="BI36" s="59">
        <f ca="1">AVERAGE(OFFSET($BH$3,0,0,'Données projet'!$E$11+1,1))-AVERAGE(OFFSET($H$3,0,0,'Données projet'!$E$11+1,1))</f>
        <v>243.85350804244348</v>
      </c>
      <c r="BJ36" s="59">
        <f t="shared" si="38"/>
        <v>304.60992308960545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4.2647762927576895</v>
      </c>
      <c r="BQ36" s="21">
        <f>EXP(-LN(2)/25)*BQ35+(1-EXP(-LN(2)/25))/(LN(2)/25)*Calculateur!BL36*Calculateur!BN36*VLOOKUP('Données projet'!$B$11,Paramètres!$A$1:$I$89,3,0)*0.475*44/12</f>
        <v>16.313915536170967</v>
      </c>
      <c r="BR36" s="21">
        <f>EXP(-LN(2)/2)*BR35+(1-EXP(-LN(2)/2))/(LN(2)/2)*BL36*BO36*VLOOKUP('Données projet'!$B$11,Paramètres!$A$1:$I$89,3,0)*0.475*44/12</f>
        <v>1.3216626635226283</v>
      </c>
      <c r="BS36" s="22">
        <f t="shared" si="9"/>
        <v>21.900354492451282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15.7</v>
      </c>
      <c r="BY36" s="12">
        <f>IF('Données projet'!$A$114&gt;35,BY35+BX36-CG35,IF(A36&lt;'Données projet'!$A$114,$BV$205^A36,IF(A36='Données projet'!$A$114,'Données projet'!$B$114,BY35+BX36-CG35)))</f>
        <v>187.10000000000002</v>
      </c>
      <c r="BZ36" s="13">
        <f>BY36*VLOOKUP('Données projet'!$B$12,Paramètres!$A$1:$I$89,3,0)*VLOOKUP('Données projet'!$B$12,Paramètres!$A$1:$I$89,5,0)</f>
        <v>111.88580000000003</v>
      </c>
      <c r="CA36" s="13">
        <f t="shared" si="39"/>
        <v>29.774853250315406</v>
      </c>
      <c r="CB36" s="20">
        <f t="shared" si="10"/>
        <v>246.72563774429935</v>
      </c>
      <c r="CC36" s="59">
        <f t="shared" si="11"/>
        <v>540.05897107763269</v>
      </c>
      <c r="CD36" s="59">
        <f ca="1">AVERAGE(OFFSET($CC$3,0,0,'Données projet'!$E$12+1,1))-AVERAGE(OFFSET($H$3,0,0,'Données projet'!$E$12+1,1))</f>
        <v>270.30888762640245</v>
      </c>
      <c r="CE36" s="59">
        <f t="shared" si="40"/>
        <v>202.23783851977691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2.018323298582275</v>
      </c>
      <c r="CL36" s="21">
        <f>EXP(-LN(2)/25)*CL35+(1-EXP(-LN(2)/25))/(LN(2)/25)*Calculateur!CG36*Calculateur!CI36*VLOOKUP('Données projet'!$B$12,Paramètres!$A$1:$I$89,3,0)*0.475*44/12</f>
        <v>11.313898721957965</v>
      </c>
      <c r="CM36" s="21">
        <f>EXP(-LN(2)/2)*CM35+(1-EXP(-LN(2)/2))/(LN(2)/2)*CG36*CJ36*VLOOKUP('Données projet'!$B$12,Paramètres!$A$1:$I$89,3,0)*0.475*44/12</f>
        <v>6.5381244666581342</v>
      </c>
      <c r="CN36" s="22">
        <f t="shared" si="12"/>
        <v>19.870346487198375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12.1</v>
      </c>
      <c r="CT36" s="12">
        <f>IF('Données projet'!$A$140&gt;35,CT35+CS36-DB35,IF(A36&lt;'Données projet'!$A$140,$CQ$205^A36,IF(A36='Données projet'!$A$140,'Données projet'!$B$140,CT35+CS36-DB35)))</f>
        <v>178.29999999999998</v>
      </c>
      <c r="CU36" s="17">
        <f>CT36*VLOOKUP('Données projet'!$B$13,Paramètres!$A$1:$I$89,3,0)*VLOOKUP('Données projet'!$B$13,Paramètres!$A$1:$I$89,5,0)</f>
        <v>141.85548</v>
      </c>
      <c r="CV36" s="13">
        <f t="shared" si="41"/>
        <v>36.721743640099248</v>
      </c>
      <c r="CW36" s="20">
        <f t="shared" si="13"/>
        <v>311.02199783983951</v>
      </c>
      <c r="CX36" s="59">
        <f t="shared" si="14"/>
        <v>604.35533117317277</v>
      </c>
      <c r="CY36" s="59">
        <f ca="1">AVERAGE(OFFSET($CX$3,0,0,'Données projet'!$E$13+1,1))-AVERAGE(OFFSET($H$3,0,0,'Données projet'!$E$13+1,1))</f>
        <v>260.20517190557814</v>
      </c>
      <c r="CZ36" s="59">
        <f t="shared" si="42"/>
        <v>307.22009971147133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3.0747741652556546</v>
      </c>
      <c r="DG36" s="21">
        <f>EXP(-LN(2)/25)*DG35+(1-EXP(-LN(2)/25))/(LN(2)/25)*Calculateur!DB36*Calculateur!DD36*VLOOKUP('Données projet'!$B$13,Paramètres!$A$1:$I$89,3,0)*0.475*44/12</f>
        <v>18.881885023086735</v>
      </c>
      <c r="DH36" s="21">
        <f>EXP(-LN(2)/2)*DH35+(1-EXP(-LN(2)/2))/(LN(2)/2)*DB36*DE36*VLOOKUP('Données projet'!$B$13,Paramètres!$A$1:$I$89,3,0)*0.475*44/12</f>
        <v>8.4990820666501836</v>
      </c>
      <c r="DI36" s="22">
        <f t="shared" si="15"/>
        <v>30.455741254992574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8.0564102564102562</v>
      </c>
      <c r="DO36" s="12">
        <f>IF('Données projet'!$A$166&gt;35,DO35+DN36-DW35,IF(A36&lt;'Données projet'!$A$166,$DL$205^A36,IF(A36='Données projet'!$A$166,'Données projet'!$B$166,DO35+DN36-DW35)))</f>
        <v>146.05384615384614</v>
      </c>
      <c r="DP36" s="17">
        <f>DO36*VLOOKUP('Données projet'!$B$14,Paramètres!$A$1:$I$89,3,0)*VLOOKUP('Données projet'!$B$14,Paramètres!$A$1:$I$89,5,0)</f>
        <v>148.09859999999998</v>
      </c>
      <c r="DQ36" s="13">
        <f t="shared" si="43"/>
        <v>38.146165355224731</v>
      </c>
      <c r="DR36" s="20">
        <f t="shared" si="16"/>
        <v>324.37629966034967</v>
      </c>
      <c r="DS36" s="59">
        <f t="shared" si="17"/>
        <v>617.70963299368304</v>
      </c>
      <c r="DT36" s="59">
        <f ca="1">AVERAGE(OFFSET($DS$3,0,0,'Données projet'!$E$14+1,1))-AVERAGE(OFFSET($H$3,0,0,'Données projet'!$E$14+1,1))</f>
        <v>263.15518481854753</v>
      </c>
      <c r="DU36" s="59">
        <f t="shared" si="44"/>
        <v>210.80755370263819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12.1</v>
      </c>
      <c r="EJ36" s="12">
        <f>IF('Données projet'!$A$192&gt;35,EJ35+EI36-ER35,IF(A36&lt;'Données projet'!$A$192,$EG$205^A36,IF(A36='Données projet'!$A$192,'Données projet'!$B$192,EJ35+EI36-ER35)))</f>
        <v>178.29999999999998</v>
      </c>
      <c r="EK36" s="17">
        <f>EJ36*VLOOKUP('Données projet'!$B$15,Paramètres!$A$1:$I$89,3,0)*VLOOKUP('Données projet'!$B$15,Paramètres!$A$1:$I$89,5,0)</f>
        <v>119.60364</v>
      </c>
      <c r="EL36" s="13">
        <f t="shared" si="45"/>
        <v>31.58253704018756</v>
      </c>
      <c r="EM36" s="20">
        <f t="shared" si="19"/>
        <v>263.31592501165994</v>
      </c>
      <c r="EN36" s="59">
        <f t="shared" si="20"/>
        <v>556.64925834499331</v>
      </c>
      <c r="EO36" s="59">
        <f ca="1">AVERAGE(OFFSET($EN$3,0,0,'Données projet'!$E$15+1,1))-AVERAGE(OFFSET($H$3,0,0,'Données projet'!$E$15+1,1))</f>
        <v>207.93042467236967</v>
      </c>
      <c r="EP36" s="59">
        <f t="shared" si="46"/>
        <v>250.70954318710835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2.5924566491371204</v>
      </c>
      <c r="EW36" s="21">
        <f>EXP(-LN(2)/25)*EW35+(1-EXP(-LN(2)/25))/(LN(2)/25)*Calculateur!ER36*Calculateur!ET36*VLOOKUP('Données projet'!$B$15,Paramètres!$A$1:$I$89,3,0)*0.475*44/12</f>
        <v>15.920020705739798</v>
      </c>
      <c r="EX36" s="21">
        <f>EXP(-LN(2)/2)*EX35+(1-EXP(-LN(2)/2))/(LN(2)/2)*ER36*EU36*VLOOKUP('Données projet'!$B$15,Paramètres!$A$1:$I$89,3,0)*0.475*44/12</f>
        <v>7.1658927228619191</v>
      </c>
      <c r="EY36" s="22">
        <f t="shared" si="21"/>
        <v>25.678370077738837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8.0564102564102562</v>
      </c>
      <c r="FE36" s="12">
        <f>IF('Données projet'!$A$218&gt;35,FE35+FD36-FM35,IF(A36&lt;'Données projet'!$A$218,$FB$205^A36,IF(A36='Données projet'!$A$218,'Données projet'!$B$218,FE35+FD36-FM35)))</f>
        <v>146.05384615384614</v>
      </c>
      <c r="FF36" s="17">
        <f>FE36*VLOOKUP('Données projet'!$B$16,Paramètres!$A$1:$I$89,3,0)*VLOOKUP('Données projet'!$B$16,Paramètres!$A$1:$I$89,5,0)</f>
        <v>157.21235999999996</v>
      </c>
      <c r="FG36" s="13">
        <f t="shared" si="47"/>
        <v>40.213113686059963</v>
      </c>
      <c r="FH36" s="20">
        <f t="shared" si="22"/>
        <v>343.84936666988773</v>
      </c>
      <c r="FI36" s="59">
        <f t="shared" si="23"/>
        <v>637.18270000322104</v>
      </c>
      <c r="FJ36" s="59">
        <f ca="1">AVERAGE(OFFSET($FI$3,0,0,'Données projet'!$E$16+1,1))-AVERAGE(OFFSET($H$3,0,0,'Données projet'!$E$16+1,1))</f>
        <v>286.77702855541287</v>
      </c>
      <c r="FK36" s="59">
        <f t="shared" si="48"/>
        <v>227.12211541860779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11.443589743589742</v>
      </c>
      <c r="FZ36" s="12">
        <f>IF('Données projet'!$A$244&gt;35,FZ35+FY36-GH35,IF(A36&lt;'Données projet'!$A$244,$FW$205^A36,IF(A36='Données projet'!$A$244,'Données projet'!$B$244,FZ35+FY36-GH35)))</f>
        <v>181.58461538461538</v>
      </c>
      <c r="GA36" s="17">
        <f>FZ36*VLOOKUP('Données projet'!$B$17,Paramètres!$A$1:$I$89,3,0)*VLOOKUP('Données projet'!$B$17,Paramètres!$A$1:$I$89,5,0)</f>
        <v>84.981599999999986</v>
      </c>
      <c r="GB36" s="13">
        <f t="shared" si="49"/>
        <v>23.350896003452508</v>
      </c>
      <c r="GC36" s="20">
        <f t="shared" si="25"/>
        <v>188.6790972060131</v>
      </c>
      <c r="GD36" s="59">
        <f t="shared" si="26"/>
        <v>482.01243053934638</v>
      </c>
      <c r="GE36" s="59">
        <f ca="1">AVERAGE(OFFSET($GD$3,0,0,'Données projet'!$E$17+1,1))-AVERAGE(OFFSET($H$3,0,0,'Données projet'!$E$17+1,1))</f>
        <v>123.2823358462245</v>
      </c>
      <c r="GF36" s="59">
        <f t="shared" si="50"/>
        <v>92.75115399786057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0</v>
      </c>
      <c r="GM36" s="21">
        <f>EXP(-LN(2)/25)*GM35+(1-EXP(-LN(2)/25))/(LN(2)/25)*Calculateur!GH36*Calculateur!GJ36*VLOOKUP('Données projet'!$B$17,Paramètres!$A$1:$I$89,3,0)*0.475*44/12</f>
        <v>0</v>
      </c>
      <c r="GN36" s="21">
        <f>EXP(-LN(2)/2)*GN35+(1-EXP(-LN(2)/2))/(LN(2)/2)*GH36*GK36*VLOOKUP('Données projet'!$B$17,Paramètres!$A$1:$I$89,3,0)*0.475*44/12</f>
        <v>0</v>
      </c>
      <c r="GO36" s="21">
        <f t="shared" si="27"/>
        <v>0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14.298901098901101</v>
      </c>
      <c r="GU36" s="12">
        <f>IF('Données projet'!$A$270&gt;35,GU35+GT36-HC35,IF(A36&lt;'Données projet'!$A$270,$GR$205^A36,IF(A36='Données projet'!$A$270,'Données projet'!$B$270,GU35+GT36-HC35)))</f>
        <v>219.6802197802198</v>
      </c>
      <c r="GV36" s="17">
        <f>GU36*VLOOKUP('Données projet'!$B$18,Paramètres!$A$1:$I$89,3,0)*VLOOKUP('Données projet'!$B$18,Paramètres!$A$1:$I$89,5,0)</f>
        <v>131.36877142857145</v>
      </c>
      <c r="GW36" s="13">
        <f t="shared" si="51"/>
        <v>34.312449162076589</v>
      </c>
      <c r="GX36" s="20">
        <f t="shared" si="28"/>
        <v>288.56145919537863</v>
      </c>
      <c r="GY36" s="59">
        <f t="shared" si="29"/>
        <v>581.89479252871195</v>
      </c>
      <c r="GZ36" s="59">
        <f ca="1">AVERAGE(OFFSET($GY$3,0,0,'Données projet'!$E$18+1,1))-AVERAGE(OFFSET($H$3,0,0,'Données projet'!$E$18+1,1))</f>
        <v>171.96009656745713</v>
      </c>
      <c r="HA36" s="59">
        <f t="shared" si="52"/>
        <v>172.37574906747716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>
        <f>EXP(-LN(2)/35)*HG35+(1-EXP(-LN(2)/35))/(LN(2)/35)*HC36*HD36*VLOOKUP('Données projet'!$B$18,Paramètres!$A$1:$I$89,3,0)*0.475*44/12</f>
        <v>1.5718340153369135</v>
      </c>
      <c r="HH36" s="21">
        <f>EXP(-LN(2)/25)*HH35+(1-EXP(-LN(2)/25))/(LN(2)/25)*Calculateur!HC36*Calculateur!HE36*VLOOKUP('Données projet'!$B$18,Paramètres!$A$1:$I$89,3,0)*0.475*44/12</f>
        <v>18.916270407387692</v>
      </c>
      <c r="HI36" s="21">
        <f>EXP(-LN(2)/2)*HI35+(1-EXP(-LN(2)/2))/(LN(2)/2)*HC36*HF36*VLOOKUP('Données projet'!$B$18,Paramètres!$A$1:$I$89,3,0)*0.475*44/12</f>
        <v>4.2584166918590833</v>
      </c>
      <c r="HJ36" s="22">
        <f t="shared" si="30"/>
        <v>24.74652111458369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22.884615384615376</v>
      </c>
      <c r="N37" s="13">
        <f>IF('Données projet'!$A$36&gt;35,N36+M37-V36,IF(A37&lt;'Données projet'!$A$36,$K$205^A37,IF(A37='Données projet'!$A$36,'Données projet'!$B$36,N36+M37-V36)))</f>
        <v>357.73846153846131</v>
      </c>
      <c r="O37" s="13">
        <f>N37*VLOOKUP('Données projet'!$B$9,Paramètres!$A$1:$I$89,3,0)*VLOOKUP('Données projet'!$B$9,Paramètres!$A$1:$I$89,5,0)</f>
        <v>199.97579999999988</v>
      </c>
      <c r="P37" s="13">
        <f t="shared" si="33"/>
        <v>49.738849260389202</v>
      </c>
      <c r="Q37" s="20">
        <f t="shared" si="53"/>
        <v>434.91968079517761</v>
      </c>
      <c r="R37" s="59">
        <f t="shared" si="0"/>
        <v>728.25301412851093</v>
      </c>
      <c r="S37" s="59">
        <f ca="1">AVERAGE(OFFSET($R$3,0,0,'Données projet'!$E$9+1,1))-AVERAGE(OFFSET($H$3,0,0,'Données projet'!$E$9+1,1))</f>
        <v>255.5374979188561</v>
      </c>
      <c r="T37" s="59">
        <f t="shared" si="34"/>
        <v>343.10418468620901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2.854702084956056</v>
      </c>
      <c r="AA37" s="21">
        <f>EXP(-LN(2)/25)*AA36+(1-EXP(-LN(2)/25))/(LN(2)/25)*Calculateur!V37*Calculateur!X37*VLOOKUP('Données projet'!$B$9,Paramètres!$A$1:$I$89,3,0)*0.475*44/12</f>
        <v>14.284832060096942</v>
      </c>
      <c r="AB37" s="21">
        <f>EXP(-LN(2)/2)*AB36+(1-EXP(-LN(2)/2))/(LN(2)/2)*V37*Y37*VLOOKUP('Données projet'!$B$9,Paramètres!$A$1:$I$89,3,0)*0.475*44/12</f>
        <v>0.42316301986351651</v>
      </c>
      <c r="AC37" s="22">
        <f t="shared" si="3"/>
        <v>17.562697164916514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16.131410256410259</v>
      </c>
      <c r="AI37" s="13">
        <f>IF('Données projet'!$A$62&gt;35,AI36+AH37-AQ36,IF(A37&lt;'Données projet'!$A$62,$AF$205^A37,IF(A37='Données projet'!$A$62,'Données projet'!$B$62,AI36+AH37-AQ36)))</f>
        <v>281.3179487179487</v>
      </c>
      <c r="AJ37" s="13">
        <f>AI37*VLOOKUP('Données projet'!$B$10,Paramètres!$A$1:$I$89,3,0)*VLOOKUP('Données projet'!$B$10,Paramètres!$A$1:$I$89,5,0)</f>
        <v>131.65679999999998</v>
      </c>
      <c r="AK37" s="13">
        <f t="shared" si="35"/>
        <v>34.378914540413547</v>
      </c>
      <c r="AL37" s="20">
        <f t="shared" si="4"/>
        <v>289.17886949122021</v>
      </c>
      <c r="AM37" s="59">
        <f t="shared" si="5"/>
        <v>582.51220282455347</v>
      </c>
      <c r="AN37" s="59">
        <f ca="1">AVERAGE(OFFSET($AM$3,0,0,'Données projet'!$E$10+1,1))-AVERAGE(OFFSET($H$3,0,0,'Données projet'!$E$10+1,1))</f>
        <v>158.58786357608489</v>
      </c>
      <c r="AO37" s="59">
        <f t="shared" si="36"/>
        <v>163.20074068819849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18.055769230769229</v>
      </c>
      <c r="BD37" s="12">
        <f>IF('Données projet'!$A$88&gt;35,BD36+BC37-BL36,IF(A37&lt;'Données projet'!$A$88,$BA$205^A37,IF(A37='Données projet'!$A$88,'Données projet'!$B$88,BD36+BC37-BL36)))</f>
        <v>290.38076923076932</v>
      </c>
      <c r="BE37" s="13">
        <f>BD37*VLOOKUP('Données projet'!$B$11,Paramètres!$A$1:$I$89,3,0)*VLOOKUP('Données projet'!$B$11,Paramètres!$A$1:$I$89,5,0)</f>
        <v>173.64770000000004</v>
      </c>
      <c r="BF37" s="13">
        <f t="shared" si="37"/>
        <v>43.905974872685142</v>
      </c>
      <c r="BG37" s="20">
        <f t="shared" si="7"/>
        <v>378.90598373659333</v>
      </c>
      <c r="BH37" s="59">
        <f t="shared" si="8"/>
        <v>672.23931706992664</v>
      </c>
      <c r="BI37" s="59">
        <f ca="1">AVERAGE(OFFSET($BH$3,0,0,'Données projet'!$E$11+1,1))-AVERAGE(OFFSET($H$3,0,0,'Données projet'!$E$11+1,1))</f>
        <v>243.85350804244348</v>
      </c>
      <c r="BJ37" s="59">
        <f t="shared" si="38"/>
        <v>304.60992308960545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4.1811466309133971</v>
      </c>
      <c r="BQ37" s="21">
        <f>EXP(-LN(2)/25)*BQ36+(1-EXP(-LN(2)/25))/(LN(2)/25)*Calculateur!BL37*Calculateur!BN37*VLOOKUP('Données projet'!$B$11,Paramètres!$A$1:$I$89,3,0)*0.475*44/12</f>
        <v>15.86781065792284</v>
      </c>
      <c r="BR37" s="21">
        <f>EXP(-LN(2)/2)*BR36+(1-EXP(-LN(2)/2))/(LN(2)/2)*BL37*BO37*VLOOKUP('Données projet'!$B$11,Paramètres!$A$1:$I$89,3,0)*0.475*44/12</f>
        <v>0.93455663181792481</v>
      </c>
      <c r="BS37" s="22">
        <f t="shared" si="9"/>
        <v>20.983513920654161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15.7</v>
      </c>
      <c r="BY37" s="12">
        <f>IF('Données projet'!$A$114&gt;35,BY36+BX37-CG36,IF(A37&lt;'Données projet'!$A$114,$BV$205^A37,IF(A37='Données projet'!$A$114,'Données projet'!$B$114,BY36+BX37-CG36)))</f>
        <v>202.8</v>
      </c>
      <c r="BZ37" s="13">
        <f>BY37*VLOOKUP('Données projet'!$B$12,Paramètres!$A$1:$I$89,3,0)*VLOOKUP('Données projet'!$B$12,Paramètres!$A$1:$I$89,5,0)</f>
        <v>121.27440000000001</v>
      </c>
      <c r="CA37" s="13">
        <f t="shared" si="39"/>
        <v>31.972049173215385</v>
      </c>
      <c r="CB37" s="20">
        <f t="shared" si="10"/>
        <v>266.90423231001682</v>
      </c>
      <c r="CC37" s="59">
        <f t="shared" si="11"/>
        <v>560.23756564335008</v>
      </c>
      <c r="CD37" s="59">
        <f ca="1">AVERAGE(OFFSET($CC$3,0,0,'Données projet'!$E$12+1,1))-AVERAGE(OFFSET($H$3,0,0,'Données projet'!$E$12+1,1))</f>
        <v>270.30888762640245</v>
      </c>
      <c r="CE37" s="59">
        <f t="shared" si="40"/>
        <v>202.23783851977691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1.978745209752732</v>
      </c>
      <c r="CL37" s="21">
        <f>EXP(-LN(2)/25)*CL36+(1-EXP(-LN(2)/25))/(LN(2)/25)*Calculateur!CG37*Calculateur!CI37*VLOOKUP('Données projet'!$B$12,Paramètres!$A$1:$I$89,3,0)*0.475*44/12</f>
        <v>11.004519566433949</v>
      </c>
      <c r="CM37" s="21">
        <f>EXP(-LN(2)/2)*CM36+(1-EXP(-LN(2)/2))/(LN(2)/2)*CG37*CJ37*VLOOKUP('Données projet'!$B$12,Paramètres!$A$1:$I$89,3,0)*0.475*44/12</f>
        <v>4.623152146615646</v>
      </c>
      <c r="CN37" s="22">
        <f t="shared" si="12"/>
        <v>17.606416922802328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12.1</v>
      </c>
      <c r="CT37" s="12">
        <f>IF('Données projet'!$A$140&gt;35,CT36+CS37-DB36,IF(A37&lt;'Données projet'!$A$140,$CQ$205^A37,IF(A37='Données projet'!$A$140,'Données projet'!$B$140,CT36+CS37-DB36)))</f>
        <v>190.39999999999998</v>
      </c>
      <c r="CU37" s="17">
        <f>CT37*VLOOKUP('Données projet'!$B$13,Paramètres!$A$1:$I$89,3,0)*VLOOKUP('Données projet'!$B$13,Paramètres!$A$1:$I$89,5,0)</f>
        <v>151.48223999999999</v>
      </c>
      <c r="CV37" s="13">
        <f t="shared" si="41"/>
        <v>38.915236966075291</v>
      </c>
      <c r="CW37" s="20">
        <f t="shared" si="13"/>
        <v>331.60893904924779</v>
      </c>
      <c r="CX37" s="59">
        <f t="shared" si="14"/>
        <v>624.94227238258111</v>
      </c>
      <c r="CY37" s="59">
        <f ca="1">AVERAGE(OFFSET($CX$3,0,0,'Données projet'!$E$13+1,1))-AVERAGE(OFFSET($H$3,0,0,'Données projet'!$E$13+1,1))</f>
        <v>260.20517190557814</v>
      </c>
      <c r="CZ37" s="59">
        <f t="shared" si="42"/>
        <v>307.22009971147133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3.0144797193020492</v>
      </c>
      <c r="DG37" s="21">
        <f>EXP(-LN(2)/25)*DG36+(1-EXP(-LN(2)/25))/(LN(2)/25)*Calculateur!DB37*Calculateur!DD37*VLOOKUP('Données projet'!$B$13,Paramètres!$A$1:$I$89,3,0)*0.475*44/12</f>
        <v>18.36555888417525</v>
      </c>
      <c r="DH37" s="21">
        <f>EXP(-LN(2)/2)*DH36+(1-EXP(-LN(2)/2))/(LN(2)/2)*DB37*DE37*VLOOKUP('Données projet'!$B$13,Paramètres!$A$1:$I$89,3,0)*0.475*44/12</f>
        <v>6.0097585631893216</v>
      </c>
      <c r="DI37" s="22">
        <f t="shared" si="15"/>
        <v>27.389797166666622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8.0564102564102562</v>
      </c>
      <c r="DO37" s="12">
        <f>IF('Données projet'!$A$166&gt;35,DO36+DN37-DW36,IF(A37&lt;'Données projet'!$A$166,$DL$205^A37,IF(A37='Données projet'!$A$166,'Données projet'!$B$166,DO36+DN37-DW36)))</f>
        <v>154.1102564102564</v>
      </c>
      <c r="DP37" s="17">
        <f>DO37*VLOOKUP('Données projet'!$B$14,Paramètres!$A$1:$I$89,3,0)*VLOOKUP('Données projet'!$B$14,Paramètres!$A$1:$I$89,5,0)</f>
        <v>156.26779999999999</v>
      </c>
      <c r="DQ37" s="13">
        <f t="shared" si="43"/>
        <v>39.999554405940785</v>
      </c>
      <c r="DR37" s="20">
        <f t="shared" si="16"/>
        <v>341.83230892368016</v>
      </c>
      <c r="DS37" s="59">
        <f t="shared" si="17"/>
        <v>635.16564225701347</v>
      </c>
      <c r="DT37" s="59">
        <f ca="1">AVERAGE(OFFSET($DS$3,0,0,'Données projet'!$E$14+1,1))-AVERAGE(OFFSET($H$3,0,0,'Données projet'!$E$14+1,1))</f>
        <v>263.15518481854753</v>
      </c>
      <c r="DU37" s="59">
        <f t="shared" si="44"/>
        <v>210.80755370263819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12.1</v>
      </c>
      <c r="EJ37" s="12">
        <f>IF('Données projet'!$A$192&gt;35,EJ36+EI37-ER36,IF(A37&lt;'Données projet'!$A$192,$EG$205^A37,IF(A37='Données projet'!$A$192,'Données projet'!$B$192,EJ36+EI37-ER36)))</f>
        <v>190.39999999999998</v>
      </c>
      <c r="EK37" s="17">
        <f>EJ37*VLOOKUP('Données projet'!$B$15,Paramètres!$A$1:$I$89,3,0)*VLOOKUP('Données projet'!$B$15,Paramètres!$A$1:$I$89,5,0)</f>
        <v>127.72031999999999</v>
      </c>
      <c r="EL37" s="13">
        <f t="shared" si="45"/>
        <v>33.469051060164404</v>
      </c>
      <c r="EM37" s="20">
        <f t="shared" si="19"/>
        <v>280.73815459645294</v>
      </c>
      <c r="EN37" s="59">
        <f t="shared" si="20"/>
        <v>574.07148792978626</v>
      </c>
      <c r="EO37" s="59">
        <f ca="1">AVERAGE(OFFSET($EN$3,0,0,'Données projet'!$E$15+1,1))-AVERAGE(OFFSET($H$3,0,0,'Données projet'!$E$15+1,1))</f>
        <v>207.93042467236967</v>
      </c>
      <c r="EP37" s="59">
        <f t="shared" si="46"/>
        <v>250.70954318710835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2.5416201554899627</v>
      </c>
      <c r="EW37" s="21">
        <f>EXP(-LN(2)/25)*EW36+(1-EXP(-LN(2)/25))/(LN(2)/25)*Calculateur!ER37*Calculateur!ET37*VLOOKUP('Données projet'!$B$15,Paramètres!$A$1:$I$89,3,0)*0.475*44/12</f>
        <v>15.48468690234384</v>
      </c>
      <c r="EX37" s="21">
        <f>EXP(-LN(2)/2)*EX36+(1-EXP(-LN(2)/2))/(LN(2)/2)*ER37*EU37*VLOOKUP('Données projet'!$B$15,Paramètres!$A$1:$I$89,3,0)*0.475*44/12</f>
        <v>5.0670513375909962</v>
      </c>
      <c r="EY37" s="22">
        <f t="shared" si="21"/>
        <v>23.093358395424801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8.0564102564102562</v>
      </c>
      <c r="FE37" s="12">
        <f>IF('Données projet'!$A$218&gt;35,FE36+FD37-FM36,IF(A37&lt;'Données projet'!$A$218,$FB$205^A37,IF(A37='Données projet'!$A$218,'Données projet'!$B$218,FE36+FD37-FM36)))</f>
        <v>154.1102564102564</v>
      </c>
      <c r="FF37" s="17">
        <f>FE37*VLOOKUP('Données projet'!$B$16,Paramètres!$A$1:$I$89,3,0)*VLOOKUP('Données projet'!$B$16,Paramètres!$A$1:$I$89,5,0)</f>
        <v>165.88427999999996</v>
      </c>
      <c r="FG37" s="13">
        <f t="shared" si="47"/>
        <v>42.166928542858805</v>
      </c>
      <c r="FH37" s="20">
        <f t="shared" si="22"/>
        <v>362.35585487881235</v>
      </c>
      <c r="FI37" s="59">
        <f t="shared" si="23"/>
        <v>655.68918821214561</v>
      </c>
      <c r="FJ37" s="59">
        <f ca="1">AVERAGE(OFFSET($FI$3,0,0,'Données projet'!$E$16+1,1))-AVERAGE(OFFSET($H$3,0,0,'Données projet'!$E$16+1,1))</f>
        <v>286.77702855541287</v>
      </c>
      <c r="FK37" s="59">
        <f t="shared" si="48"/>
        <v>227.12211541860779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11.443589743589742</v>
      </c>
      <c r="FZ37" s="12">
        <f>IF('Données projet'!$A$244&gt;35,FZ36+FY37-GH36,IF(A37&lt;'Données projet'!$A$244,$FW$205^A37,IF(A37='Données projet'!$A$244,'Données projet'!$B$244,FZ36+FY37-GH36)))</f>
        <v>193.02820512820512</v>
      </c>
      <c r="GA37" s="17">
        <f>FZ37*VLOOKUP('Données projet'!$B$17,Paramètres!$A$1:$I$89,3,0)*VLOOKUP('Données projet'!$B$17,Paramètres!$A$1:$I$89,5,0)</f>
        <v>90.337199999999996</v>
      </c>
      <c r="GB37" s="13">
        <f t="shared" si="49"/>
        <v>24.646531805527069</v>
      </c>
      <c r="GC37" s="20">
        <f t="shared" si="25"/>
        <v>200.2633328946263</v>
      </c>
      <c r="GD37" s="59">
        <f t="shared" si="26"/>
        <v>493.59666622795964</v>
      </c>
      <c r="GE37" s="59">
        <f ca="1">AVERAGE(OFFSET($GD$3,0,0,'Données projet'!$E$17+1,1))-AVERAGE(OFFSET($H$3,0,0,'Données projet'!$E$17+1,1))</f>
        <v>123.2823358462245</v>
      </c>
      <c r="GF37" s="59">
        <f t="shared" si="50"/>
        <v>92.75115399786057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0</v>
      </c>
      <c r="GM37" s="21">
        <f>EXP(-LN(2)/25)*GM36+(1-EXP(-LN(2)/25))/(LN(2)/25)*Calculateur!GH37*Calculateur!GJ37*VLOOKUP('Données projet'!$B$17,Paramètres!$A$1:$I$89,3,0)*0.475*44/12</f>
        <v>0</v>
      </c>
      <c r="GN37" s="21">
        <f>EXP(-LN(2)/2)*GN36+(1-EXP(-LN(2)/2))/(LN(2)/2)*GH37*GK37*VLOOKUP('Données projet'!$B$17,Paramètres!$A$1:$I$89,3,0)*0.475*44/12</f>
        <v>0</v>
      </c>
      <c r="GO37" s="21">
        <f t="shared" si="27"/>
        <v>0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14.298901098901101</v>
      </c>
      <c r="GU37" s="12">
        <f>IF('Données projet'!$A$270&gt;35,GU36+GT37-HC36,IF(A37&lt;'Données projet'!$A$270,$GR$205^A37,IF(A37='Données projet'!$A$270,'Données projet'!$B$270,GU36+GT37-HC36)))</f>
        <v>233.9791208791209</v>
      </c>
      <c r="GV37" s="17">
        <f>GU37*VLOOKUP('Données projet'!$B$18,Paramètres!$A$1:$I$89,3,0)*VLOOKUP('Données projet'!$B$18,Paramètres!$A$1:$I$89,5,0)</f>
        <v>139.91951428571431</v>
      </c>
      <c r="GW37" s="13">
        <f t="shared" si="51"/>
        <v>36.278566731027588</v>
      </c>
      <c r="GX37" s="20">
        <f t="shared" si="28"/>
        <v>306.87832443749215</v>
      </c>
      <c r="GY37" s="59">
        <f t="shared" si="29"/>
        <v>600.21165777082547</v>
      </c>
      <c r="GZ37" s="59">
        <f ca="1">AVERAGE(OFFSET($GY$3,0,0,'Données projet'!$E$18+1,1))-AVERAGE(OFFSET($H$3,0,0,'Données projet'!$E$18+1,1))</f>
        <v>171.96009656745713</v>
      </c>
      <c r="HA37" s="59">
        <f t="shared" si="52"/>
        <v>172.37574906747716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>
        <f>EXP(-LN(2)/35)*HG36+(1-EXP(-LN(2)/35))/(LN(2)/35)*HC37*HD37*VLOOKUP('Données projet'!$B$18,Paramètres!$A$1:$I$89,3,0)*0.475*44/12</f>
        <v>1.5410113090202398</v>
      </c>
      <c r="HH37" s="21">
        <f>EXP(-LN(2)/25)*HH36+(1-EXP(-LN(2)/25))/(LN(2)/25)*Calculateur!HC37*Calculateur!HE37*VLOOKUP('Données projet'!$B$18,Paramètres!$A$1:$I$89,3,0)*0.475*44/12</f>
        <v>18.399003998334248</v>
      </c>
      <c r="HI37" s="21">
        <f>EXP(-LN(2)/2)*HI36+(1-EXP(-LN(2)/2))/(LN(2)/2)*HC37*HF37*VLOOKUP('Données projet'!$B$18,Paramètres!$A$1:$I$89,3,0)*0.475*44/12</f>
        <v>3.0111553199315426</v>
      </c>
      <c r="HJ37" s="22">
        <f t="shared" si="30"/>
        <v>22.951170627286029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22.884615384615376</v>
      </c>
      <c r="N38" s="13">
        <f>IF('Données projet'!$A$36&gt;35,N37+M38-V37,IF(A38&lt;'Données projet'!$A$36,$K$205^A38,IF(A38='Données projet'!$A$36,'Données projet'!$B$36,N37+M38-V37)))</f>
        <v>380.62307692307667</v>
      </c>
      <c r="O38" s="13">
        <f>N38*VLOOKUP('Données projet'!$B$9,Paramètres!$A$1:$I$89,3,0)*VLOOKUP('Données projet'!$B$9,Paramètres!$A$1:$I$89,5,0)</f>
        <v>212.76829999999987</v>
      </c>
      <c r="P38" s="13">
        <f t="shared" si="33"/>
        <v>52.540067037520458</v>
      </c>
      <c r="Q38" s="20">
        <f t="shared" si="53"/>
        <v>462.07873925701455</v>
      </c>
      <c r="R38" s="59">
        <f t="shared" si="0"/>
        <v>755.41207259034786</v>
      </c>
      <c r="S38" s="59">
        <f ca="1">AVERAGE(OFFSET($R$3,0,0,'Données projet'!$E$9+1,1))-AVERAGE(OFFSET($H$3,0,0,'Données projet'!$E$9+1,1))</f>
        <v>255.5374979188561</v>
      </c>
      <c r="T38" s="59">
        <f t="shared" si="34"/>
        <v>343.10418468620901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2.7987231182664107</v>
      </c>
      <c r="AA38" s="21">
        <f>EXP(-LN(2)/25)*AA37+(1-EXP(-LN(2)/25))/(LN(2)/25)*Calculateur!V38*Calculateur!X38*VLOOKUP('Données projet'!$B$9,Paramètres!$A$1:$I$89,3,0)*0.475*44/12</f>
        <v>13.894212576206922</v>
      </c>
      <c r="AB38" s="21">
        <f>EXP(-LN(2)/2)*AB37+(1-EXP(-LN(2)/2))/(LN(2)/2)*V38*Y38*VLOOKUP('Données projet'!$B$9,Paramètres!$A$1:$I$89,3,0)*0.475*44/12</f>
        <v>0.29922144089287023</v>
      </c>
      <c r="AC38" s="22">
        <f t="shared" si="3"/>
        <v>16.992157135366206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16.131410256410259</v>
      </c>
      <c r="AI38" s="13">
        <f>IF('Données projet'!$A$62&gt;35,AI37+AH38-AQ37,IF(A38&lt;'Données projet'!$A$62,$AF$205^A38,IF(A38='Données projet'!$A$62,'Données projet'!$B$62,AI37+AH38-AQ37)))</f>
        <v>297.44935897435897</v>
      </c>
      <c r="AJ38" s="13">
        <f>AI38*VLOOKUP('Données projet'!$B$10,Paramètres!$A$1:$I$89,3,0)*VLOOKUP('Données projet'!$B$10,Paramètres!$A$1:$I$89,5,0)</f>
        <v>139.2063</v>
      </c>
      <c r="AK38" s="13">
        <f t="shared" si="35"/>
        <v>36.115119849784641</v>
      </c>
      <c r="AL38" s="20">
        <f t="shared" si="4"/>
        <v>305.35147290504159</v>
      </c>
      <c r="AM38" s="59">
        <f t="shared" si="5"/>
        <v>598.6848062383749</v>
      </c>
      <c r="AN38" s="59">
        <f ca="1">AVERAGE(OFFSET($AM$3,0,0,'Données projet'!$E$10+1,1))-AVERAGE(OFFSET($H$3,0,0,'Données projet'!$E$10+1,1))</f>
        <v>158.58786357608489</v>
      </c>
      <c r="AO38" s="59">
        <f t="shared" si="36"/>
        <v>163.20074068819849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18.055769230769229</v>
      </c>
      <c r="BD38" s="12">
        <f>IF('Données projet'!$A$88&gt;35,BD37+BC38-BL37,IF(A38&lt;'Données projet'!$A$88,$BA$205^A38,IF(A38='Données projet'!$A$88,'Données projet'!$B$88,BD37+BC38-BL37)))</f>
        <v>308.43653846153853</v>
      </c>
      <c r="BE38" s="13">
        <f>BD38*VLOOKUP('Données projet'!$B$11,Paramètres!$A$1:$I$89,3,0)*VLOOKUP('Données projet'!$B$11,Paramètres!$A$1:$I$89,5,0)</f>
        <v>184.44505000000007</v>
      </c>
      <c r="BF38" s="13">
        <f t="shared" si="37"/>
        <v>46.309719450497106</v>
      </c>
      <c r="BG38" s="20">
        <f t="shared" si="7"/>
        <v>401.89789012628256</v>
      </c>
      <c r="BH38" s="59">
        <f t="shared" si="8"/>
        <v>695.23122345961588</v>
      </c>
      <c r="BI38" s="59">
        <f ca="1">AVERAGE(OFFSET($BH$3,0,0,'Données projet'!$E$11+1,1))-AVERAGE(OFFSET($H$3,0,0,'Données projet'!$E$11+1,1))</f>
        <v>243.85350804244348</v>
      </c>
      <c r="BJ38" s="59">
        <f t="shared" si="38"/>
        <v>304.60992308960545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4.0991568957288145</v>
      </c>
      <c r="BQ38" s="21">
        <f>EXP(-LN(2)/25)*BQ37+(1-EXP(-LN(2)/25))/(LN(2)/25)*Calculateur!BL38*Calculateur!BN38*VLOOKUP('Données projet'!$B$11,Paramètres!$A$1:$I$89,3,0)*0.475*44/12</f>
        <v>15.433904541030044</v>
      </c>
      <c r="BR38" s="21">
        <f>EXP(-LN(2)/2)*BR37+(1-EXP(-LN(2)/2))/(LN(2)/2)*BL38*BO38*VLOOKUP('Données projet'!$B$11,Paramètres!$A$1:$I$89,3,0)*0.475*44/12</f>
        <v>0.66083133176131426</v>
      </c>
      <c r="BS38" s="22">
        <f t="shared" si="9"/>
        <v>20.193892768520172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15.7</v>
      </c>
      <c r="BY38" s="12">
        <f>IF('Données projet'!$A$114&gt;35,BY37+BX38-CG37,IF(A38&lt;'Données projet'!$A$114,$BV$205^A38,IF(A38='Données projet'!$A$114,'Données projet'!$B$114,BY37+BX38-CG37)))</f>
        <v>218.5</v>
      </c>
      <c r="BZ38" s="13">
        <f>BY38*VLOOKUP('Données projet'!$B$12,Paramètres!$A$1:$I$89,3,0)*VLOOKUP('Données projet'!$B$12,Paramètres!$A$1:$I$89,5,0)</f>
        <v>130.66300000000001</v>
      </c>
      <c r="CA38" s="13">
        <f t="shared" si="39"/>
        <v>34.149513779485744</v>
      </c>
      <c r="CB38" s="20">
        <f t="shared" si="10"/>
        <v>287.04846149927101</v>
      </c>
      <c r="CC38" s="59">
        <f t="shared" si="11"/>
        <v>580.38179483260433</v>
      </c>
      <c r="CD38" s="59">
        <f ca="1">AVERAGE(OFFSET($CC$3,0,0,'Données projet'!$E$12+1,1))-AVERAGE(OFFSET($H$3,0,0,'Données projet'!$E$12+1,1))</f>
        <v>270.30888762640245</v>
      </c>
      <c r="CE38" s="59">
        <f t="shared" si="40"/>
        <v>202.23783851977691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1.9399432231048859</v>
      </c>
      <c r="CL38" s="21">
        <f>EXP(-LN(2)/25)*CL37+(1-EXP(-LN(2)/25))/(LN(2)/25)*Calculateur!CG38*Calculateur!CI38*VLOOKUP('Données projet'!$B$12,Paramètres!$A$1:$I$89,3,0)*0.475*44/12</f>
        <v>10.70360040018728</v>
      </c>
      <c r="CM38" s="21">
        <f>EXP(-LN(2)/2)*CM37+(1-EXP(-LN(2)/2))/(LN(2)/2)*CG38*CJ38*VLOOKUP('Données projet'!$B$12,Paramètres!$A$1:$I$89,3,0)*0.475*44/12</f>
        <v>3.2690622333290671</v>
      </c>
      <c r="CN38" s="22">
        <f t="shared" si="12"/>
        <v>15.912605856621234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12.1</v>
      </c>
      <c r="CT38" s="12">
        <f>IF('Données projet'!$A$140&gt;35,CT37+CS38-DB37,IF(A38&lt;'Données projet'!$A$140,$CQ$205^A38,IF(A38='Données projet'!$A$140,'Données projet'!$B$140,CT37+CS38-DB37)))</f>
        <v>202.49999999999997</v>
      </c>
      <c r="CU38" s="17">
        <f>CT38*VLOOKUP('Données projet'!$B$13,Paramètres!$A$1:$I$89,3,0)*VLOOKUP('Données projet'!$B$13,Paramètres!$A$1:$I$89,5,0)</f>
        <v>161.10899999999998</v>
      </c>
      <c r="CV38" s="13">
        <f t="shared" si="41"/>
        <v>41.092552806229541</v>
      </c>
      <c r="CW38" s="20">
        <f t="shared" si="13"/>
        <v>352.16770447084974</v>
      </c>
      <c r="CX38" s="59">
        <f t="shared" si="14"/>
        <v>645.50103780418306</v>
      </c>
      <c r="CY38" s="59">
        <f ca="1">AVERAGE(OFFSET($CX$3,0,0,'Données projet'!$E$13+1,1))-AVERAGE(OFFSET($H$3,0,0,'Données projet'!$E$13+1,1))</f>
        <v>260.20517190557814</v>
      </c>
      <c r="CZ38" s="59">
        <f t="shared" si="42"/>
        <v>307.22009971147133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2.9553676106576132</v>
      </c>
      <c r="DG38" s="21">
        <f>EXP(-LN(2)/25)*DG37+(1-EXP(-LN(2)/25))/(LN(2)/25)*Calculateur!DB38*Calculateur!DD38*VLOOKUP('Données projet'!$B$13,Paramètres!$A$1:$I$89,3,0)*0.475*44/12</f>
        <v>17.863351710684711</v>
      </c>
      <c r="DH38" s="21">
        <f>EXP(-LN(2)/2)*DH37+(1-EXP(-LN(2)/2))/(LN(2)/2)*DB38*DE38*VLOOKUP('Données projet'!$B$13,Paramètres!$A$1:$I$89,3,0)*0.475*44/12</f>
        <v>4.2495410333250918</v>
      </c>
      <c r="DI38" s="22">
        <f t="shared" si="15"/>
        <v>25.068260354667416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162.16666666666666</v>
      </c>
      <c r="DM38" s="12">
        <f>VLOOKUP(A38,'Données projet'!$A$165:$I$185,9,0)</f>
        <v>8.0564102564102562</v>
      </c>
      <c r="DN38" s="12">
        <f t="array" ref="DN38">INDEX(DM:DM,MIN(IF(ISNUMBER(DM38:DM234),ROW(DM38:DM234),"")))</f>
        <v>8.0564102564102562</v>
      </c>
      <c r="DO38" s="12">
        <f>IF('Données projet'!$A$166&gt;35,DO37+DN38-DW37,IF(A38&lt;'Données projet'!$A$166,$DL$205^A38,IF(A38='Données projet'!$A$166,'Données projet'!$B$166,DO37+DN38-DW37)))</f>
        <v>162.16666666666666</v>
      </c>
      <c r="DP38" s="17">
        <f>DO38*VLOOKUP('Données projet'!$B$14,Paramètres!$A$1:$I$89,3,0)*VLOOKUP('Données projet'!$B$14,Paramètres!$A$1:$I$89,5,0)</f>
        <v>164.43700000000001</v>
      </c>
      <c r="DQ38" s="13">
        <f t="shared" si="43"/>
        <v>41.841694355997333</v>
      </c>
      <c r="DR38" s="20">
        <f t="shared" si="16"/>
        <v>359.26872600336202</v>
      </c>
      <c r="DS38" s="59">
        <f t="shared" si="17"/>
        <v>652.60205933669533</v>
      </c>
      <c r="DT38" s="59">
        <f ca="1">AVERAGE(OFFSET($DS$3,0,0,'Données projet'!$E$14+1,1))-AVERAGE(OFFSET($H$3,0,0,'Données projet'!$E$14+1,1))</f>
        <v>263.15518481854753</v>
      </c>
      <c r="DU38" s="59">
        <f t="shared" si="44"/>
        <v>210.80755370263819</v>
      </c>
      <c r="DV38" s="15">
        <f>IF(ISNA(VLOOKUP(A38,'Données projet'!$A$165:$I$185,3,0)),0,VLOOKUP(A38,'Données projet'!$A$165:$I$185,3,0))</f>
        <v>1</v>
      </c>
      <c r="DW38" s="15">
        <f>IF(ISNA(VLOOKUP(A38,'Données projet'!$A$165:$I$185,4,0)),0,VLOOKUP(A38,'Données projet'!$A$165:$I$185,4,0))</f>
        <v>60.602564102564102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12.1</v>
      </c>
      <c r="EJ38" s="12">
        <f>IF('Données projet'!$A$192&gt;35,EJ37+EI38-ER37,IF(A38&lt;'Données projet'!$A$192,$EG$205^A38,IF(A38='Données projet'!$A$192,'Données projet'!$B$192,EJ37+EI38-ER37)))</f>
        <v>202.49999999999997</v>
      </c>
      <c r="EK38" s="17">
        <f>EJ38*VLOOKUP('Données projet'!$B$15,Paramètres!$A$1:$I$89,3,0)*VLOOKUP('Données projet'!$B$15,Paramètres!$A$1:$I$89,5,0)</f>
        <v>135.83699999999999</v>
      </c>
      <c r="EL38" s="13">
        <f t="shared" si="45"/>
        <v>35.34165163283356</v>
      </c>
      <c r="EM38" s="20">
        <f t="shared" si="19"/>
        <v>298.13615159385171</v>
      </c>
      <c r="EN38" s="59">
        <f t="shared" si="20"/>
        <v>591.46948492718502</v>
      </c>
      <c r="EO38" s="59">
        <f ca="1">AVERAGE(OFFSET($EN$3,0,0,'Données projet'!$E$15+1,1))-AVERAGE(OFFSET($H$3,0,0,'Données projet'!$E$15+1,1))</f>
        <v>207.93042467236967</v>
      </c>
      <c r="EP38" s="59">
        <f t="shared" si="46"/>
        <v>250.70954318710835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2.4917805344760264</v>
      </c>
      <c r="EW38" s="21">
        <f>EXP(-LN(2)/25)*EW37+(1-EXP(-LN(2)/25))/(LN(2)/25)*Calculateur!ER38*Calculateur!ET38*VLOOKUP('Données projet'!$B$15,Paramètres!$A$1:$I$89,3,0)*0.475*44/12</f>
        <v>15.061257324694955</v>
      </c>
      <c r="EX38" s="21">
        <f>EXP(-LN(2)/2)*EX37+(1-EXP(-LN(2)/2))/(LN(2)/2)*ER38*EU38*VLOOKUP('Données projet'!$B$15,Paramètres!$A$1:$I$89,3,0)*0.475*44/12</f>
        <v>3.5829463614309596</v>
      </c>
      <c r="EY38" s="22">
        <f t="shared" si="21"/>
        <v>21.135984220601941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162.16666666666666</v>
      </c>
      <c r="FC38" s="12">
        <f>VLOOKUP(A38,'Données projet'!$A$217:$I$237,9,0)</f>
        <v>8.0564102564102562</v>
      </c>
      <c r="FD38" s="12">
        <f t="array" ref="FD38">INDEX(FC:FC,MIN(IF(ISNUMBER(FC38:FC234),ROW(FC38:FC234),"")))</f>
        <v>8.0564102564102562</v>
      </c>
      <c r="FE38" s="12">
        <f>IF('Données projet'!$A$218&gt;35,FE37+FD38-FM37,IF(A38&lt;'Données projet'!$A$218,$FB$205^A38,IF(A38='Données projet'!$A$218,'Données projet'!$B$218,FE37+FD38-FM37)))</f>
        <v>162.16666666666666</v>
      </c>
      <c r="FF38" s="17">
        <f>FE38*VLOOKUP('Données projet'!$B$16,Paramètres!$A$1:$I$89,3,0)*VLOOKUP('Données projet'!$B$16,Paramètres!$A$1:$I$89,5,0)</f>
        <v>174.55619999999999</v>
      </c>
      <c r="FG38" s="13">
        <f t="shared" si="47"/>
        <v>44.108884766962227</v>
      </c>
      <c r="FH38" s="20">
        <f t="shared" si="22"/>
        <v>380.84168930245914</v>
      </c>
      <c r="FI38" s="59">
        <f t="shared" si="23"/>
        <v>674.1750226357924</v>
      </c>
      <c r="FJ38" s="59">
        <f ca="1">AVERAGE(OFFSET($FI$3,0,0,'Données projet'!$E$16+1,1))-AVERAGE(OFFSET($H$3,0,0,'Données projet'!$E$16+1,1))</f>
        <v>286.77702855541287</v>
      </c>
      <c r="FK38" s="59">
        <f t="shared" si="48"/>
        <v>227.12211541860779</v>
      </c>
      <c r="FL38" s="15">
        <f>IF(ISNA(VLOOKUP(A38,'Données projet'!$A$217:$I$237,3,0)),0,VLOOKUP(A38,'Données projet'!$A$217:$I$237,3,0))</f>
        <v>1</v>
      </c>
      <c r="FM38" s="15">
        <f>IF(ISNA(VLOOKUP(A38,'Données projet'!$A$217:$I$237,4,0)),0,VLOOKUP(A38,'Données projet'!$A$217:$I$237,4,0))</f>
        <v>60.602564102564102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0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0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11.443589743589742</v>
      </c>
      <c r="FZ38" s="12">
        <f>IF('Données projet'!$A$244&gt;35,FZ37+FY38-GH37,IF(A38&lt;'Données projet'!$A$244,$FW$205^A38,IF(A38='Données projet'!$A$244,'Données projet'!$B$244,FZ37+FY38-GH37)))</f>
        <v>204.47179487179486</v>
      </c>
      <c r="GA38" s="17">
        <f>FZ38*VLOOKUP('Données projet'!$B$17,Paramètres!$A$1:$I$89,3,0)*VLOOKUP('Données projet'!$B$17,Paramètres!$A$1:$I$89,5,0)</f>
        <v>95.692799999999991</v>
      </c>
      <c r="GB38" s="13">
        <f t="shared" si="49"/>
        <v>25.93325205212474</v>
      </c>
      <c r="GC38" s="20">
        <f t="shared" si="25"/>
        <v>211.83204065745056</v>
      </c>
      <c r="GD38" s="59">
        <f t="shared" si="26"/>
        <v>505.16537399078391</v>
      </c>
      <c r="GE38" s="59">
        <f ca="1">AVERAGE(OFFSET($GD$3,0,0,'Données projet'!$E$17+1,1))-AVERAGE(OFFSET($H$3,0,0,'Données projet'!$E$17+1,1))</f>
        <v>123.2823358462245</v>
      </c>
      <c r="GF38" s="59">
        <f t="shared" si="50"/>
        <v>92.75115399786057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0</v>
      </c>
      <c r="GM38" s="21">
        <f>EXP(-LN(2)/25)*GM37+(1-EXP(-LN(2)/25))/(LN(2)/25)*Calculateur!GH38*Calculateur!GJ38*VLOOKUP('Données projet'!$B$17,Paramètres!$A$1:$I$89,3,0)*0.475*44/12</f>
        <v>0</v>
      </c>
      <c r="GN38" s="21">
        <f>EXP(-LN(2)/2)*GN37+(1-EXP(-LN(2)/2))/(LN(2)/2)*GH38*GK38*VLOOKUP('Données projet'!$B$17,Paramètres!$A$1:$I$89,3,0)*0.475*44/12</f>
        <v>0</v>
      </c>
      <c r="GO38" s="21">
        <f t="shared" si="27"/>
        <v>0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14.298901098901101</v>
      </c>
      <c r="GU38" s="12">
        <f>IF('Données projet'!$A$270&gt;35,GU37+GT38-HC37,IF(A38&lt;'Données projet'!$A$270,$GR$205^A38,IF(A38='Données projet'!$A$270,'Données projet'!$B$270,GU37+GT38-HC37)))</f>
        <v>248.278021978022</v>
      </c>
      <c r="GV38" s="17">
        <f>GU38*VLOOKUP('Données projet'!$B$18,Paramètres!$A$1:$I$89,3,0)*VLOOKUP('Données projet'!$B$18,Paramètres!$A$1:$I$89,5,0)</f>
        <v>148.47025714285718</v>
      </c>
      <c r="GW38" s="13">
        <f t="shared" si="51"/>
        <v>38.230738941903269</v>
      </c>
      <c r="GX38" s="20">
        <f t="shared" si="28"/>
        <v>325.17090151429107</v>
      </c>
      <c r="GY38" s="59">
        <f t="shared" si="29"/>
        <v>618.50423484762439</v>
      </c>
      <c r="GZ38" s="59">
        <f ca="1">AVERAGE(OFFSET($GY$3,0,0,'Données projet'!$E$18+1,1))-AVERAGE(OFFSET($H$3,0,0,'Données projet'!$E$18+1,1))</f>
        <v>171.96009656745713</v>
      </c>
      <c r="HA38" s="59">
        <f t="shared" si="52"/>
        <v>172.37574906747716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>
        <f>EXP(-LN(2)/35)*HG37+(1-EXP(-LN(2)/35))/(LN(2)/35)*HC38*HD38*VLOOKUP('Données projet'!$B$18,Paramètres!$A$1:$I$89,3,0)*0.475*44/12</f>
        <v>1.5107930171744415</v>
      </c>
      <c r="HH38" s="21">
        <f>EXP(-LN(2)/25)*HH37+(1-EXP(-LN(2)/25))/(LN(2)/25)*Calculateur!HC38*Calculateur!HE38*VLOOKUP('Données projet'!$B$18,Paramètres!$A$1:$I$89,3,0)*0.475*44/12</f>
        <v>17.895882266438228</v>
      </c>
      <c r="HI38" s="21">
        <f>EXP(-LN(2)/2)*HI37+(1-EXP(-LN(2)/2))/(LN(2)/2)*HC38*HF38*VLOOKUP('Données projet'!$B$18,Paramètres!$A$1:$I$89,3,0)*0.475*44/12</f>
        <v>2.1292083459295421</v>
      </c>
      <c r="HJ38" s="22">
        <f t="shared" si="30"/>
        <v>21.535883629542212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403.50769230769225</v>
      </c>
      <c r="L39" s="12">
        <f>VLOOKUP(A39,'Données projet'!$A$35:$I$55,9,0)</f>
        <v>22.884615384615376</v>
      </c>
      <c r="M39" s="12">
        <f t="array" ref="M39">INDEX(L:L,MIN(IF(ISNUMBER(L39:L235),ROW(L39:L235),"")))</f>
        <v>22.884615384615376</v>
      </c>
      <c r="N39" s="13">
        <f>IF('Données projet'!$A$36&gt;35,N38+M39-V38,IF(A39&lt;'Données projet'!$A$36,$K$205^A39,IF(A39='Données projet'!$A$36,'Données projet'!$B$36,N38+M39-V38)))</f>
        <v>403.50769230769203</v>
      </c>
      <c r="O39" s="13">
        <f>N39*VLOOKUP('Données projet'!$B$9,Paramètres!$A$1:$I$89,3,0)*VLOOKUP('Données projet'!$B$9,Paramètres!$A$1:$I$89,5,0)</f>
        <v>225.56079999999986</v>
      </c>
      <c r="P39" s="13">
        <f t="shared" si="33"/>
        <v>55.321736658663617</v>
      </c>
      <c r="Q39" s="20">
        <f t="shared" si="53"/>
        <v>489.20375134717227</v>
      </c>
      <c r="R39" s="59">
        <f t="shared" si="0"/>
        <v>782.53708468050559</v>
      </c>
      <c r="S39" s="59">
        <f ca="1">AVERAGE(OFFSET($R$3,0,0,'Données projet'!$E$9+1,1))-AVERAGE(OFFSET($H$3,0,0,'Données projet'!$E$9+1,1))</f>
        <v>255.5374979188561</v>
      </c>
      <c r="T39" s="59">
        <f t="shared" si="34"/>
        <v>343.10418468620901</v>
      </c>
      <c r="U39" s="15">
        <f>IF(ISNA(VLOOKUP(A39,'Données projet'!$A$35:$I$55,3,0)),0,VLOOKUP(A39,'Données projet'!$A$35:$I$55,3,0))</f>
        <v>4</v>
      </c>
      <c r="V39" s="15">
        <f>IF(ISNA(VLOOKUP(A39,'Données projet'!$A$35:$I$55,4,0)),0,VLOOKUP(A39,'Données projet'!$A$35:$I$55,4,0))</f>
        <v>69.3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2.7438418649697511</v>
      </c>
      <c r="AA39" s="21">
        <f>EXP(-LN(2)/25)*AA38+(1-EXP(-LN(2)/25))/(LN(2)/25)*Calculateur!V39*Calculateur!X39*VLOOKUP('Données projet'!$B$9,Paramètres!$A$1:$I$89,3,0)*0.475*44/12</f>
        <v>13.51427460264566</v>
      </c>
      <c r="AB39" s="21">
        <f>EXP(-LN(2)/2)*AB38+(1-EXP(-LN(2)/2))/(LN(2)/2)*V39*Y39*VLOOKUP('Données projet'!$B$9,Paramètres!$A$1:$I$89,3,0)*0.475*44/12</f>
        <v>0.21158150993175825</v>
      </c>
      <c r="AC39" s="22">
        <f t="shared" si="3"/>
        <v>16.46969797754717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16.131410256410259</v>
      </c>
      <c r="AI39" s="13">
        <f>IF('Données projet'!$A$62&gt;35,AI38+AH39-AQ38,IF(A39&lt;'Données projet'!$A$62,$AF$205^A39,IF(A39='Données projet'!$A$62,'Données projet'!$B$62,AI38+AH39-AQ38)))</f>
        <v>313.58076923076925</v>
      </c>
      <c r="AJ39" s="13">
        <f>AI39*VLOOKUP('Données projet'!$B$10,Paramètres!$A$1:$I$89,3,0)*VLOOKUP('Données projet'!$B$10,Paramètres!$A$1:$I$89,5,0)</f>
        <v>146.75580000000002</v>
      </c>
      <c r="AK39" s="13">
        <f t="shared" si="35"/>
        <v>37.840393952855997</v>
      </c>
      <c r="AL39" s="20">
        <f t="shared" si="4"/>
        <v>321.5050378012242</v>
      </c>
      <c r="AM39" s="59">
        <f t="shared" si="5"/>
        <v>614.83837113455752</v>
      </c>
      <c r="AN39" s="59">
        <f ca="1">AVERAGE(OFFSET($AM$3,0,0,'Données projet'!$E$10+1,1))-AVERAGE(OFFSET($H$3,0,0,'Données projet'!$E$10+1,1))</f>
        <v>158.58786357608489</v>
      </c>
      <c r="AO39" s="59">
        <f t="shared" si="36"/>
        <v>163.20074068819849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18.055769230769229</v>
      </c>
      <c r="BD39" s="12">
        <f>IF('Données projet'!$A$88&gt;35,BD38+BC39-BL38,IF(A39&lt;'Données projet'!$A$88,$BA$205^A39,IF(A39='Données projet'!$A$88,'Données projet'!$B$88,BD38+BC39-BL38)))</f>
        <v>326.49230769230775</v>
      </c>
      <c r="BE39" s="13">
        <f>BD39*VLOOKUP('Données projet'!$B$11,Paramètres!$A$1:$I$89,3,0)*VLOOKUP('Données projet'!$B$11,Paramètres!$A$1:$I$89,5,0)</f>
        <v>195.24240000000006</v>
      </c>
      <c r="BF39" s="13">
        <f t="shared" si="37"/>
        <v>48.697130705157392</v>
      </c>
      <c r="BG39" s="20">
        <f t="shared" si="7"/>
        <v>424.86134931148257</v>
      </c>
      <c r="BH39" s="59">
        <f t="shared" si="8"/>
        <v>718.19468264481588</v>
      </c>
      <c r="BI39" s="59">
        <f ca="1">AVERAGE(OFFSET($BH$3,0,0,'Données projet'!$E$11+1,1))-AVERAGE(OFFSET($H$3,0,0,'Données projet'!$E$11+1,1))</f>
        <v>243.85350804244348</v>
      </c>
      <c r="BJ39" s="59">
        <f t="shared" si="38"/>
        <v>304.60992308960545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4.0187749292424009</v>
      </c>
      <c r="BQ39" s="21">
        <f>EXP(-LN(2)/25)*BQ38+(1-EXP(-LN(2)/25))/(LN(2)/25)*Calculateur!BL39*Calculateur!BN39*VLOOKUP('Données projet'!$B$11,Paramètres!$A$1:$I$89,3,0)*0.475*44/12</f>
        <v>15.011863609721813</v>
      </c>
      <c r="BR39" s="21">
        <f>EXP(-LN(2)/2)*BR38+(1-EXP(-LN(2)/2))/(LN(2)/2)*BL39*BO39*VLOOKUP('Données projet'!$B$11,Paramètres!$A$1:$I$89,3,0)*0.475*44/12</f>
        <v>0.46727831590896246</v>
      </c>
      <c r="BS39" s="22">
        <f t="shared" si="9"/>
        <v>19.497916854873175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15.7</v>
      </c>
      <c r="BY39" s="12">
        <f>IF('Données projet'!$A$114&gt;35,BY38+BX39-CG38,IF(A39&lt;'Données projet'!$A$114,$BV$205^A39,IF(A39='Données projet'!$A$114,'Données projet'!$B$114,BY38+BX39-CG38)))</f>
        <v>234.2</v>
      </c>
      <c r="BZ39" s="13">
        <f>BY39*VLOOKUP('Données projet'!$B$12,Paramètres!$A$1:$I$89,3,0)*VLOOKUP('Données projet'!$B$12,Paramètres!$A$1:$I$89,5,0)</f>
        <v>140.05160000000001</v>
      </c>
      <c r="CA39" s="13">
        <f t="shared" si="39"/>
        <v>36.308826076884721</v>
      </c>
      <c r="CB39" s="20">
        <f t="shared" si="10"/>
        <v>307.16107541724091</v>
      </c>
      <c r="CC39" s="59">
        <f t="shared" si="11"/>
        <v>600.49440875057417</v>
      </c>
      <c r="CD39" s="59">
        <f ca="1">AVERAGE(OFFSET($CC$3,0,0,'Données projet'!$E$12+1,1))-AVERAGE(OFFSET($H$3,0,0,'Données projet'!$E$12+1,1))</f>
        <v>270.30888762640245</v>
      </c>
      <c r="CE39" s="59">
        <f t="shared" si="40"/>
        <v>202.23783851977691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1.901902119748329</v>
      </c>
      <c r="CL39" s="21">
        <f>EXP(-LN(2)/25)*CL38+(1-EXP(-LN(2)/25))/(LN(2)/25)*Calculateur!CG39*Calculateur!CI39*VLOOKUP('Données projet'!$B$12,Paramètres!$A$1:$I$89,3,0)*0.475*44/12</f>
        <v>10.410909884366278</v>
      </c>
      <c r="CM39" s="21">
        <f>EXP(-LN(2)/2)*CM38+(1-EXP(-LN(2)/2))/(LN(2)/2)*CG39*CJ39*VLOOKUP('Données projet'!$B$12,Paramètres!$A$1:$I$89,3,0)*0.475*44/12</f>
        <v>2.311576073307823</v>
      </c>
      <c r="CN39" s="22">
        <f t="shared" si="12"/>
        <v>14.624388077422429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12.1</v>
      </c>
      <c r="CT39" s="12">
        <f>IF('Données projet'!$A$140&gt;35,CT38+CS39-DB38,IF(A39&lt;'Données projet'!$A$140,$CQ$205^A39,IF(A39='Données projet'!$A$140,'Données projet'!$B$140,CT38+CS39-DB38)))</f>
        <v>214.59999999999997</v>
      </c>
      <c r="CU39" s="17">
        <f>CT39*VLOOKUP('Données projet'!$B$13,Paramètres!$A$1:$I$89,3,0)*VLOOKUP('Données projet'!$B$13,Paramètres!$A$1:$I$89,5,0)</f>
        <v>170.73575999999997</v>
      </c>
      <c r="CV39" s="13">
        <f t="shared" si="41"/>
        <v>43.254767908658785</v>
      </c>
      <c r="CW39" s="20">
        <f t="shared" si="13"/>
        <v>372.70016944091395</v>
      </c>
      <c r="CX39" s="59">
        <f t="shared" si="14"/>
        <v>666.03350277424727</v>
      </c>
      <c r="CY39" s="59">
        <f ca="1">AVERAGE(OFFSET($CX$3,0,0,'Données projet'!$E$13+1,1))-AVERAGE(OFFSET($H$3,0,0,'Données projet'!$E$13+1,1))</f>
        <v>260.20517190557814</v>
      </c>
      <c r="CZ39" s="59">
        <f t="shared" si="42"/>
        <v>307.22009971147133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2.8974146544088684</v>
      </c>
      <c r="DG39" s="21">
        <f>EXP(-LN(2)/25)*DG38+(1-EXP(-LN(2)/25))/(LN(2)/25)*Calculateur!DB39*Calculateur!DD39*VLOOKUP('Données projet'!$B$13,Paramètres!$A$1:$I$89,3,0)*0.475*44/12</f>
        <v>17.374877418763198</v>
      </c>
      <c r="DH39" s="21">
        <f>EXP(-LN(2)/2)*DH38+(1-EXP(-LN(2)/2))/(LN(2)/2)*DB39*DE39*VLOOKUP('Données projet'!$B$13,Paramètres!$A$1:$I$89,3,0)*0.475*44/12</f>
        <v>3.0048792815946608</v>
      </c>
      <c r="DI39" s="22">
        <f t="shared" si="15"/>
        <v>23.277171354766729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9.3141025641025674</v>
      </c>
      <c r="DO39" s="12">
        <f>IF('Données projet'!$A$166&gt;35,DO38+DN39-DW38,IF(A39&lt;'Données projet'!$A$166,$DL$205^A39,IF(A39='Données projet'!$A$166,'Données projet'!$B$166,DO38+DN39-DW38)))</f>
        <v>110.87820512820512</v>
      </c>
      <c r="DP39" s="17">
        <f>DO39*VLOOKUP('Données projet'!$B$14,Paramètres!$A$1:$I$89,3,0)*VLOOKUP('Données projet'!$B$14,Paramètres!$A$1:$I$89,5,0)</f>
        <v>112.43050000000001</v>
      </c>
      <c r="DQ39" s="13">
        <f t="shared" si="43"/>
        <v>29.902898919263393</v>
      </c>
      <c r="DR39" s="20">
        <f t="shared" si="16"/>
        <v>247.89733645105045</v>
      </c>
      <c r="DS39" s="59">
        <f t="shared" si="17"/>
        <v>541.23066978438374</v>
      </c>
      <c r="DT39" s="59">
        <f ca="1">AVERAGE(OFFSET($DS$3,0,0,'Données projet'!$E$14+1,1))-AVERAGE(OFFSET($H$3,0,0,'Données projet'!$E$14+1,1))</f>
        <v>263.15518481854753</v>
      </c>
      <c r="DU39" s="59">
        <f t="shared" si="44"/>
        <v>210.80755370263819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12.1</v>
      </c>
      <c r="EJ39" s="12">
        <f>IF('Données projet'!$A$192&gt;35,EJ38+EI39-ER38,IF(A39&lt;'Données projet'!$A$192,$EG$205^A39,IF(A39='Données projet'!$A$192,'Données projet'!$B$192,EJ38+EI39-ER38)))</f>
        <v>214.59999999999997</v>
      </c>
      <c r="EK39" s="17">
        <f>EJ39*VLOOKUP('Données projet'!$B$15,Paramètres!$A$1:$I$89,3,0)*VLOOKUP('Données projet'!$B$15,Paramètres!$A$1:$I$89,5,0)</f>
        <v>143.95367999999996</v>
      </c>
      <c r="EL39" s="13">
        <f t="shared" si="45"/>
        <v>37.20126481543732</v>
      </c>
      <c r="EM39" s="20">
        <f t="shared" si="19"/>
        <v>315.51152888688659</v>
      </c>
      <c r="EN39" s="59">
        <f t="shared" si="20"/>
        <v>608.84486222021997</v>
      </c>
      <c r="EO39" s="59">
        <f ca="1">AVERAGE(OFFSET($EN$3,0,0,'Données projet'!$E$15+1,1))-AVERAGE(OFFSET($H$3,0,0,'Données projet'!$E$15+1,1))</f>
        <v>207.93042467236967</v>
      </c>
      <c r="EP39" s="59">
        <f t="shared" si="46"/>
        <v>250.70954318710835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2.4429182380310062</v>
      </c>
      <c r="EW39" s="21">
        <f>EXP(-LN(2)/25)*EW38+(1-EXP(-LN(2)/25))/(LN(2)/25)*Calculateur!ER39*Calculateur!ET39*VLOOKUP('Données projet'!$B$15,Paramètres!$A$1:$I$89,3,0)*0.475*44/12</f>
        <v>14.649406451114071</v>
      </c>
      <c r="EX39" s="21">
        <f>EXP(-LN(2)/2)*EX38+(1-EXP(-LN(2)/2))/(LN(2)/2)*ER39*EU39*VLOOKUP('Données projet'!$B$15,Paramètres!$A$1:$I$89,3,0)*0.475*44/12</f>
        <v>2.5335256687954981</v>
      </c>
      <c r="EY39" s="22">
        <f t="shared" si="21"/>
        <v>19.625850357940575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9.3141025641025674</v>
      </c>
      <c r="FE39" s="12">
        <f>IF('Données projet'!$A$218&gt;35,FE38+FD39-FM38,IF(A39&lt;'Données projet'!$A$218,$FB$205^A39,IF(A39='Données projet'!$A$218,'Données projet'!$B$218,FE38+FD39-FM38)))</f>
        <v>110.87820512820512</v>
      </c>
      <c r="FF39" s="17">
        <f>FE39*VLOOKUP('Données projet'!$B$16,Paramètres!$A$1:$I$89,3,0)*VLOOKUP('Données projet'!$B$16,Paramètres!$A$1:$I$89,5,0)</f>
        <v>119.3493</v>
      </c>
      <c r="FG39" s="13">
        <f t="shared" si="47"/>
        <v>31.523186212435331</v>
      </c>
      <c r="FH39" s="20">
        <f t="shared" si="22"/>
        <v>262.76958015332485</v>
      </c>
      <c r="FI39" s="59">
        <f t="shared" si="23"/>
        <v>556.10291348665817</v>
      </c>
      <c r="FJ39" s="59">
        <f ca="1">AVERAGE(OFFSET($FI$3,0,0,'Données projet'!$E$16+1,1))-AVERAGE(OFFSET($H$3,0,0,'Données projet'!$E$16+1,1))</f>
        <v>286.77702855541287</v>
      </c>
      <c r="FK39" s="59">
        <f t="shared" si="48"/>
        <v>227.12211541860779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0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0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11.443589743589742</v>
      </c>
      <c r="FZ39" s="12">
        <f>IF('Données projet'!$A$244&gt;35,FZ38+FY39-GH38,IF(A39&lt;'Données projet'!$A$244,$FW$205^A39,IF(A39='Données projet'!$A$244,'Données projet'!$B$244,FZ38+FY39-GH38)))</f>
        <v>215.9153846153846</v>
      </c>
      <c r="GA39" s="17">
        <f>FZ39*VLOOKUP('Données projet'!$B$17,Paramètres!$A$1:$I$89,3,0)*VLOOKUP('Données projet'!$B$17,Paramètres!$A$1:$I$89,5,0)</f>
        <v>101.04839999999999</v>
      </c>
      <c r="GB39" s="13">
        <f t="shared" si="49"/>
        <v>27.21161258263702</v>
      </c>
      <c r="GC39" s="20">
        <f t="shared" si="25"/>
        <v>223.38618858142613</v>
      </c>
      <c r="GD39" s="59">
        <f t="shared" si="26"/>
        <v>516.71952191475941</v>
      </c>
      <c r="GE39" s="59">
        <f ca="1">AVERAGE(OFFSET($GD$3,0,0,'Données projet'!$E$17+1,1))-AVERAGE(OFFSET($H$3,0,0,'Données projet'!$E$17+1,1))</f>
        <v>123.2823358462245</v>
      </c>
      <c r="GF39" s="59">
        <f t="shared" si="50"/>
        <v>92.75115399786057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0</v>
      </c>
      <c r="GM39" s="21">
        <f>EXP(-LN(2)/25)*GM38+(1-EXP(-LN(2)/25))/(LN(2)/25)*Calculateur!GH39*Calculateur!GJ39*VLOOKUP('Données projet'!$B$17,Paramètres!$A$1:$I$89,3,0)*0.475*44/12</f>
        <v>0</v>
      </c>
      <c r="GN39" s="21">
        <f>EXP(-LN(2)/2)*GN38+(1-EXP(-LN(2)/2))/(LN(2)/2)*GH39*GK39*VLOOKUP('Données projet'!$B$17,Paramètres!$A$1:$I$89,3,0)*0.475*44/12</f>
        <v>0</v>
      </c>
      <c r="GO39" s="21">
        <f t="shared" si="27"/>
        <v>0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>
        <f>VLOOKUP(A39,'Données projet'!$A$269:$I$289,2,0)</f>
        <v>262.57692307692309</v>
      </c>
      <c r="GS39" s="12">
        <f>VLOOKUP(A39,'Données projet'!$A$269:$I$289,9,0)</f>
        <v>14.298901098901101</v>
      </c>
      <c r="GT39" s="12">
        <f t="array" ref="GT39">INDEX(GS:GS,MIN(IF(ISNUMBER(GS39:GS235),ROW(GS39:GS235),"")))</f>
        <v>14.298901098901101</v>
      </c>
      <c r="GU39" s="12">
        <f>IF('Données projet'!$A$270&gt;35,GU38+GT39-HC38,IF(A39&lt;'Données projet'!$A$270,$GR$205^A39,IF(A39='Données projet'!$A$270,'Données projet'!$B$270,GU38+GT39-HC38)))</f>
        <v>262.57692307692309</v>
      </c>
      <c r="GV39" s="17">
        <f>GU39*VLOOKUP('Données projet'!$B$18,Paramètres!$A$1:$I$89,3,0)*VLOOKUP('Données projet'!$B$18,Paramètres!$A$1:$I$89,5,0)</f>
        <v>157.02100000000002</v>
      </c>
      <c r="GW39" s="13">
        <f t="shared" si="51"/>
        <v>40.169860444278903</v>
      </c>
      <c r="GX39" s="20">
        <f t="shared" si="28"/>
        <v>343.44074860711908</v>
      </c>
      <c r="GY39" s="59">
        <f t="shared" si="29"/>
        <v>636.77408194045233</v>
      </c>
      <c r="GZ39" s="59">
        <f ca="1">AVERAGE(OFFSET($GY$3,0,0,'Données projet'!$E$18+1,1))-AVERAGE(OFFSET($H$3,0,0,'Données projet'!$E$18+1,1))</f>
        <v>171.96009656745713</v>
      </c>
      <c r="HA39" s="59">
        <f t="shared" si="52"/>
        <v>172.37574906747716</v>
      </c>
      <c r="HB39" s="15">
        <f>IF(ISNA(VLOOKUP(A39,'Données projet'!$A$269:$I$289,3,0)),0,VLOOKUP(A39,'Données projet'!$A$269:$I$289,3,0))</f>
        <v>4</v>
      </c>
      <c r="HC39" s="15">
        <f>IF(ISNA(VLOOKUP(A39,'Données projet'!$A$269:$I$289,4,0)),0,VLOOKUP(A39,'Données projet'!$A$269:$I$289,4,0))</f>
        <v>64.553846153846152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>
        <f>EXP(-LN(2)/35)*HG38+(1-EXP(-LN(2)/35))/(LN(2)/35)*HC39*HD39*VLOOKUP('Données projet'!$B$18,Paramètres!$A$1:$I$89,3,0)*0.475*44/12</f>
        <v>1.4811672876004014</v>
      </c>
      <c r="HH39" s="21">
        <f>EXP(-LN(2)/25)*HH38+(1-EXP(-LN(2)/25))/(LN(2)/25)*Calculateur!HC39*Calculateur!HE39*VLOOKUP('Données projet'!$B$18,Paramètres!$A$1:$I$89,3,0)*0.475*44/12</f>
        <v>17.406518424758929</v>
      </c>
      <c r="HI39" s="21">
        <f>EXP(-LN(2)/2)*HI38+(1-EXP(-LN(2)/2))/(LN(2)/2)*HC39*HF39*VLOOKUP('Données projet'!$B$18,Paramètres!$A$1:$I$89,3,0)*0.475*44/12</f>
        <v>1.5055776599657715</v>
      </c>
      <c r="HJ39" s="22">
        <f t="shared" si="30"/>
        <v>20.393263372325102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22.419230769230779</v>
      </c>
      <c r="N40" s="13">
        <f>IF('Données projet'!$A$36&gt;35,N39+M40-V39,IF(A40&lt;'Données projet'!$A$36,$K$205^A40,IF(A40='Données projet'!$A$36,'Données projet'!$B$36,N39+M40-V39)))</f>
        <v>356.62692307692276</v>
      </c>
      <c r="O40" s="13">
        <f>N40*VLOOKUP('Données projet'!$B$9,Paramètres!$A$1:$I$89,3,0)*VLOOKUP('Données projet'!$B$9,Paramètres!$A$1:$I$89,5,0)</f>
        <v>199.35444999999984</v>
      </c>
      <c r="P40" s="13">
        <f t="shared" si="33"/>
        <v>49.602268690733197</v>
      </c>
      <c r="Q40" s="20">
        <f t="shared" si="53"/>
        <v>433.59961838636008</v>
      </c>
      <c r="R40" s="59">
        <f t="shared" si="0"/>
        <v>726.93295171969339</v>
      </c>
      <c r="S40" s="59">
        <f ca="1">AVERAGE(OFFSET($R$3,0,0,'Données projet'!$E$9+1,1))-AVERAGE(OFFSET($H$3,0,0,'Données projet'!$E$9+1,1))</f>
        <v>255.5374979188561</v>
      </c>
      <c r="T40" s="59">
        <f t="shared" si="34"/>
        <v>343.10418468620901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2.6900367995759797</v>
      </c>
      <c r="AA40" s="21">
        <f>EXP(-LN(2)/25)*AA39+(1-EXP(-LN(2)/25))/(LN(2)/25)*Calculateur!V40*Calculateur!X40*VLOOKUP('Données projet'!$B$9,Paramètres!$A$1:$I$89,3,0)*0.475*44/12</f>
        <v>13.1447260529515</v>
      </c>
      <c r="AB40" s="21">
        <f>EXP(-LN(2)/2)*AB39+(1-EXP(-LN(2)/2))/(LN(2)/2)*V40*Y40*VLOOKUP('Données projet'!$B$9,Paramètres!$A$1:$I$89,3,0)*0.475*44/12</f>
        <v>0.14961072044643511</v>
      </c>
      <c r="AC40" s="22">
        <f t="shared" si="3"/>
        <v>15.984373572973915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16.131410256410259</v>
      </c>
      <c r="AI40" s="13">
        <f>IF('Données projet'!$A$62&gt;35,AI39+AH40-AQ39,IF(A40&lt;'Données projet'!$A$62,$AF$205^A40,IF(A40='Données projet'!$A$62,'Données projet'!$B$62,AI39+AH40-AQ39)))</f>
        <v>329.71217948717953</v>
      </c>
      <c r="AJ40" s="13">
        <f>AI40*VLOOKUP('Données projet'!$B$10,Paramètres!$A$1:$I$89,3,0)*VLOOKUP('Données projet'!$B$10,Paramètres!$A$1:$I$89,5,0)</f>
        <v>154.30530000000002</v>
      </c>
      <c r="AK40" s="13">
        <f t="shared" si="35"/>
        <v>39.555363325024224</v>
      </c>
      <c r="AL40" s="20">
        <f t="shared" si="4"/>
        <v>337.64065529108387</v>
      </c>
      <c r="AM40" s="59">
        <f t="shared" si="5"/>
        <v>630.97398862441719</v>
      </c>
      <c r="AN40" s="59">
        <f ca="1">AVERAGE(OFFSET($AM$3,0,0,'Données projet'!$E$10+1,1))-AVERAGE(OFFSET($H$3,0,0,'Données projet'!$E$10+1,1))</f>
        <v>158.58786357608489</v>
      </c>
      <c r="AO40" s="59">
        <f t="shared" si="36"/>
        <v>163.20074068819849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18.055769230769229</v>
      </c>
      <c r="BD40" s="12">
        <f>IF('Données projet'!$A$88&gt;35,BD39+BC40-BL39,IF(A40&lt;'Données projet'!$A$88,$BA$205^A40,IF(A40='Données projet'!$A$88,'Données projet'!$B$88,BD39+BC40-BL39)))</f>
        <v>344.54807692307696</v>
      </c>
      <c r="BE40" s="13">
        <f>BD40*VLOOKUP('Données projet'!$B$11,Paramètres!$A$1:$I$89,3,0)*VLOOKUP('Données projet'!$B$11,Paramètres!$A$1:$I$89,5,0)</f>
        <v>206.03975000000003</v>
      </c>
      <c r="BF40" s="13">
        <f t="shared" si="37"/>
        <v>51.069214862008621</v>
      </c>
      <c r="BG40" s="20">
        <f t="shared" si="7"/>
        <v>447.79811380133168</v>
      </c>
      <c r="BH40" s="59">
        <f t="shared" si="8"/>
        <v>741.131447134665</v>
      </c>
      <c r="BI40" s="59">
        <f ca="1">AVERAGE(OFFSET($BH$3,0,0,'Données projet'!$E$11+1,1))-AVERAGE(OFFSET($H$3,0,0,'Données projet'!$E$11+1,1))</f>
        <v>243.85350804244348</v>
      </c>
      <c r="BJ40" s="59">
        <f t="shared" si="38"/>
        <v>304.60992308960545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3.9399692040906271</v>
      </c>
      <c r="BQ40" s="21">
        <f>EXP(-LN(2)/25)*BQ39+(1-EXP(-LN(2)/25))/(LN(2)/25)*Calculateur!BL40*Calculateur!BN40*VLOOKUP('Données projet'!$B$11,Paramètres!$A$1:$I$89,3,0)*0.475*44/12</f>
        <v>14.601363409874372</v>
      </c>
      <c r="BR40" s="21">
        <f>EXP(-LN(2)/2)*BR39+(1-EXP(-LN(2)/2))/(LN(2)/2)*BL40*BO40*VLOOKUP('Données projet'!$B$11,Paramètres!$A$1:$I$89,3,0)*0.475*44/12</f>
        <v>0.33041566588065718</v>
      </c>
      <c r="BS40" s="22">
        <f t="shared" si="9"/>
        <v>18.871748279845658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15.7</v>
      </c>
      <c r="BY40" s="12">
        <f>IF('Données projet'!$A$114&gt;35,BY39+BX40-CG39,IF(A40&lt;'Données projet'!$A$114,$BV$205^A40,IF(A40='Données projet'!$A$114,'Données projet'!$B$114,BY39+BX40-CG39)))</f>
        <v>249.89999999999998</v>
      </c>
      <c r="BZ40" s="13">
        <f>BY40*VLOOKUP('Données projet'!$B$12,Paramètres!$A$1:$I$89,3,0)*VLOOKUP('Données projet'!$B$12,Paramètres!$A$1:$I$89,5,0)</f>
        <v>149.4402</v>
      </c>
      <c r="CA40" s="13">
        <f t="shared" si="39"/>
        <v>38.451341391894722</v>
      </c>
      <c r="CB40" s="20">
        <f t="shared" si="10"/>
        <v>327.24443459088332</v>
      </c>
      <c r="CC40" s="59">
        <f t="shared" si="11"/>
        <v>620.57776792421669</v>
      </c>
      <c r="CD40" s="59">
        <f ca="1">AVERAGE(OFFSET($CC$3,0,0,'Données projet'!$E$12+1,1))-AVERAGE(OFFSET($H$3,0,0,'Données projet'!$E$12+1,1))</f>
        <v>270.30888762640245</v>
      </c>
      <c r="CE40" s="59">
        <f t="shared" si="40"/>
        <v>202.23783851977691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1.8646069792258124</v>
      </c>
      <c r="CL40" s="21">
        <f>EXP(-LN(2)/25)*CL39+(1-EXP(-LN(2)/25))/(LN(2)/25)*Calculateur!CG40*Calculateur!CI40*VLOOKUP('Données projet'!$B$12,Paramètres!$A$1:$I$89,3,0)*0.475*44/12</f>
        <v>10.126223006092326</v>
      </c>
      <c r="CM40" s="21">
        <f>EXP(-LN(2)/2)*CM39+(1-EXP(-LN(2)/2))/(LN(2)/2)*CG40*CJ40*VLOOKUP('Données projet'!$B$12,Paramètres!$A$1:$I$89,3,0)*0.475*44/12</f>
        <v>1.6345311166645335</v>
      </c>
      <c r="CN40" s="22">
        <f t="shared" si="12"/>
        <v>13.625361101982671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12.1</v>
      </c>
      <c r="CT40" s="12">
        <f>IF('Données projet'!$A$140&gt;35,CT39+CS40-DB39,IF(A40&lt;'Données projet'!$A$140,$CQ$205^A40,IF(A40='Données projet'!$A$140,'Données projet'!$B$140,CT39+CS40-DB39)))</f>
        <v>226.69999999999996</v>
      </c>
      <c r="CU40" s="17">
        <f>CT40*VLOOKUP('Données projet'!$B$13,Paramètres!$A$1:$I$89,3,0)*VLOOKUP('Données projet'!$B$13,Paramètres!$A$1:$I$89,5,0)</f>
        <v>180.36251999999996</v>
      </c>
      <c r="CV40" s="13">
        <f t="shared" si="41"/>
        <v>45.402830740762262</v>
      </c>
      <c r="CW40" s="20">
        <f t="shared" si="13"/>
        <v>393.20798587349418</v>
      </c>
      <c r="CX40" s="59">
        <f t="shared" si="14"/>
        <v>686.54131920682744</v>
      </c>
      <c r="CY40" s="59">
        <f ca="1">AVERAGE(OFFSET($CX$3,0,0,'Données projet'!$E$13+1,1))-AVERAGE(OFFSET($H$3,0,0,'Données projet'!$E$13+1,1))</f>
        <v>260.20517190557814</v>
      </c>
      <c r="CZ40" s="59">
        <f t="shared" si="42"/>
        <v>307.22009971147133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2.8405981202843482</v>
      </c>
      <c r="DG40" s="21">
        <f>EXP(-LN(2)/25)*DG39+(1-EXP(-LN(2)/25))/(LN(2)/25)*Calculateur!DB40*Calculateur!DD40*VLOOKUP('Données projet'!$B$13,Paramètres!$A$1:$I$89,3,0)*0.475*44/12</f>
        <v>16.899760482042026</v>
      </c>
      <c r="DH40" s="21">
        <f>EXP(-LN(2)/2)*DH39+(1-EXP(-LN(2)/2))/(LN(2)/2)*DB40*DE40*VLOOKUP('Données projet'!$B$13,Paramètres!$A$1:$I$89,3,0)*0.475*44/12</f>
        <v>2.1247705166625459</v>
      </c>
      <c r="DI40" s="22">
        <f t="shared" si="15"/>
        <v>21.865129118988921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9.3141025641025674</v>
      </c>
      <c r="DO40" s="12">
        <f>IF('Données projet'!$A$166&gt;35,DO39+DN40-DW39,IF(A40&lt;'Données projet'!$A$166,$DL$205^A40,IF(A40='Données projet'!$A$166,'Données projet'!$B$166,DO39+DN40-DW39)))</f>
        <v>120.19230769230769</v>
      </c>
      <c r="DP40" s="17">
        <f>DO40*VLOOKUP('Données projet'!$B$14,Paramètres!$A$1:$I$89,3,0)*VLOOKUP('Données projet'!$B$14,Paramètres!$A$1:$I$89,5,0)</f>
        <v>121.875</v>
      </c>
      <c r="DQ40" s="13">
        <f t="shared" si="43"/>
        <v>32.111916865075052</v>
      </c>
      <c r="DR40" s="20">
        <f t="shared" si="16"/>
        <v>268.19388020667236</v>
      </c>
      <c r="DS40" s="59">
        <f t="shared" si="17"/>
        <v>561.52721354000573</v>
      </c>
      <c r="DT40" s="59">
        <f ca="1">AVERAGE(OFFSET($DS$3,0,0,'Données projet'!$E$14+1,1))-AVERAGE(OFFSET($H$3,0,0,'Données projet'!$E$14+1,1))</f>
        <v>263.15518481854753</v>
      </c>
      <c r="DU40" s="59">
        <f t="shared" si="44"/>
        <v>210.80755370263819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12.1</v>
      </c>
      <c r="EJ40" s="12">
        <f>IF('Données projet'!$A$192&gt;35,EJ39+EI40-ER39,IF(A40&lt;'Données projet'!$A$192,$EG$205^A40,IF(A40='Données projet'!$A$192,'Données projet'!$B$192,EJ39+EI40-ER39)))</f>
        <v>226.69999999999996</v>
      </c>
      <c r="EK40" s="17">
        <f>EJ40*VLOOKUP('Données projet'!$B$15,Paramètres!$A$1:$I$89,3,0)*VLOOKUP('Données projet'!$B$15,Paramètres!$A$1:$I$89,5,0)</f>
        <v>152.07035999999997</v>
      </c>
      <c r="EL40" s="13">
        <f t="shared" si="45"/>
        <v>39.048706337399189</v>
      </c>
      <c r="EM40" s="20">
        <f t="shared" si="19"/>
        <v>332.86570720430353</v>
      </c>
      <c r="EN40" s="59">
        <f t="shared" si="20"/>
        <v>626.19904053763685</v>
      </c>
      <c r="EO40" s="59">
        <f ca="1">AVERAGE(OFFSET($EN$3,0,0,'Données projet'!$E$15+1,1))-AVERAGE(OFFSET($H$3,0,0,'Données projet'!$E$15+1,1))</f>
        <v>207.93042467236967</v>
      </c>
      <c r="EP40" s="59">
        <f t="shared" si="46"/>
        <v>250.70954318710835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2.3950141014162147</v>
      </c>
      <c r="EW40" s="21">
        <f>EXP(-LN(2)/25)*EW39+(1-EXP(-LN(2)/25))/(LN(2)/25)*Calculateur!ER40*Calculateur!ET40*VLOOKUP('Données projet'!$B$15,Paramètres!$A$1:$I$89,3,0)*0.475*44/12</f>
        <v>14.248817661329554</v>
      </c>
      <c r="EX40" s="21">
        <f>EXP(-LN(2)/2)*EX39+(1-EXP(-LN(2)/2))/(LN(2)/2)*ER40*EU40*VLOOKUP('Données projet'!$B$15,Paramètres!$A$1:$I$89,3,0)*0.475*44/12</f>
        <v>1.7914731807154798</v>
      </c>
      <c r="EY40" s="22">
        <f t="shared" si="21"/>
        <v>18.435304943461247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9.3141025641025674</v>
      </c>
      <c r="FE40" s="12">
        <f>IF('Données projet'!$A$218&gt;35,FE39+FD40-FM39,IF(A40&lt;'Données projet'!$A$218,$FB$205^A40,IF(A40='Données projet'!$A$218,'Données projet'!$B$218,FE39+FD40-FM39)))</f>
        <v>120.19230769230769</v>
      </c>
      <c r="FF40" s="17">
        <f>FE40*VLOOKUP('Données projet'!$B$16,Paramètres!$A$1:$I$89,3,0)*VLOOKUP('Données projet'!$B$16,Paramètres!$A$1:$I$89,5,0)</f>
        <v>129.375</v>
      </c>
      <c r="FG40" s="13">
        <f t="shared" si="47"/>
        <v>33.851899700731053</v>
      </c>
      <c r="FH40" s="20">
        <f t="shared" si="22"/>
        <v>284.28685031210659</v>
      </c>
      <c r="FI40" s="59">
        <f t="shared" si="23"/>
        <v>577.62018364543997</v>
      </c>
      <c r="FJ40" s="59">
        <f ca="1">AVERAGE(OFFSET($FI$3,0,0,'Données projet'!$E$16+1,1))-AVERAGE(OFFSET($H$3,0,0,'Données projet'!$E$16+1,1))</f>
        <v>286.77702855541287</v>
      </c>
      <c r="FK40" s="59">
        <f t="shared" si="48"/>
        <v>227.12211541860779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0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0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11.443589743589742</v>
      </c>
      <c r="FZ40" s="12">
        <f>IF('Données projet'!$A$244&gt;35,FZ39+FY40-GH39,IF(A40&lt;'Données projet'!$A$244,$FW$205^A40,IF(A40='Données projet'!$A$244,'Données projet'!$B$244,FZ39+FY40-GH39)))</f>
        <v>227.35897435897434</v>
      </c>
      <c r="GA40" s="17">
        <f>FZ40*VLOOKUP('Données projet'!$B$17,Paramètres!$A$1:$I$89,3,0)*VLOOKUP('Données projet'!$B$17,Paramètres!$A$1:$I$89,5,0)</f>
        <v>106.40399999999998</v>
      </c>
      <c r="GB40" s="13">
        <f t="shared" si="49"/>
        <v>28.482106989387589</v>
      </c>
      <c r="GC40" s="20">
        <f t="shared" si="25"/>
        <v>234.92663633985001</v>
      </c>
      <c r="GD40" s="59">
        <f t="shared" si="26"/>
        <v>528.25996967318338</v>
      </c>
      <c r="GE40" s="59">
        <f ca="1">AVERAGE(OFFSET($GD$3,0,0,'Données projet'!$E$17+1,1))-AVERAGE(OFFSET($H$3,0,0,'Données projet'!$E$17+1,1))</f>
        <v>123.2823358462245</v>
      </c>
      <c r="GF40" s="59">
        <f t="shared" si="50"/>
        <v>92.75115399786057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0</v>
      </c>
      <c r="GM40" s="21">
        <f>EXP(-LN(2)/25)*GM39+(1-EXP(-LN(2)/25))/(LN(2)/25)*Calculateur!GH40*Calculateur!GJ40*VLOOKUP('Données projet'!$B$17,Paramètres!$A$1:$I$89,3,0)*0.475*44/12</f>
        <v>0</v>
      </c>
      <c r="GN40" s="21">
        <f>EXP(-LN(2)/2)*GN39+(1-EXP(-LN(2)/2))/(LN(2)/2)*GH40*GK40*VLOOKUP('Données projet'!$B$17,Paramètres!$A$1:$I$89,3,0)*0.475*44/12</f>
        <v>0</v>
      </c>
      <c r="GO40" s="21">
        <f t="shared" si="27"/>
        <v>0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13.141346153846158</v>
      </c>
      <c r="GU40" s="12">
        <f>IF('Données projet'!$A$270&gt;35,GU39+GT40-HC39,IF(A40&lt;'Données projet'!$A$270,$GR$205^A40,IF(A40='Données projet'!$A$270,'Données projet'!$B$270,GU39+GT40-HC39)))</f>
        <v>211.16442307692307</v>
      </c>
      <c r="GV40" s="17">
        <f>GU40*VLOOKUP('Données projet'!$B$18,Paramètres!$A$1:$I$89,3,0)*VLOOKUP('Données projet'!$B$18,Paramètres!$A$1:$I$89,5,0)</f>
        <v>126.27632500000001</v>
      </c>
      <c r="GW40" s="13">
        <f t="shared" si="51"/>
        <v>33.134477451871625</v>
      </c>
      <c r="GX40" s="20">
        <f t="shared" si="28"/>
        <v>277.64048093700978</v>
      </c>
      <c r="GY40" s="59">
        <f t="shared" si="29"/>
        <v>570.97381427034315</v>
      </c>
      <c r="GZ40" s="59">
        <f ca="1">AVERAGE(OFFSET($GY$3,0,0,'Données projet'!$E$18+1,1))-AVERAGE(OFFSET($H$3,0,0,'Données projet'!$E$18+1,1))</f>
        <v>171.96009656745713</v>
      </c>
      <c r="HA40" s="59">
        <f t="shared" si="52"/>
        <v>172.37574906747716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>
        <f>EXP(-LN(2)/35)*HG39+(1-EXP(-LN(2)/35))/(LN(2)/35)*HC40*HD40*VLOOKUP('Données projet'!$B$18,Paramètres!$A$1:$I$89,3,0)*0.475*44/12</f>
        <v>1.4521225005133973</v>
      </c>
      <c r="HH40" s="21">
        <f>EXP(-LN(2)/25)*HH39+(1-EXP(-LN(2)/25))/(LN(2)/25)*Calculateur!HC40*Calculateur!HE40*VLOOKUP('Données projet'!$B$18,Paramètres!$A$1:$I$89,3,0)*0.475*44/12</f>
        <v>16.930536263064877</v>
      </c>
      <c r="HI40" s="21">
        <f>EXP(-LN(2)/2)*HI39+(1-EXP(-LN(2)/2))/(LN(2)/2)*HC40*HF40*VLOOKUP('Données projet'!$B$18,Paramètres!$A$1:$I$89,3,0)*0.475*44/12</f>
        <v>1.0646041729647711</v>
      </c>
      <c r="HJ40" s="22">
        <f t="shared" si="30"/>
        <v>19.447262936543044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22.419230769230779</v>
      </c>
      <c r="N41" s="13">
        <f>IF('Données projet'!$A$36&gt;35,N40+M41-V40,IF(A41&lt;'Données projet'!$A$36,$K$205^A41,IF(A41='Données projet'!$A$36,'Données projet'!$B$36,N40+M41-V40)))</f>
        <v>379.04615384615352</v>
      </c>
      <c r="O41" s="13">
        <f>N41*VLOOKUP('Données projet'!$B$9,Paramètres!$A$1:$I$89,3,0)*VLOOKUP('Données projet'!$B$9,Paramètres!$A$1:$I$89,5,0)</f>
        <v>211.88679999999982</v>
      </c>
      <c r="P41" s="13">
        <f t="shared" si="33"/>
        <v>52.347684082939267</v>
      </c>
      <c r="Q41" s="20">
        <f t="shared" si="53"/>
        <v>460.20839311111894</v>
      </c>
      <c r="R41" s="59">
        <f t="shared" si="0"/>
        <v>753.54172644445225</v>
      </c>
      <c r="S41" s="59">
        <f ca="1">AVERAGE(OFFSET($R$3,0,0,'Données projet'!$E$9+1,1))-AVERAGE(OFFSET($H$3,0,0,'Données projet'!$E$9+1,1))</f>
        <v>255.5374979188561</v>
      </c>
      <c r="T41" s="59">
        <f t="shared" si="34"/>
        <v>343.10418468620901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2.6372868186967309</v>
      </c>
      <c r="AA41" s="21">
        <f>EXP(-LN(2)/25)*AA40+(1-EXP(-LN(2)/25))/(LN(2)/25)*Calculateur!V41*Calculateur!X41*VLOOKUP('Données projet'!$B$9,Paramètres!$A$1:$I$89,3,0)*0.475*44/12</f>
        <v>12.78528282778244</v>
      </c>
      <c r="AB41" s="21">
        <f>EXP(-LN(2)/2)*AB40+(1-EXP(-LN(2)/2))/(LN(2)/2)*V41*Y41*VLOOKUP('Données projet'!$B$9,Paramètres!$A$1:$I$89,3,0)*0.475*44/12</f>
        <v>0.10579075496587913</v>
      </c>
      <c r="AC41" s="22">
        <f t="shared" si="3"/>
        <v>15.528360401445051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16.131410256410259</v>
      </c>
      <c r="AI41" s="13">
        <f>IF('Données projet'!$A$62&gt;35,AI40+AH41-AQ40,IF(A41&lt;'Données projet'!$A$62,$AF$205^A41,IF(A41='Données projet'!$A$62,'Données projet'!$B$62,AI40+AH41-AQ40)))</f>
        <v>345.8435897435898</v>
      </c>
      <c r="AJ41" s="13">
        <f>AI41*VLOOKUP('Données projet'!$B$10,Paramètres!$A$1:$I$89,3,0)*VLOOKUP('Données projet'!$B$10,Paramètres!$A$1:$I$89,5,0)</f>
        <v>161.85480000000001</v>
      </c>
      <c r="AK41" s="13">
        <f t="shared" si="35"/>
        <v>41.260589676862445</v>
      </c>
      <c r="AL41" s="20">
        <f t="shared" si="4"/>
        <v>353.75930368720213</v>
      </c>
      <c r="AM41" s="59">
        <f t="shared" si="5"/>
        <v>647.09263702053545</v>
      </c>
      <c r="AN41" s="59">
        <f ca="1">AVERAGE(OFFSET($AM$3,0,0,'Données projet'!$E$10+1,1))-AVERAGE(OFFSET($H$3,0,0,'Données projet'!$E$10+1,1))</f>
        <v>158.58786357608489</v>
      </c>
      <c r="AO41" s="59">
        <f t="shared" si="36"/>
        <v>163.20074068819849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18.055769230769229</v>
      </c>
      <c r="BD41" s="12">
        <f>IF('Données projet'!$A$88&gt;35,BD40+BC41-BL40,IF(A41&lt;'Données projet'!$A$88,$BA$205^A41,IF(A41='Données projet'!$A$88,'Données projet'!$B$88,BD40+BC41-BL40)))</f>
        <v>362.60384615384618</v>
      </c>
      <c r="BE41" s="13">
        <f>BD41*VLOOKUP('Données projet'!$B$11,Paramètres!$A$1:$I$89,3,0)*VLOOKUP('Données projet'!$B$11,Paramètres!$A$1:$I$89,5,0)</f>
        <v>216.83710000000005</v>
      </c>
      <c r="BF41" s="13">
        <f t="shared" si="37"/>
        <v>53.426866729052094</v>
      </c>
      <c r="BG41" s="20">
        <f t="shared" si="7"/>
        <v>470.70974205309909</v>
      </c>
      <c r="BH41" s="59">
        <f t="shared" si="8"/>
        <v>764.04307538643241</v>
      </c>
      <c r="BI41" s="59">
        <f ca="1">AVERAGE(OFFSET($BH$3,0,0,'Données projet'!$E$11+1,1))-AVERAGE(OFFSET($H$3,0,0,'Données projet'!$E$11+1,1))</f>
        <v>243.85350804244348</v>
      </c>
      <c r="BJ41" s="59">
        <f t="shared" si="38"/>
        <v>304.60992308960545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3.8627088111423338</v>
      </c>
      <c r="BQ41" s="21">
        <f>EXP(-LN(2)/25)*BQ40+(1-EXP(-LN(2)/25))/(LN(2)/25)*Calculateur!BL41*Calculateur!BN41*VLOOKUP('Données projet'!$B$11,Paramètres!$A$1:$I$89,3,0)*0.475*44/12</f>
        <v>14.202088359579028</v>
      </c>
      <c r="BR41" s="21">
        <f>EXP(-LN(2)/2)*BR40+(1-EXP(-LN(2)/2))/(LN(2)/2)*BL41*BO41*VLOOKUP('Données projet'!$B$11,Paramètres!$A$1:$I$89,3,0)*0.475*44/12</f>
        <v>0.23363915795448126</v>
      </c>
      <c r="BS41" s="22">
        <f t="shared" si="9"/>
        <v>18.298436328675844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15.7</v>
      </c>
      <c r="BY41" s="12">
        <f>IF('Données projet'!$A$114&gt;35,BY40+BX41-CG40,IF(A41&lt;'Données projet'!$A$114,$BV$205^A41,IF(A41='Données projet'!$A$114,'Données projet'!$B$114,BY40+BX41-CG40)))</f>
        <v>265.59999999999997</v>
      </c>
      <c r="BZ41" s="13">
        <f>BY41*VLOOKUP('Données projet'!$B$12,Paramètres!$A$1:$I$89,3,0)*VLOOKUP('Données projet'!$B$12,Paramètres!$A$1:$I$89,5,0)</f>
        <v>158.8288</v>
      </c>
      <c r="CA41" s="13">
        <f t="shared" si="39"/>
        <v>40.578235128063156</v>
      </c>
      <c r="CB41" s="20">
        <f t="shared" si="10"/>
        <v>347.30058618137667</v>
      </c>
      <c r="CC41" s="59">
        <f t="shared" si="11"/>
        <v>640.63391951470999</v>
      </c>
      <c r="CD41" s="59">
        <f ca="1">AVERAGE(OFFSET($CC$3,0,0,'Données projet'!$E$12+1,1))-AVERAGE(OFFSET($H$3,0,0,'Données projet'!$E$12+1,1))</f>
        <v>270.30888762640245</v>
      </c>
      <c r="CE41" s="59">
        <f t="shared" si="40"/>
        <v>202.23783851977691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1.8280431736611527</v>
      </c>
      <c r="CL41" s="21">
        <f>EXP(-LN(2)/25)*CL40+(1-EXP(-LN(2)/25))/(LN(2)/25)*Calculateur!CG41*Calculateur!CI41*VLOOKUP('Données projet'!$B$12,Paramètres!$A$1:$I$89,3,0)*0.475*44/12</f>
        <v>9.8493209054758069</v>
      </c>
      <c r="CM41" s="21">
        <f>EXP(-LN(2)/2)*CM40+(1-EXP(-LN(2)/2))/(LN(2)/2)*CG41*CJ41*VLOOKUP('Données projet'!$B$12,Paramètres!$A$1:$I$89,3,0)*0.475*44/12</f>
        <v>1.1557880366539115</v>
      </c>
      <c r="CN41" s="22">
        <f t="shared" si="12"/>
        <v>12.83315211579087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12.1</v>
      </c>
      <c r="CT41" s="12">
        <f>IF('Données projet'!$A$140&gt;35,CT40+CS41-DB40,IF(A41&lt;'Données projet'!$A$140,$CQ$205^A41,IF(A41='Données projet'!$A$140,'Données projet'!$B$140,CT40+CS41-DB40)))</f>
        <v>238.79999999999995</v>
      </c>
      <c r="CU41" s="17">
        <f>CT41*VLOOKUP('Données projet'!$B$13,Paramètres!$A$1:$I$89,3,0)*VLOOKUP('Données projet'!$B$13,Paramètres!$A$1:$I$89,5,0)</f>
        <v>189.98927999999998</v>
      </c>
      <c r="CV41" s="13">
        <f t="shared" si="41"/>
        <v>47.537582803650189</v>
      </c>
      <c r="CW41" s="20">
        <f t="shared" si="13"/>
        <v>413.69261938302407</v>
      </c>
      <c r="CX41" s="59">
        <f t="shared" si="14"/>
        <v>707.02595271635732</v>
      </c>
      <c r="CY41" s="59">
        <f ca="1">AVERAGE(OFFSET($CX$3,0,0,'Données projet'!$E$13+1,1))-AVERAGE(OFFSET($H$3,0,0,'Données projet'!$E$13+1,1))</f>
        <v>260.20517190557814</v>
      </c>
      <c r="CZ41" s="59">
        <f t="shared" si="42"/>
        <v>307.22009971147133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2.7848957237393459</v>
      </c>
      <c r="DG41" s="21">
        <f>EXP(-LN(2)/25)*DG40+(1-EXP(-LN(2)/25))/(LN(2)/25)*Calculateur!DB41*Calculateur!DD41*VLOOKUP('Données projet'!$B$13,Paramètres!$A$1:$I$89,3,0)*0.475*44/12</f>
        <v>16.437635642940808</v>
      </c>
      <c r="DH41" s="21">
        <f>EXP(-LN(2)/2)*DH40+(1-EXP(-LN(2)/2))/(LN(2)/2)*DB41*DE41*VLOOKUP('Données projet'!$B$13,Paramètres!$A$1:$I$89,3,0)*0.475*44/12</f>
        <v>1.5024396407973304</v>
      </c>
      <c r="DI41" s="22">
        <f t="shared" si="15"/>
        <v>20.724971007477485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9.3141025641025674</v>
      </c>
      <c r="DO41" s="12">
        <f>IF('Données projet'!$A$166&gt;35,DO40+DN41-DW40,IF(A41&lt;'Données projet'!$A$166,$DL$205^A41,IF(A41='Données projet'!$A$166,'Données projet'!$B$166,DO40+DN41-DW40)))</f>
        <v>129.50641025641025</v>
      </c>
      <c r="DP41" s="17">
        <f>DO41*VLOOKUP('Données projet'!$B$14,Paramètres!$A$1:$I$89,3,0)*VLOOKUP('Données projet'!$B$14,Paramètres!$A$1:$I$89,5,0)</f>
        <v>131.31950000000001</v>
      </c>
      <c r="DQ41" s="13">
        <f t="shared" si="43"/>
        <v>34.301077605333873</v>
      </c>
      <c r="DR41" s="20">
        <f t="shared" si="16"/>
        <v>288.45583932928986</v>
      </c>
      <c r="DS41" s="59">
        <f t="shared" si="17"/>
        <v>581.78917266262317</v>
      </c>
      <c r="DT41" s="59">
        <f ca="1">AVERAGE(OFFSET($DS$3,0,0,'Données projet'!$E$14+1,1))-AVERAGE(OFFSET($H$3,0,0,'Données projet'!$E$14+1,1))</f>
        <v>263.15518481854753</v>
      </c>
      <c r="DU41" s="59">
        <f t="shared" si="44"/>
        <v>210.80755370263819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12.1</v>
      </c>
      <c r="EJ41" s="12">
        <f>IF('Données projet'!$A$192&gt;35,EJ40+EI41-ER40,IF(A41&lt;'Données projet'!$A$192,$EG$205^A41,IF(A41='Données projet'!$A$192,'Données projet'!$B$192,EJ40+EI41-ER40)))</f>
        <v>238.79999999999995</v>
      </c>
      <c r="EK41" s="17">
        <f>EJ41*VLOOKUP('Données projet'!$B$15,Paramètres!$A$1:$I$89,3,0)*VLOOKUP('Données projet'!$B$15,Paramètres!$A$1:$I$89,5,0)</f>
        <v>160.18703999999997</v>
      </c>
      <c r="EL41" s="13">
        <f t="shared" si="45"/>
        <v>40.884699931781583</v>
      </c>
      <c r="EM41" s="20">
        <f t="shared" si="19"/>
        <v>350.1999470478529</v>
      </c>
      <c r="EN41" s="59">
        <f t="shared" si="20"/>
        <v>643.53328038118616</v>
      </c>
      <c r="EO41" s="59">
        <f ca="1">AVERAGE(OFFSET($EN$3,0,0,'Données projet'!$E$15+1,1))-AVERAGE(OFFSET($H$3,0,0,'Données projet'!$E$15+1,1))</f>
        <v>207.93042467236967</v>
      </c>
      <c r="EP41" s="59">
        <f t="shared" si="46"/>
        <v>250.70954318710835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2.3480493357018011</v>
      </c>
      <c r="EW41" s="21">
        <f>EXP(-LN(2)/25)*EW40+(1-EXP(-LN(2)/25))/(LN(2)/25)*Calculateur!ER41*Calculateur!ET41*VLOOKUP('Données projet'!$B$15,Paramètres!$A$1:$I$89,3,0)*0.475*44/12</f>
        <v>13.859182993067742</v>
      </c>
      <c r="EX41" s="21">
        <f>EXP(-LN(2)/2)*EX40+(1-EXP(-LN(2)/2))/(LN(2)/2)*ER41*EU41*VLOOKUP('Données projet'!$B$15,Paramètres!$A$1:$I$89,3,0)*0.475*44/12</f>
        <v>1.2667628343977491</v>
      </c>
      <c r="EY41" s="22">
        <f t="shared" si="21"/>
        <v>17.473995163167292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9.3141025641025674</v>
      </c>
      <c r="FE41" s="12">
        <f>IF('Données projet'!$A$218&gt;35,FE40+FD41-FM40,IF(A41&lt;'Données projet'!$A$218,$FB$205^A41,IF(A41='Données projet'!$A$218,'Données projet'!$B$218,FE40+FD41-FM40)))</f>
        <v>129.50641025641025</v>
      </c>
      <c r="FF41" s="17">
        <f>FE41*VLOOKUP('Données projet'!$B$16,Paramètres!$A$1:$I$89,3,0)*VLOOKUP('Données projet'!$B$16,Paramètres!$A$1:$I$89,5,0)</f>
        <v>139.40069999999997</v>
      </c>
      <c r="FG41" s="13">
        <f t="shared" si="47"/>
        <v>36.159680021644213</v>
      </c>
      <c r="FH41" s="20">
        <f t="shared" si="22"/>
        <v>305.76766187103027</v>
      </c>
      <c r="FI41" s="59">
        <f t="shared" si="23"/>
        <v>599.10099520436358</v>
      </c>
      <c r="FJ41" s="59">
        <f ca="1">AVERAGE(OFFSET($FI$3,0,0,'Données projet'!$E$16+1,1))-AVERAGE(OFFSET($H$3,0,0,'Données projet'!$E$16+1,1))</f>
        <v>286.77702855541287</v>
      </c>
      <c r="FK41" s="59">
        <f t="shared" si="48"/>
        <v>227.12211541860779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0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0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11.443589743589742</v>
      </c>
      <c r="FZ41" s="12">
        <f>IF('Données projet'!$A$244&gt;35,FZ40+FY41-GH40,IF(A41&lt;'Données projet'!$A$244,$FW$205^A41,IF(A41='Données projet'!$A$244,'Données projet'!$B$244,FZ40+FY41-GH40)))</f>
        <v>238.80256410256408</v>
      </c>
      <c r="GA41" s="17">
        <f>FZ41*VLOOKUP('Données projet'!$B$17,Paramètres!$A$1:$I$89,3,0)*VLOOKUP('Données projet'!$B$17,Paramètres!$A$1:$I$89,5,0)</f>
        <v>111.75959999999998</v>
      </c>
      <c r="GB41" s="13">
        <f t="shared" si="49"/>
        <v>29.745176370290782</v>
      </c>
      <c r="GC41" s="20">
        <f t="shared" si="25"/>
        <v>246.45415217825635</v>
      </c>
      <c r="GD41" s="59">
        <f t="shared" si="26"/>
        <v>539.78748551158969</v>
      </c>
      <c r="GE41" s="59">
        <f ca="1">AVERAGE(OFFSET($GD$3,0,0,'Données projet'!$E$17+1,1))-AVERAGE(OFFSET($H$3,0,0,'Données projet'!$E$17+1,1))</f>
        <v>123.2823358462245</v>
      </c>
      <c r="GF41" s="59">
        <f t="shared" si="50"/>
        <v>92.75115399786057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0</v>
      </c>
      <c r="GM41" s="21">
        <f>EXP(-LN(2)/25)*GM40+(1-EXP(-LN(2)/25))/(LN(2)/25)*Calculateur!GH41*Calculateur!GJ41*VLOOKUP('Données projet'!$B$17,Paramètres!$A$1:$I$89,3,0)*0.475*44/12</f>
        <v>0</v>
      </c>
      <c r="GN41" s="21">
        <f>EXP(-LN(2)/2)*GN40+(1-EXP(-LN(2)/2))/(LN(2)/2)*GH41*GK41*VLOOKUP('Données projet'!$B$17,Paramètres!$A$1:$I$89,3,0)*0.475*44/12</f>
        <v>0</v>
      </c>
      <c r="GO41" s="21">
        <f t="shared" si="27"/>
        <v>0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13.141346153846158</v>
      </c>
      <c r="GU41" s="12">
        <f>IF('Données projet'!$A$270&gt;35,GU40+GT41-HC40,IF(A41&lt;'Données projet'!$A$270,$GR$205^A41,IF(A41='Données projet'!$A$270,'Données projet'!$B$270,GU40+GT41-HC40)))</f>
        <v>224.30576923076922</v>
      </c>
      <c r="GV41" s="17">
        <f>GU41*VLOOKUP('Données projet'!$B$18,Paramètres!$A$1:$I$89,3,0)*VLOOKUP('Données projet'!$B$18,Paramètres!$A$1:$I$89,5,0)</f>
        <v>134.13485</v>
      </c>
      <c r="GW41" s="13">
        <f t="shared" si="51"/>
        <v>34.950053695803156</v>
      </c>
      <c r="GX41" s="20">
        <f t="shared" si="28"/>
        <v>294.48954060352384</v>
      </c>
      <c r="GY41" s="59">
        <f t="shared" si="29"/>
        <v>587.82287393685715</v>
      </c>
      <c r="GZ41" s="59">
        <f ca="1">AVERAGE(OFFSET($GY$3,0,0,'Données projet'!$E$18+1,1))-AVERAGE(OFFSET($H$3,0,0,'Données projet'!$E$18+1,1))</f>
        <v>171.96009656745713</v>
      </c>
      <c r="HA41" s="59">
        <f t="shared" si="52"/>
        <v>172.37574906747716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>
        <f>EXP(-LN(2)/35)*HG40+(1-EXP(-LN(2)/35))/(LN(2)/35)*HC41*HD41*VLOOKUP('Données projet'!$B$18,Paramètres!$A$1:$I$89,3,0)*0.475*44/12</f>
        <v>1.4236472639855986</v>
      </c>
      <c r="HH41" s="21">
        <f>EXP(-LN(2)/25)*HH40+(1-EXP(-LN(2)/25))/(LN(2)/25)*Calculateur!HC41*Calculateur!HE41*VLOOKUP('Données projet'!$B$18,Paramètres!$A$1:$I$89,3,0)*0.475*44/12</f>
        <v>16.46756985861316</v>
      </c>
      <c r="HI41" s="21">
        <f>EXP(-LN(2)/2)*HI40+(1-EXP(-LN(2)/2))/(LN(2)/2)*HC41*HF41*VLOOKUP('Données projet'!$B$18,Paramètres!$A$1:$I$89,3,0)*0.475*44/12</f>
        <v>0.75278882998288577</v>
      </c>
      <c r="HJ41" s="22">
        <f t="shared" si="30"/>
        <v>18.644005952581647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22.419230769230779</v>
      </c>
      <c r="N42" s="13">
        <f>IF('Données projet'!$A$36&gt;35,N41+M42-V41,IF(A42&lt;'Données projet'!$A$36,$K$205^A42,IF(A42='Données projet'!$A$36,'Données projet'!$B$36,N41+M42-V41)))</f>
        <v>401.46538461538432</v>
      </c>
      <c r="O42" s="13">
        <f>N42*VLOOKUP('Données projet'!$B$9,Paramètres!$A$1:$I$89,3,0)*VLOOKUP('Données projet'!$B$9,Paramètres!$A$1:$I$89,5,0)</f>
        <v>224.41914999999986</v>
      </c>
      <c r="P42" s="13">
        <f t="shared" si="33"/>
        <v>55.074251579267411</v>
      </c>
      <c r="Q42" s="20">
        <f t="shared" si="53"/>
        <v>486.78434108389047</v>
      </c>
      <c r="R42" s="59">
        <f t="shared" si="0"/>
        <v>780.11767441722372</v>
      </c>
      <c r="S42" s="59">
        <f ca="1">AVERAGE(OFFSET($R$3,0,0,'Données projet'!$E$9+1,1))-AVERAGE(OFFSET($H$3,0,0,'Données projet'!$E$9+1,1))</f>
        <v>255.5374979188561</v>
      </c>
      <c r="T42" s="59">
        <f t="shared" si="34"/>
        <v>343.10418468620901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2.5855712327682125</v>
      </c>
      <c r="AA42" s="21">
        <f>EXP(-LN(2)/25)*AA41+(1-EXP(-LN(2)/25))/(LN(2)/25)*Calculateur!V42*Calculateur!X42*VLOOKUP('Données projet'!$B$9,Paramètres!$A$1:$I$89,3,0)*0.475*44/12</f>
        <v>12.435668596507927</v>
      </c>
      <c r="AB42" s="21">
        <f>EXP(-LN(2)/2)*AB41+(1-EXP(-LN(2)/2))/(LN(2)/2)*V42*Y42*VLOOKUP('Données projet'!$B$9,Paramètres!$A$1:$I$89,3,0)*0.475*44/12</f>
        <v>7.4805360223217557E-2</v>
      </c>
      <c r="AC42" s="22">
        <f t="shared" si="3"/>
        <v>15.096045189499359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16.131410256410259</v>
      </c>
      <c r="AI42" s="13">
        <f>IF('Données projet'!$A$62&gt;35,AI41+AH42-AQ41,IF(A42&lt;'Données projet'!$A$62,$AF$205^A42,IF(A42='Données projet'!$A$62,'Données projet'!$B$62,AI41+AH42-AQ41)))</f>
        <v>361.97500000000008</v>
      </c>
      <c r="AJ42" s="13">
        <f>AI42*VLOOKUP('Données projet'!$B$10,Paramètres!$A$1:$I$89,3,0)*VLOOKUP('Données projet'!$B$10,Paramètres!$A$1:$I$89,5,0)</f>
        <v>169.40430000000006</v>
      </c>
      <c r="AK42" s="13">
        <f t="shared" si="35"/>
        <v>42.956579357099159</v>
      </c>
      <c r="AL42" s="20">
        <f t="shared" si="4"/>
        <v>369.86186488028119</v>
      </c>
      <c r="AM42" s="59">
        <f t="shared" si="5"/>
        <v>663.1951982136145</v>
      </c>
      <c r="AN42" s="59">
        <f ca="1">AVERAGE(OFFSET($AM$3,0,0,'Données projet'!$E$10+1,1))-AVERAGE(OFFSET($H$3,0,0,'Données projet'!$E$10+1,1))</f>
        <v>158.58786357608489</v>
      </c>
      <c r="AO42" s="59">
        <f t="shared" si="36"/>
        <v>163.20074068819849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18.055769230769229</v>
      </c>
      <c r="BD42" s="12">
        <f>IF('Données projet'!$A$88&gt;35,BD41+BC42-BL41,IF(A42&lt;'Données projet'!$A$88,$BA$205^A42,IF(A42='Données projet'!$A$88,'Données projet'!$B$88,BD41+BC42-BL41)))</f>
        <v>380.65961538461539</v>
      </c>
      <c r="BE42" s="13">
        <f>BD42*VLOOKUP('Données projet'!$B$11,Paramètres!$A$1:$I$89,3,0)*VLOOKUP('Données projet'!$B$11,Paramètres!$A$1:$I$89,5,0)</f>
        <v>227.63445000000002</v>
      </c>
      <c r="BF42" s="13">
        <f t="shared" si="37"/>
        <v>55.770886966725193</v>
      </c>
      <c r="BG42" s="20">
        <f t="shared" si="7"/>
        <v>493.59762855037974</v>
      </c>
      <c r="BH42" s="59">
        <f t="shared" si="8"/>
        <v>786.93096188371305</v>
      </c>
      <c r="BI42" s="59">
        <f ca="1">AVERAGE(OFFSET($BH$3,0,0,'Données projet'!$E$11+1,1))-AVERAGE(OFFSET($H$3,0,0,'Données projet'!$E$11+1,1))</f>
        <v>243.85350804244348</v>
      </c>
      <c r="BJ42" s="59">
        <f t="shared" si="38"/>
        <v>304.60992308960545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3.78696344737557</v>
      </c>
      <c r="BQ42" s="21">
        <f>EXP(-LN(2)/25)*BQ41+(1-EXP(-LN(2)/25))/(LN(2)/25)*Calculateur!BL42*Calculateur!BN42*VLOOKUP('Données projet'!$B$11,Paramètres!$A$1:$I$89,3,0)*0.475*44/12</f>
        <v>13.813731506530972</v>
      </c>
      <c r="BR42" s="21">
        <f>EXP(-LN(2)/2)*BR41+(1-EXP(-LN(2)/2))/(LN(2)/2)*BL42*BO42*VLOOKUP('Données projet'!$B$11,Paramètres!$A$1:$I$89,3,0)*0.475*44/12</f>
        <v>0.16520783294032859</v>
      </c>
      <c r="BS42" s="22">
        <f t="shared" si="9"/>
        <v>17.765902786846873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15.7</v>
      </c>
      <c r="BY42" s="12">
        <f>IF('Données projet'!$A$114&gt;35,BY41+BX42-CG41,IF(A42&lt;'Données projet'!$A$114,$BV$205^A42,IF(A42='Données projet'!$A$114,'Données projet'!$B$114,BY41+BX42-CG41)))</f>
        <v>281.29999999999995</v>
      </c>
      <c r="BZ42" s="13">
        <f>BY42*VLOOKUP('Données projet'!$B$12,Paramètres!$A$1:$I$89,3,0)*VLOOKUP('Données projet'!$B$12,Paramètres!$A$1:$I$89,5,0)</f>
        <v>168.2174</v>
      </c>
      <c r="CA42" s="13">
        <f t="shared" si="39"/>
        <v>42.690535879167591</v>
      </c>
      <c r="CB42" s="20">
        <f t="shared" si="10"/>
        <v>367.33132165621686</v>
      </c>
      <c r="CC42" s="59">
        <f t="shared" si="11"/>
        <v>660.66465498955017</v>
      </c>
      <c r="CD42" s="59">
        <f ca="1">AVERAGE(OFFSET($CC$3,0,0,'Données projet'!$E$12+1,1))-AVERAGE(OFFSET($H$3,0,0,'Données projet'!$E$12+1,1))</f>
        <v>270.30888762640245</v>
      </c>
      <c r="CE42" s="59">
        <f t="shared" si="40"/>
        <v>202.23783851977691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1.7921963620218966</v>
      </c>
      <c r="CL42" s="21">
        <f>EXP(-LN(2)/25)*CL41+(1-EXP(-LN(2)/25))/(LN(2)/25)*Calculateur!CG42*Calculateur!CI42*VLOOKUP('Données projet'!$B$12,Paramètres!$A$1:$I$89,3,0)*0.475*44/12</f>
        <v>9.5799907073622954</v>
      </c>
      <c r="CM42" s="21">
        <f>EXP(-LN(2)/2)*CM41+(1-EXP(-LN(2)/2))/(LN(2)/2)*CG42*CJ42*VLOOKUP('Données projet'!$B$12,Paramètres!$A$1:$I$89,3,0)*0.475*44/12</f>
        <v>0.81726555833226677</v>
      </c>
      <c r="CN42" s="22">
        <f t="shared" si="12"/>
        <v>12.189452627716459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12.1</v>
      </c>
      <c r="CT42" s="12">
        <f>IF('Données projet'!$A$140&gt;35,CT41+CS42-DB41,IF(A42&lt;'Données projet'!$A$140,$CQ$205^A42,IF(A42='Données projet'!$A$140,'Données projet'!$B$140,CT41+CS42-DB41)))</f>
        <v>250.89999999999995</v>
      </c>
      <c r="CU42" s="17">
        <f>CT42*VLOOKUP('Données projet'!$B$13,Paramètres!$A$1:$I$89,3,0)*VLOOKUP('Données projet'!$B$13,Paramètres!$A$1:$I$89,5,0)</f>
        <v>199.61603999999997</v>
      </c>
      <c r="CV42" s="13">
        <f t="shared" si="41"/>
        <v>49.659775503665841</v>
      </c>
      <c r="CW42" s="20">
        <f t="shared" si="13"/>
        <v>434.15537866888457</v>
      </c>
      <c r="CX42" s="59">
        <f t="shared" si="14"/>
        <v>727.48871200221788</v>
      </c>
      <c r="CY42" s="59">
        <f ca="1">AVERAGE(OFFSET($CX$3,0,0,'Données projet'!$E$13+1,1))-AVERAGE(OFFSET($H$3,0,0,'Données projet'!$E$13+1,1))</f>
        <v>260.20517190557814</v>
      </c>
      <c r="CZ42" s="59">
        <f t="shared" si="42"/>
        <v>307.22009971147133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2.7302856172154844</v>
      </c>
      <c r="DG42" s="21">
        <f>EXP(-LN(2)/25)*DG41+(1-EXP(-LN(2)/25))/(LN(2)/25)*Calculateur!DB42*Calculateur!DD42*VLOOKUP('Données projet'!$B$13,Paramètres!$A$1:$I$89,3,0)*0.475*44/12</f>
        <v>15.988147631866902</v>
      </c>
      <c r="DH42" s="21">
        <f>EXP(-LN(2)/2)*DH41+(1-EXP(-LN(2)/2))/(LN(2)/2)*DB42*DE42*VLOOKUP('Données projet'!$B$13,Paramètres!$A$1:$I$89,3,0)*0.475*44/12</f>
        <v>1.062385258331273</v>
      </c>
      <c r="DI42" s="22">
        <f t="shared" si="15"/>
        <v>19.78081850741366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9.3141025641025674</v>
      </c>
      <c r="DO42" s="12">
        <f>IF('Données projet'!$A$166&gt;35,DO41+DN42-DW41,IF(A42&lt;'Données projet'!$A$166,$DL$205^A42,IF(A42='Données projet'!$A$166,'Données projet'!$B$166,DO41+DN42-DW41)))</f>
        <v>138.82051282051282</v>
      </c>
      <c r="DP42" s="17">
        <f>DO42*VLOOKUP('Données projet'!$B$14,Paramètres!$A$1:$I$89,3,0)*VLOOKUP('Données projet'!$B$14,Paramètres!$A$1:$I$89,5,0)</f>
        <v>140.76400000000001</v>
      </c>
      <c r="DQ42" s="13">
        <f t="shared" si="43"/>
        <v>36.471971691246594</v>
      </c>
      <c r="DR42" s="20">
        <f t="shared" si="16"/>
        <v>308.68598402892115</v>
      </c>
      <c r="DS42" s="59">
        <f t="shared" si="17"/>
        <v>602.01931736225447</v>
      </c>
      <c r="DT42" s="59">
        <f ca="1">AVERAGE(OFFSET($DS$3,0,0,'Données projet'!$E$14+1,1))-AVERAGE(OFFSET($H$3,0,0,'Données projet'!$E$14+1,1))</f>
        <v>263.15518481854753</v>
      </c>
      <c r="DU42" s="59">
        <f t="shared" si="44"/>
        <v>210.80755370263819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12.1</v>
      </c>
      <c r="EJ42" s="12">
        <f>IF('Données projet'!$A$192&gt;35,EJ41+EI42-ER41,IF(A42&lt;'Données projet'!$A$192,$EG$205^A42,IF(A42='Données projet'!$A$192,'Données projet'!$B$192,EJ41+EI42-ER41)))</f>
        <v>250.89999999999995</v>
      </c>
      <c r="EK42" s="17">
        <f>EJ42*VLOOKUP('Données projet'!$B$15,Paramètres!$A$1:$I$89,3,0)*VLOOKUP('Données projet'!$B$15,Paramètres!$A$1:$I$89,5,0)</f>
        <v>168.30371999999997</v>
      </c>
      <c r="EL42" s="13">
        <f t="shared" si="45"/>
        <v>42.709891845639163</v>
      </c>
      <c r="EM42" s="20">
        <f t="shared" si="19"/>
        <v>367.51537396448816</v>
      </c>
      <c r="EN42" s="59">
        <f t="shared" si="20"/>
        <v>660.84870729782142</v>
      </c>
      <c r="EO42" s="59">
        <f ca="1">AVERAGE(OFFSET($EN$3,0,0,'Données projet'!$E$15+1,1))-AVERAGE(OFFSET($H$3,0,0,'Données projet'!$E$15+1,1))</f>
        <v>207.93042467236967</v>
      </c>
      <c r="EP42" s="59">
        <f t="shared" si="46"/>
        <v>250.70954318710835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2.3020055203973686</v>
      </c>
      <c r="EW42" s="21">
        <f>EXP(-LN(2)/25)*EW41+(1-EXP(-LN(2)/25))/(LN(2)/25)*Calculateur!ER42*Calculateur!ET42*VLOOKUP('Données projet'!$B$15,Paramètres!$A$1:$I$89,3,0)*0.475*44/12</f>
        <v>13.480202905299548</v>
      </c>
      <c r="EX42" s="21">
        <f>EXP(-LN(2)/2)*EX41+(1-EXP(-LN(2)/2))/(LN(2)/2)*ER42*EU42*VLOOKUP('Données projet'!$B$15,Paramètres!$A$1:$I$89,3,0)*0.475*44/12</f>
        <v>0.89573659035773989</v>
      </c>
      <c r="EY42" s="22">
        <f t="shared" si="21"/>
        <v>16.677945016054657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9.3141025641025674</v>
      </c>
      <c r="FE42" s="12">
        <f>IF('Données projet'!$A$218&gt;35,FE41+FD42-FM41,IF(A42&lt;'Données projet'!$A$218,$FB$205^A42,IF(A42='Données projet'!$A$218,'Données projet'!$B$218,FE41+FD42-FM41)))</f>
        <v>138.82051282051282</v>
      </c>
      <c r="FF42" s="17">
        <f>FE42*VLOOKUP('Données projet'!$B$16,Paramètres!$A$1:$I$89,3,0)*VLOOKUP('Données projet'!$B$16,Paramètres!$A$1:$I$89,5,0)</f>
        <v>149.4264</v>
      </c>
      <c r="FG42" s="13">
        <f t="shared" si="47"/>
        <v>38.448203910330356</v>
      </c>
      <c r="FH42" s="20">
        <f t="shared" si="22"/>
        <v>327.21493514382536</v>
      </c>
      <c r="FI42" s="59">
        <f t="shared" si="23"/>
        <v>620.54826847715867</v>
      </c>
      <c r="FJ42" s="59">
        <f ca="1">AVERAGE(OFFSET($FI$3,0,0,'Données projet'!$E$16+1,1))-AVERAGE(OFFSET($H$3,0,0,'Données projet'!$E$16+1,1))</f>
        <v>286.77702855541287</v>
      </c>
      <c r="FK42" s="59">
        <f t="shared" si="48"/>
        <v>227.12211541860779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0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0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11.443589743589742</v>
      </c>
      <c r="FZ42" s="12">
        <f>IF('Données projet'!$A$244&gt;35,FZ41+FY42-GH41,IF(A42&lt;'Données projet'!$A$244,$FW$205^A42,IF(A42='Données projet'!$A$244,'Données projet'!$B$244,FZ41+FY42-GH41)))</f>
        <v>250.24615384615382</v>
      </c>
      <c r="GA42" s="17">
        <f>FZ42*VLOOKUP('Données projet'!$B$17,Paramètres!$A$1:$I$89,3,0)*VLOOKUP('Données projet'!$B$17,Paramètres!$A$1:$I$89,5,0)</f>
        <v>117.11519999999997</v>
      </c>
      <c r="GB42" s="13">
        <f t="shared" si="49"/>
        <v>31.001217159106822</v>
      </c>
      <c r="GC42" s="20">
        <f t="shared" si="25"/>
        <v>257.96942655211097</v>
      </c>
      <c r="GD42" s="59">
        <f t="shared" si="26"/>
        <v>551.30275988544429</v>
      </c>
      <c r="GE42" s="59">
        <f ca="1">AVERAGE(OFFSET($GD$3,0,0,'Données projet'!$E$17+1,1))-AVERAGE(OFFSET($H$3,0,0,'Données projet'!$E$17+1,1))</f>
        <v>123.2823358462245</v>
      </c>
      <c r="GF42" s="59">
        <f t="shared" si="50"/>
        <v>92.75115399786057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0</v>
      </c>
      <c r="GM42" s="21">
        <f>EXP(-LN(2)/25)*GM41+(1-EXP(-LN(2)/25))/(LN(2)/25)*Calculateur!GH42*Calculateur!GJ42*VLOOKUP('Données projet'!$B$17,Paramètres!$A$1:$I$89,3,0)*0.475*44/12</f>
        <v>0</v>
      </c>
      <c r="GN42" s="21">
        <f>EXP(-LN(2)/2)*GN41+(1-EXP(-LN(2)/2))/(LN(2)/2)*GH42*GK42*VLOOKUP('Données projet'!$B$17,Paramètres!$A$1:$I$89,3,0)*0.475*44/12</f>
        <v>0</v>
      </c>
      <c r="GO42" s="21">
        <f t="shared" si="27"/>
        <v>0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13.141346153846158</v>
      </c>
      <c r="GU42" s="12">
        <f>IF('Données projet'!$A$270&gt;35,GU41+GT42-HC41,IF(A42&lt;'Données projet'!$A$270,$GR$205^A42,IF(A42='Données projet'!$A$270,'Données projet'!$B$270,GU41+GT42-HC41)))</f>
        <v>237.44711538461536</v>
      </c>
      <c r="GV42" s="17">
        <f>GU42*VLOOKUP('Données projet'!$B$18,Paramètres!$A$1:$I$89,3,0)*VLOOKUP('Données projet'!$B$18,Paramètres!$A$1:$I$89,5,0)</f>
        <v>141.99337499999999</v>
      </c>
      <c r="GW42" s="13">
        <f t="shared" si="51"/>
        <v>36.753283288028733</v>
      </c>
      <c r="GX42" s="20">
        <f t="shared" si="28"/>
        <v>311.31709651831665</v>
      </c>
      <c r="GY42" s="59">
        <f t="shared" si="29"/>
        <v>604.65042985164996</v>
      </c>
      <c r="GZ42" s="59">
        <f ca="1">AVERAGE(OFFSET($GY$3,0,0,'Données projet'!$E$18+1,1))-AVERAGE(OFFSET($H$3,0,0,'Données projet'!$E$18+1,1))</f>
        <v>171.96009656745713</v>
      </c>
      <c r="HA42" s="59">
        <f t="shared" si="52"/>
        <v>172.37574906747716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>
        <f>EXP(-LN(2)/35)*HG41+(1-EXP(-LN(2)/35))/(LN(2)/35)*HC42*HD42*VLOOKUP('Données projet'!$B$18,Paramètres!$A$1:$I$89,3,0)*0.475*44/12</f>
        <v>1.3957304094779306</v>
      </c>
      <c r="HH42" s="21">
        <f>EXP(-LN(2)/25)*HH41+(1-EXP(-LN(2)/25))/(LN(2)/25)*Calculateur!HC42*Calculateur!HE42*VLOOKUP('Données projet'!$B$18,Paramètres!$A$1:$I$89,3,0)*0.475*44/12</f>
        <v>16.017263294837523</v>
      </c>
      <c r="HI42" s="21">
        <f>EXP(-LN(2)/2)*HI41+(1-EXP(-LN(2)/2))/(LN(2)/2)*HC42*HF42*VLOOKUP('Données projet'!$B$18,Paramètres!$A$1:$I$89,3,0)*0.475*44/12</f>
        <v>0.53230208648238553</v>
      </c>
      <c r="HJ42" s="22">
        <f t="shared" si="30"/>
        <v>17.945295790797839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22.419230769230779</v>
      </c>
      <c r="N43" s="13">
        <f>IF('Données projet'!$A$36&gt;35,N42+M43-V42,IF(A43&lt;'Données projet'!$A$36,$K$205^A43,IF(A43='Données projet'!$A$36,'Données projet'!$B$36,N42+M43-V42)))</f>
        <v>423.88461538461513</v>
      </c>
      <c r="O43" s="13">
        <f>N43*VLOOKUP('Données projet'!$B$9,Paramètres!$A$1:$I$89,3,0)*VLOOKUP('Données projet'!$B$9,Paramètres!$A$1:$I$89,5,0)</f>
        <v>236.95149999999987</v>
      </c>
      <c r="P43" s="13">
        <f t="shared" si="33"/>
        <v>57.783143668102703</v>
      </c>
      <c r="Q43" s="20">
        <f t="shared" si="53"/>
        <v>513.32950438861201</v>
      </c>
      <c r="R43" s="59">
        <f t="shared" si="0"/>
        <v>806.66283772194538</v>
      </c>
      <c r="S43" s="59">
        <f ca="1">AVERAGE(OFFSET($R$3,0,0,'Données projet'!$E$9+1,1))-AVERAGE(OFFSET($H$3,0,0,'Données projet'!$E$9+1,1))</f>
        <v>255.5374979188561</v>
      </c>
      <c r="T43" s="59">
        <f t="shared" si="34"/>
        <v>343.10418468620901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2.5348697579363599</v>
      </c>
      <c r="AA43" s="21">
        <f>EXP(-LN(2)/25)*AA42+(1-EXP(-LN(2)/25))/(LN(2)/25)*Calculateur!V43*Calculateur!X43*VLOOKUP('Données projet'!$B$9,Paramètres!$A$1:$I$89,3,0)*0.475*44/12</f>
        <v>12.095614584773029</v>
      </c>
      <c r="AB43" s="21">
        <f>EXP(-LN(2)/2)*AB42+(1-EXP(-LN(2)/2))/(LN(2)/2)*V43*Y43*VLOOKUP('Données projet'!$B$9,Paramètres!$A$1:$I$89,3,0)*0.475*44/12</f>
        <v>5.2895377482939564E-2</v>
      </c>
      <c r="AC43" s="22">
        <f t="shared" si="3"/>
        <v>14.683379720192329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16.131410256410259</v>
      </c>
      <c r="AI43" s="13">
        <f>IF('Données projet'!$A$62&gt;35,AI42+AH43-AQ42,IF(A43&lt;'Données projet'!$A$62,$AF$205^A43,IF(A43='Données projet'!$A$62,'Données projet'!$B$62,AI42+AH43-AQ42)))</f>
        <v>378.10641025641036</v>
      </c>
      <c r="AJ43" s="13">
        <f>AI43*VLOOKUP('Données projet'!$B$10,Paramètres!$A$1:$I$89,3,0)*VLOOKUP('Données projet'!$B$10,Paramètres!$A$1:$I$89,5,0)</f>
        <v>176.95380000000006</v>
      </c>
      <c r="AK43" s="13">
        <f t="shared" si="35"/>
        <v>44.643791032081154</v>
      </c>
      <c r="AL43" s="20">
        <f t="shared" si="4"/>
        <v>385.94913771420806</v>
      </c>
      <c r="AM43" s="59">
        <f t="shared" si="5"/>
        <v>679.28247104754132</v>
      </c>
      <c r="AN43" s="59">
        <f ca="1">AVERAGE(OFFSET($AM$3,0,0,'Données projet'!$E$10+1,1))-AVERAGE(OFFSET($H$3,0,0,'Données projet'!$E$10+1,1))</f>
        <v>158.58786357608489</v>
      </c>
      <c r="AO43" s="59">
        <f t="shared" si="36"/>
        <v>163.20074068819849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398.71538461538461</v>
      </c>
      <c r="BB43" s="12">
        <f>VLOOKUP(A43,'Données projet'!$A$87:$I$107,9,0)</f>
        <v>18.055769230769229</v>
      </c>
      <c r="BC43" s="12">
        <f t="array" ref="BC43">INDEX(BB:BB,MIN(IF(ISNUMBER(BB43:BB239),ROW(BB43:BB239),"")))</f>
        <v>18.055769230769229</v>
      </c>
      <c r="BD43" s="12">
        <f>IF('Données projet'!$A$88&gt;35,BD42+BC43-BL42,IF(A43&lt;'Données projet'!$A$88,$BA$205^A43,IF(A43='Données projet'!$A$88,'Données projet'!$B$88,BD42+BC43-BL42)))</f>
        <v>398.71538461538461</v>
      </c>
      <c r="BE43" s="13">
        <f>BD43*VLOOKUP('Données projet'!$B$11,Paramètres!$A$1:$I$89,3,0)*VLOOKUP('Données projet'!$B$11,Paramètres!$A$1:$I$89,5,0)</f>
        <v>238.43180000000001</v>
      </c>
      <c r="BF43" s="13">
        <f t="shared" si="37"/>
        <v>58.101995988242535</v>
      </c>
      <c r="BG43" s="20">
        <f t="shared" si="7"/>
        <v>516.46302801285583</v>
      </c>
      <c r="BH43" s="59">
        <f t="shared" si="8"/>
        <v>809.79636134618909</v>
      </c>
      <c r="BI43" s="59">
        <f ca="1">AVERAGE(OFFSET($BH$3,0,0,'Données projet'!$E$11+1,1))-AVERAGE(OFFSET($H$3,0,0,'Données projet'!$E$11+1,1))</f>
        <v>243.85350804244348</v>
      </c>
      <c r="BJ43" s="59">
        <f t="shared" si="38"/>
        <v>304.60992308960545</v>
      </c>
      <c r="BK43" s="15">
        <f>IF(ISNA(VLOOKUP(A43,'Données projet'!$A$87:$I$107,3,0)),0,VLOOKUP(A43,'Données projet'!$A$87:$I$107,3,0))</f>
        <v>5</v>
      </c>
      <c r="BL43" s="15">
        <f>IF(ISNA(VLOOKUP(A43,'Données projet'!$A$87:$I$107,4,0)),0,VLOOKUP(A43,'Données projet'!$A$87:$I$107,4,0))</f>
        <v>92.661538461538456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3.7127034039921623</v>
      </c>
      <c r="BQ43" s="21">
        <f>EXP(-LN(2)/25)*BQ42+(1-EXP(-LN(2)/25))/(LN(2)/25)*Calculateur!BL43*Calculateur!BN43*VLOOKUP('Données projet'!$B$11,Paramètres!$A$1:$I$89,3,0)*0.475*44/12</f>
        <v>13.435994292052316</v>
      </c>
      <c r="BR43" s="21">
        <f>EXP(-LN(2)/2)*BR42+(1-EXP(-LN(2)/2))/(LN(2)/2)*BL43*BO43*VLOOKUP('Données projet'!$B$11,Paramètres!$A$1:$I$89,3,0)*0.475*44/12</f>
        <v>0.11681957897724063</v>
      </c>
      <c r="BS43" s="22">
        <f t="shared" si="9"/>
        <v>17.265517275021718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297</v>
      </c>
      <c r="BW43" s="12">
        <f>VLOOKUP(A43,'Données projet'!$A$113:$I$133,9,0)</f>
        <v>15.7</v>
      </c>
      <c r="BX43" s="12">
        <f t="array" ref="BX43">INDEX(BW:BW,MIN(IF(ISNUMBER(BW43:BW239),ROW(BW43:BW239),"")))</f>
        <v>15.7</v>
      </c>
      <c r="BY43" s="12">
        <f>IF('Données projet'!$A$114&gt;35,BY42+BX43-CG42,IF(A43&lt;'Données projet'!$A$114,$BV$205^A43,IF(A43='Données projet'!$A$114,'Données projet'!$B$114,BY42+BX43-CG42)))</f>
        <v>296.99999999999994</v>
      </c>
      <c r="BZ43" s="13">
        <f>BY43*VLOOKUP('Données projet'!$B$12,Paramètres!$A$1:$I$89,3,0)*VLOOKUP('Données projet'!$B$12,Paramètres!$A$1:$I$89,5,0)</f>
        <v>177.60599999999997</v>
      </c>
      <c r="CA43" s="13">
        <f t="shared" si="39"/>
        <v>44.789150937858665</v>
      </c>
      <c r="CB43" s="20">
        <f t="shared" si="10"/>
        <v>387.33822121677048</v>
      </c>
      <c r="CC43" s="59">
        <f t="shared" si="11"/>
        <v>680.67155455010379</v>
      </c>
      <c r="CD43" s="59">
        <f ca="1">AVERAGE(OFFSET($CC$3,0,0,'Données projet'!$E$12+1,1))-AVERAGE(OFFSET($H$3,0,0,'Données projet'!$E$12+1,1))</f>
        <v>270.30888762640245</v>
      </c>
      <c r="CE43" s="59">
        <f t="shared" si="40"/>
        <v>202.23783851977691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79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1.7570524844944901</v>
      </c>
      <c r="CL43" s="21">
        <f>EXP(-LN(2)/25)*CL42+(1-EXP(-LN(2)/25))/(LN(2)/25)*Calculateur!CG43*Calculateur!CI43*VLOOKUP('Données projet'!$B$12,Paramètres!$A$1:$I$89,3,0)*0.475*44/12</f>
        <v>9.318025357679657</v>
      </c>
      <c r="CM43" s="21">
        <f>EXP(-LN(2)/2)*CM42+(1-EXP(-LN(2)/2))/(LN(2)/2)*CG43*CJ43*VLOOKUP('Données projet'!$B$12,Paramètres!$A$1:$I$89,3,0)*0.475*44/12</f>
        <v>0.57789401832695575</v>
      </c>
      <c r="CN43" s="22">
        <f t="shared" si="12"/>
        <v>11.652971860501104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263</v>
      </c>
      <c r="CR43" s="12">
        <f>VLOOKUP(A43,'Données projet'!$A$139:$I$159,9,0)</f>
        <v>12.1</v>
      </c>
      <c r="CS43" s="12">
        <f t="array" ref="CS43">INDEX(CR:CR,MIN(IF(ISNUMBER(CR43:CR239),ROW(CR43:CR239),"")))</f>
        <v>12.1</v>
      </c>
      <c r="CT43" s="12">
        <f>IF('Données projet'!$A$140&gt;35,CT42+CS43-DB42,IF(A43&lt;'Données projet'!$A$140,$CQ$205^A43,IF(A43='Données projet'!$A$140,'Données projet'!$B$140,CT42+CS43-DB42)))</f>
        <v>262.99999999999994</v>
      </c>
      <c r="CU43" s="17">
        <f>CT43*VLOOKUP('Données projet'!$B$13,Paramètres!$A$1:$I$89,3,0)*VLOOKUP('Données projet'!$B$13,Paramètres!$A$1:$I$89,5,0)</f>
        <v>209.24279999999996</v>
      </c>
      <c r="CV43" s="13">
        <f t="shared" si="41"/>
        <v>51.770083677016814</v>
      </c>
      <c r="CW43" s="20">
        <f t="shared" si="13"/>
        <v>454.59743907080411</v>
      </c>
      <c r="CX43" s="59">
        <f t="shared" si="14"/>
        <v>747.93077240413743</v>
      </c>
      <c r="CY43" s="59">
        <f ca="1">AVERAGE(OFFSET($CX$3,0,0,'Données projet'!$E$13+1,1))-AVERAGE(OFFSET($H$3,0,0,'Données projet'!$E$13+1,1))</f>
        <v>260.20517190557814</v>
      </c>
      <c r="CZ43" s="59">
        <f t="shared" si="42"/>
        <v>307.22009971147133</v>
      </c>
      <c r="DA43" s="15">
        <f>IF(ISNA(VLOOKUP(A43,'Données projet'!$A$139:$I$159,3,0)),0,VLOOKUP(A43,'Données projet'!$A$139:$I$159,3,0))</f>
        <v>3</v>
      </c>
      <c r="DB43" s="15">
        <f>IF(ISNA(VLOOKUP(A43,'Données projet'!$A$139:$I$159,4,0)),0,VLOOKUP(A43,'Données projet'!$A$139:$I$159,4,0))</f>
        <v>70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2.6767463815716797</v>
      </c>
      <c r="DG43" s="21">
        <f>EXP(-LN(2)/25)*DG42+(1-EXP(-LN(2)/25))/(LN(2)/25)*Calculateur!DB43*Calculateur!DD43*VLOOKUP('Données projet'!$B$13,Paramètres!$A$1:$I$89,3,0)*0.475*44/12</f>
        <v>15.550950894093358</v>
      </c>
      <c r="DH43" s="21">
        <f>EXP(-LN(2)/2)*DH42+(1-EXP(-LN(2)/2))/(LN(2)/2)*DB43*DE43*VLOOKUP('Données projet'!$B$13,Paramètres!$A$1:$I$89,3,0)*0.475*44/12</f>
        <v>0.75121982039866519</v>
      </c>
      <c r="DI43" s="22">
        <f t="shared" si="15"/>
        <v>18.9789170960637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9.3141025641025674</v>
      </c>
      <c r="DO43" s="12">
        <f>IF('Données projet'!$A$166&gt;35,DO42+DN43-DW42,IF(A43&lt;'Données projet'!$A$166,$DL$205^A43,IF(A43='Données projet'!$A$166,'Données projet'!$B$166,DO42+DN43-DW42)))</f>
        <v>148.13461538461539</v>
      </c>
      <c r="DP43" s="17">
        <f>DO43*VLOOKUP('Données projet'!$B$14,Paramètres!$A$1:$I$89,3,0)*VLOOKUP('Données projet'!$B$14,Paramètres!$A$1:$I$89,5,0)</f>
        <v>150.20850000000002</v>
      </c>
      <c r="DQ43" s="13">
        <f t="shared" si="43"/>
        <v>38.625964162869636</v>
      </c>
      <c r="DR43" s="20">
        <f t="shared" si="16"/>
        <v>328.88669175033129</v>
      </c>
      <c r="DS43" s="59">
        <f t="shared" si="17"/>
        <v>622.22002508366461</v>
      </c>
      <c r="DT43" s="59">
        <f ca="1">AVERAGE(OFFSET($DS$3,0,0,'Données projet'!$E$14+1,1))-AVERAGE(OFFSET($H$3,0,0,'Données projet'!$E$14+1,1))</f>
        <v>263.15518481854753</v>
      </c>
      <c r="DU43" s="59">
        <f t="shared" si="44"/>
        <v>210.80755370263819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263</v>
      </c>
      <c r="EH43" s="12">
        <f>VLOOKUP(A43,'Données projet'!$A$191:$I$211,9,0)</f>
        <v>12.1</v>
      </c>
      <c r="EI43" s="12">
        <f t="array" ref="EI43">INDEX(EH:EH,MIN(IF(ISNUMBER(EH43:EH239),ROW(EH43:EH239),"")))</f>
        <v>12.1</v>
      </c>
      <c r="EJ43" s="12">
        <f>IF('Données projet'!$A$192&gt;35,EJ42+EI43-ER42,IF(A43&lt;'Données projet'!$A$192,$EG$205^A43,IF(A43='Données projet'!$A$192,'Données projet'!$B$192,EJ42+EI43-ER42)))</f>
        <v>262.99999999999994</v>
      </c>
      <c r="EK43" s="17">
        <f>EJ43*VLOOKUP('Données projet'!$B$15,Paramètres!$A$1:$I$89,3,0)*VLOOKUP('Données projet'!$B$15,Paramètres!$A$1:$I$89,5,0)</f>
        <v>176.42039999999997</v>
      </c>
      <c r="EL43" s="13">
        <f t="shared" si="45"/>
        <v>44.5248624718784</v>
      </c>
      <c r="EM43" s="20">
        <f t="shared" si="19"/>
        <v>384.81299880518822</v>
      </c>
      <c r="EN43" s="59">
        <f t="shared" si="20"/>
        <v>678.14633213852153</v>
      </c>
      <c r="EO43" s="59">
        <f ca="1">AVERAGE(OFFSET($EN$3,0,0,'Données projet'!$E$15+1,1))-AVERAGE(OFFSET($H$3,0,0,'Données projet'!$E$15+1,1))</f>
        <v>207.93042467236967</v>
      </c>
      <c r="EP43" s="59">
        <f t="shared" si="46"/>
        <v>250.70954318710835</v>
      </c>
      <c r="EQ43" s="15">
        <f>IF(ISNA(VLOOKUP(A43,'Données projet'!$A$191:$I$211,3,0)),0,VLOOKUP(A43,'Données projet'!$A$191:$I$211,3,0))</f>
        <v>3</v>
      </c>
      <c r="ER43" s="15">
        <f>IF(ISNA(VLOOKUP(A43,'Données projet'!$A$191:$I$211,4,0)),0,VLOOKUP(A43,'Données projet'!$A$191:$I$211,4,0))</f>
        <v>70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2.2568645962271017</v>
      </c>
      <c r="EW43" s="21">
        <f>EXP(-LN(2)/25)*EW42+(1-EXP(-LN(2)/25))/(LN(2)/25)*Calculateur!ER43*Calculateur!ET43*VLOOKUP('Données projet'!$B$15,Paramètres!$A$1:$I$89,3,0)*0.475*44/12</f>
        <v>13.111586047961071</v>
      </c>
      <c r="EX43" s="21">
        <f>EXP(-LN(2)/2)*EX42+(1-EXP(-LN(2)/2))/(LN(2)/2)*ER43*EU43*VLOOKUP('Données projet'!$B$15,Paramètres!$A$1:$I$89,3,0)*0.475*44/12</f>
        <v>0.63338141719887453</v>
      </c>
      <c r="EY43" s="22">
        <f t="shared" si="21"/>
        <v>16.001832061387049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9.3141025641025674</v>
      </c>
      <c r="FE43" s="12">
        <f>IF('Données projet'!$A$218&gt;35,FE42+FD43-FM42,IF(A43&lt;'Données projet'!$A$218,$FB$205^A43,IF(A43='Données projet'!$A$218,'Données projet'!$B$218,FE42+FD43-FM42)))</f>
        <v>148.13461538461539</v>
      </c>
      <c r="FF43" s="17">
        <f>FE43*VLOOKUP('Données projet'!$B$16,Paramètres!$A$1:$I$89,3,0)*VLOOKUP('Données projet'!$B$16,Paramètres!$A$1:$I$89,5,0)</f>
        <v>159.4521</v>
      </c>
      <c r="FG43" s="13">
        <f t="shared" si="47"/>
        <v>40.718910371482714</v>
      </c>
      <c r="FH43" s="20">
        <f t="shared" si="22"/>
        <v>348.63117639699902</v>
      </c>
      <c r="FI43" s="59">
        <f t="shared" si="23"/>
        <v>641.96450973033234</v>
      </c>
      <c r="FJ43" s="59">
        <f ca="1">AVERAGE(OFFSET($FI$3,0,0,'Données projet'!$E$16+1,1))-AVERAGE(OFFSET($H$3,0,0,'Données projet'!$E$16+1,1))</f>
        <v>286.77702855541287</v>
      </c>
      <c r="FK43" s="59">
        <f t="shared" si="48"/>
        <v>227.12211541860779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0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0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11.443589743589742</v>
      </c>
      <c r="FZ43" s="12">
        <f>IF('Données projet'!$A$244&gt;35,FZ42+FY43-GH42,IF(A43&lt;'Données projet'!$A$244,$FW$205^A43,IF(A43='Données projet'!$A$244,'Données projet'!$B$244,FZ42+FY43-GH42)))</f>
        <v>261.68974358974356</v>
      </c>
      <c r="GA43" s="17">
        <f>FZ43*VLOOKUP('Données projet'!$B$17,Paramètres!$A$1:$I$89,3,0)*VLOOKUP('Données projet'!$B$17,Paramètres!$A$1:$I$89,5,0)</f>
        <v>122.47079999999997</v>
      </c>
      <c r="GB43" s="13">
        <f t="shared" si="49"/>
        <v>32.25058748290914</v>
      </c>
      <c r="GC43" s="20">
        <f t="shared" si="25"/>
        <v>269.47308319939998</v>
      </c>
      <c r="GD43" s="59">
        <f t="shared" si="26"/>
        <v>562.80641653273324</v>
      </c>
      <c r="GE43" s="59">
        <f ca="1">AVERAGE(OFFSET($GD$3,0,0,'Données projet'!$E$17+1,1))-AVERAGE(OFFSET($H$3,0,0,'Données projet'!$E$17+1,1))</f>
        <v>123.2823358462245</v>
      </c>
      <c r="GF43" s="59">
        <f t="shared" si="50"/>
        <v>92.75115399786057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0</v>
      </c>
      <c r="GM43" s="21">
        <f>EXP(-LN(2)/25)*GM42+(1-EXP(-LN(2)/25))/(LN(2)/25)*Calculateur!GH43*Calculateur!GJ43*VLOOKUP('Données projet'!$B$17,Paramètres!$A$1:$I$89,3,0)*0.475*44/12</f>
        <v>0</v>
      </c>
      <c r="GN43" s="21">
        <f>EXP(-LN(2)/2)*GN42+(1-EXP(-LN(2)/2))/(LN(2)/2)*GH43*GK43*VLOOKUP('Données projet'!$B$17,Paramètres!$A$1:$I$89,3,0)*0.475*44/12</f>
        <v>0</v>
      </c>
      <c r="GO43" s="21">
        <f t="shared" si="27"/>
        <v>0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13.141346153846158</v>
      </c>
      <c r="GU43" s="12">
        <f>IF('Données projet'!$A$270&gt;35,GU42+GT43-HC42,IF(A43&lt;'Données projet'!$A$270,$GR$205^A43,IF(A43='Données projet'!$A$270,'Données projet'!$B$270,GU42+GT43-HC42)))</f>
        <v>250.5884615384615</v>
      </c>
      <c r="GV43" s="17">
        <f>GU43*VLOOKUP('Données projet'!$B$18,Paramètres!$A$1:$I$89,3,0)*VLOOKUP('Données projet'!$B$18,Paramètres!$A$1:$I$89,5,0)</f>
        <v>149.8519</v>
      </c>
      <c r="GW43" s="13">
        <f t="shared" si="51"/>
        <v>38.544927429723309</v>
      </c>
      <c r="GX43" s="20">
        <f t="shared" si="28"/>
        <v>328.12447444010144</v>
      </c>
      <c r="GY43" s="59">
        <f t="shared" si="29"/>
        <v>621.45780777343475</v>
      </c>
      <c r="GZ43" s="59">
        <f ca="1">AVERAGE(OFFSET($GY$3,0,0,'Données projet'!$E$18+1,1))-AVERAGE(OFFSET($H$3,0,0,'Données projet'!$E$18+1,1))</f>
        <v>171.96009656745713</v>
      </c>
      <c r="HA43" s="59">
        <f t="shared" si="52"/>
        <v>172.37574906747716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>
        <f>EXP(-LN(2)/35)*HG42+(1-EXP(-LN(2)/35))/(LN(2)/35)*HC43*HD43*VLOOKUP('Données projet'!$B$18,Paramètres!$A$1:$I$89,3,0)*0.475*44/12</f>
        <v>1.3683609874595581</v>
      </c>
      <c r="HH43" s="21">
        <f>EXP(-LN(2)/25)*HH42+(1-EXP(-LN(2)/25))/(LN(2)/25)*Calculateur!HC43*Calculateur!HE43*VLOOKUP('Données projet'!$B$18,Paramètres!$A$1:$I$89,3,0)*0.475*44/12</f>
        <v>15.579270387728922</v>
      </c>
      <c r="HI43" s="21">
        <f>EXP(-LN(2)/2)*HI42+(1-EXP(-LN(2)/2))/(LN(2)/2)*HC43*HF43*VLOOKUP('Données projet'!$B$18,Paramètres!$A$1:$I$89,3,0)*0.475*44/12</f>
        <v>0.37639441499144288</v>
      </c>
      <c r="HJ43" s="22">
        <f t="shared" si="30"/>
        <v>17.32402579017992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22.419230769230779</v>
      </c>
      <c r="N44" s="13">
        <f>IF('Données projet'!$A$36&gt;35,N43+M44-V43,IF(A44&lt;'Données projet'!$A$36,$K$205^A44,IF(A44='Données projet'!$A$36,'Données projet'!$B$36,N43+M44-V43)))</f>
        <v>446.30384615384594</v>
      </c>
      <c r="O44" s="13">
        <f>N44*VLOOKUP('Données projet'!$B$9,Paramètres!$A$1:$I$89,3,0)*VLOOKUP('Données projet'!$B$9,Paramètres!$A$1:$I$89,5,0)</f>
        <v>249.4838499999999</v>
      </c>
      <c r="P44" s="13">
        <f t="shared" si="33"/>
        <v>60.475401807280001</v>
      </c>
      <c r="Q44" s="20">
        <f t="shared" si="53"/>
        <v>539.84569689767909</v>
      </c>
      <c r="R44" s="59">
        <f t="shared" si="0"/>
        <v>833.17903023101235</v>
      </c>
      <c r="S44" s="59">
        <f ca="1">AVERAGE(OFFSET($R$3,0,0,'Données projet'!$E$9+1,1))-AVERAGE(OFFSET($H$3,0,0,'Données projet'!$E$9+1,1))</f>
        <v>255.5374979188561</v>
      </c>
      <c r="T44" s="59">
        <f t="shared" si="34"/>
        <v>343.10418468620901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2.4851625081011139</v>
      </c>
      <c r="AA44" s="21">
        <f>EXP(-LN(2)/25)*AA43+(1-EXP(-LN(2)/25))/(LN(2)/25)*Calculateur!V44*Calculateur!X44*VLOOKUP('Données projet'!$B$9,Paramètres!$A$1:$I$89,3,0)*0.475*44/12</f>
        <v>11.764859367871685</v>
      </c>
      <c r="AB44" s="21">
        <f>EXP(-LN(2)/2)*AB43+(1-EXP(-LN(2)/2))/(LN(2)/2)*V44*Y44*VLOOKUP('Données projet'!$B$9,Paramètres!$A$1:$I$89,3,0)*0.475*44/12</f>
        <v>3.7402680111608778E-2</v>
      </c>
      <c r="AC44" s="22">
        <f t="shared" si="3"/>
        <v>14.287424556084407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16.131410256410259</v>
      </c>
      <c r="AI44" s="13">
        <f>IF('Données projet'!$A$62&gt;35,AI43+AH44-AQ43,IF(A44&lt;'Données projet'!$A$62,$AF$205^A44,IF(A44='Données projet'!$A$62,'Données projet'!$B$62,AI43+AH44-AQ43)))</f>
        <v>394.23782051282063</v>
      </c>
      <c r="AJ44" s="13">
        <f>AI44*VLOOKUP('Données projet'!$B$10,Paramètres!$A$1:$I$89,3,0)*VLOOKUP('Données projet'!$B$10,Paramètres!$A$1:$I$89,5,0)</f>
        <v>184.50330000000005</v>
      </c>
      <c r="AK44" s="13">
        <f t="shared" si="35"/>
        <v>46.32264201774467</v>
      </c>
      <c r="AL44" s="20">
        <f t="shared" si="4"/>
        <v>402.02184901423874</v>
      </c>
      <c r="AM44" s="59">
        <f t="shared" si="5"/>
        <v>695.35518234757205</v>
      </c>
      <c r="AN44" s="59">
        <f ca="1">AVERAGE(OFFSET($AM$3,0,0,'Données projet'!$E$10+1,1))-AVERAGE(OFFSET($H$3,0,0,'Données projet'!$E$10+1,1))</f>
        <v>158.58786357608489</v>
      </c>
      <c r="AO44" s="59">
        <f t="shared" si="36"/>
        <v>163.20074068819849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15.21153846153846</v>
      </c>
      <c r="BD44" s="12">
        <f>IF('Données projet'!$A$88&gt;35,BD43+BC44-BL43,IF(A44&lt;'Données projet'!$A$88,$BA$205^A44,IF(A44='Données projet'!$A$88,'Données projet'!$B$88,BD43+BC44-BL43)))</f>
        <v>321.26538461538462</v>
      </c>
      <c r="BE44" s="13">
        <f>BD44*VLOOKUP('Données projet'!$B$11,Paramètres!$A$1:$I$89,3,0)*VLOOKUP('Données projet'!$B$11,Paramètres!$A$1:$I$89,5,0)</f>
        <v>192.11670000000004</v>
      </c>
      <c r="BF44" s="13">
        <f t="shared" si="37"/>
        <v>48.007622995174927</v>
      </c>
      <c r="BG44" s="20">
        <f t="shared" si="7"/>
        <v>418.21652921659637</v>
      </c>
      <c r="BH44" s="59">
        <f t="shared" si="8"/>
        <v>711.54986254992968</v>
      </c>
      <c r="BI44" s="59">
        <f ca="1">AVERAGE(OFFSET($BH$3,0,0,'Données projet'!$E$11+1,1))-AVERAGE(OFFSET($H$3,0,0,'Données projet'!$E$11+1,1))</f>
        <v>243.85350804244348</v>
      </c>
      <c r="BJ44" s="59">
        <f t="shared" si="38"/>
        <v>304.60992308960545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3.639899554765349</v>
      </c>
      <c r="BQ44" s="21">
        <f>EXP(-LN(2)/25)*BQ43+(1-EXP(-LN(2)/25))/(LN(2)/25)*Calculateur!BL44*Calculateur!BN44*VLOOKUP('Données projet'!$B$11,Paramètres!$A$1:$I$89,3,0)*0.475*44/12</f>
        <v>13.068586321567913</v>
      </c>
      <c r="BR44" s="21">
        <f>EXP(-LN(2)/2)*BR43+(1-EXP(-LN(2)/2))/(LN(2)/2)*BL44*BO44*VLOOKUP('Données projet'!$B$11,Paramètres!$A$1:$I$89,3,0)*0.475*44/12</f>
        <v>8.2603916470164296E-2</v>
      </c>
      <c r="BS44" s="22">
        <f t="shared" si="9"/>
        <v>16.791089792803426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16.2</v>
      </c>
      <c r="BY44" s="12">
        <f>IF('Données projet'!$A$114&gt;35,BY43+BX44-CG43,IF(A44&lt;'Données projet'!$A$114,$BV$205^A44,IF(A44='Données projet'!$A$114,'Données projet'!$B$114,BY43+BX44-CG43)))</f>
        <v>234.19999999999993</v>
      </c>
      <c r="BZ44" s="13">
        <f>BY44*VLOOKUP('Données projet'!$B$12,Paramètres!$A$1:$I$89,3,0)*VLOOKUP('Données projet'!$B$12,Paramètres!$A$1:$I$89,5,0)</f>
        <v>140.05159999999998</v>
      </c>
      <c r="CA44" s="13">
        <f t="shared" si="39"/>
        <v>36.308826076884692</v>
      </c>
      <c r="CB44" s="20">
        <f t="shared" si="10"/>
        <v>307.1610754172408</v>
      </c>
      <c r="CC44" s="59">
        <f t="shared" si="11"/>
        <v>600.49440875057417</v>
      </c>
      <c r="CD44" s="59">
        <f ca="1">AVERAGE(OFFSET($CC$3,0,0,'Données projet'!$E$12+1,1))-AVERAGE(OFFSET($H$3,0,0,'Données projet'!$E$12+1,1))</f>
        <v>270.30888762640245</v>
      </c>
      <c r="CE44" s="59">
        <f t="shared" si="40"/>
        <v>202.23783851977691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1.7225977569697475</v>
      </c>
      <c r="CL44" s="21">
        <f>EXP(-LN(2)/25)*CL43+(1-EXP(-LN(2)/25))/(LN(2)/25)*Calculateur!CG44*Calculateur!CI44*VLOOKUP('Données projet'!$B$12,Paramètres!$A$1:$I$89,3,0)*0.475*44/12</f>
        <v>9.0632234642602505</v>
      </c>
      <c r="CM44" s="21">
        <f>EXP(-LN(2)/2)*CM43+(1-EXP(-LN(2)/2))/(LN(2)/2)*CG44*CJ44*VLOOKUP('Données projet'!$B$12,Paramètres!$A$1:$I$89,3,0)*0.475*44/12</f>
        <v>0.40863277916613339</v>
      </c>
      <c r="CN44" s="22">
        <f t="shared" si="12"/>
        <v>11.194454000396131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9.1999999999999993</v>
      </c>
      <c r="CT44" s="12">
        <f>IF('Données projet'!$A$140&gt;35,CT43+CS44-DB43,IF(A44&lt;'Données projet'!$A$140,$CQ$205^A44,IF(A44='Données projet'!$A$140,'Données projet'!$B$140,CT43+CS44-DB43)))</f>
        <v>202.19999999999993</v>
      </c>
      <c r="CU44" s="17">
        <f>CT44*VLOOKUP('Données projet'!$B$13,Paramètres!$A$1:$I$89,3,0)*VLOOKUP('Données projet'!$B$13,Paramètres!$A$1:$I$89,5,0)</f>
        <v>160.87031999999996</v>
      </c>
      <c r="CV44" s="13">
        <f t="shared" si="41"/>
        <v>41.038756492063129</v>
      </c>
      <c r="CW44" s="20">
        <f t="shared" si="13"/>
        <v>351.65830822367656</v>
      </c>
      <c r="CX44" s="59">
        <f t="shared" si="14"/>
        <v>644.99164155700987</v>
      </c>
      <c r="CY44" s="59">
        <f ca="1">AVERAGE(OFFSET($CX$3,0,0,'Données projet'!$E$13+1,1))-AVERAGE(OFFSET($H$3,0,0,'Données projet'!$E$13+1,1))</f>
        <v>260.20517190557814</v>
      </c>
      <c r="CZ44" s="59">
        <f t="shared" si="42"/>
        <v>307.22009971147133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2.6242570176831408</v>
      </c>
      <c r="DG44" s="21">
        <f>EXP(-LN(2)/25)*DG43+(1-EXP(-LN(2)/25))/(LN(2)/25)*Calculateur!DB44*Calculateur!DD44*VLOOKUP('Données projet'!$B$13,Paramètres!$A$1:$I$89,3,0)*0.475*44/12</f>
        <v>15.12570932410541</v>
      </c>
      <c r="DH44" s="21">
        <f>EXP(-LN(2)/2)*DH43+(1-EXP(-LN(2)/2))/(LN(2)/2)*DB44*DE44*VLOOKUP('Données projet'!$B$13,Paramètres!$A$1:$I$89,3,0)*0.475*44/12</f>
        <v>0.53119262916563648</v>
      </c>
      <c r="DI44" s="22">
        <f t="shared" si="15"/>
        <v>18.281158970954188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>
        <f>VLOOKUP(A44,'Données projet'!$A$165:$I$185,2,0)</f>
        <v>157.44871794871796</v>
      </c>
      <c r="DM44" s="12">
        <f>VLOOKUP(A44,'Données projet'!$A$165:$I$185,9,0)</f>
        <v>9.3141025641025674</v>
      </c>
      <c r="DN44" s="12">
        <f t="array" ref="DN44">INDEX(DM:DM,MIN(IF(ISNUMBER(DM44:DM240),ROW(DM44:DM240),"")))</f>
        <v>9.3141025641025674</v>
      </c>
      <c r="DO44" s="12">
        <f>IF('Données projet'!$A$166&gt;35,DO43+DN44-DW43,IF(A44&lt;'Données projet'!$A$166,$DL$205^A44,IF(A44='Données projet'!$A$166,'Données projet'!$B$166,DO43+DN44-DW43)))</f>
        <v>157.44871794871796</v>
      </c>
      <c r="DP44" s="17">
        <f>DO44*VLOOKUP('Données projet'!$B$14,Paramètres!$A$1:$I$89,3,0)*VLOOKUP('Données projet'!$B$14,Paramètres!$A$1:$I$89,5,0)</f>
        <v>159.65300000000002</v>
      </c>
      <c r="DQ44" s="13">
        <f t="shared" si="43"/>
        <v>40.764238701185349</v>
      </c>
      <c r="DR44" s="20">
        <f t="shared" si="16"/>
        <v>349.06002407123111</v>
      </c>
      <c r="DS44" s="59">
        <f t="shared" si="17"/>
        <v>642.39335740456443</v>
      </c>
      <c r="DT44" s="59">
        <f ca="1">AVERAGE(OFFSET($DS$3,0,0,'Données projet'!$E$14+1,1))-AVERAGE(OFFSET($H$3,0,0,'Données projet'!$E$14+1,1))</f>
        <v>263.15518481854753</v>
      </c>
      <c r="DU44" s="59">
        <f t="shared" si="44"/>
        <v>210.80755370263819</v>
      </c>
      <c r="DV44" s="15">
        <f>IF(ISNA(VLOOKUP(A44,'Données projet'!$A$165:$I$185,3,0)),0,VLOOKUP(A44,'Données projet'!$A$165:$I$185,3,0))</f>
        <v>2</v>
      </c>
      <c r="DW44" s="15">
        <f>IF(ISNA(VLOOKUP(A44,'Données projet'!$A$165:$I$185,4,0)),0,VLOOKUP(A44,'Données projet'!$A$165:$I$185,4,0))</f>
        <v>38.512820512820511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9.1999999999999993</v>
      </c>
      <c r="EJ44" s="12">
        <f>IF('Données projet'!$A$192&gt;35,EJ43+EI44-ER43,IF(A44&lt;'Données projet'!$A$192,$EG$205^A44,IF(A44='Données projet'!$A$192,'Données projet'!$B$192,EJ43+EI44-ER43)))</f>
        <v>202.19999999999993</v>
      </c>
      <c r="EK44" s="17">
        <f>EJ44*VLOOKUP('Données projet'!$B$15,Paramètres!$A$1:$I$89,3,0)*VLOOKUP('Données projet'!$B$15,Paramètres!$A$1:$I$89,5,0)</f>
        <v>135.63575999999995</v>
      </c>
      <c r="EL44" s="13">
        <f t="shared" si="45"/>
        <v>35.295384110750781</v>
      </c>
      <c r="EM44" s="20">
        <f t="shared" si="19"/>
        <v>297.70507599289084</v>
      </c>
      <c r="EN44" s="59">
        <f t="shared" si="20"/>
        <v>591.03840932622415</v>
      </c>
      <c r="EO44" s="59">
        <f ca="1">AVERAGE(OFFSET($EN$3,0,0,'Données projet'!$E$15+1,1))-AVERAGE(OFFSET($H$3,0,0,'Données projet'!$E$15+1,1))</f>
        <v>207.93042467236967</v>
      </c>
      <c r="EP44" s="59">
        <f t="shared" si="46"/>
        <v>250.70954318710835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2.2126088580465688</v>
      </c>
      <c r="EW44" s="21">
        <f>EXP(-LN(2)/25)*EW43+(1-EXP(-LN(2)/25))/(LN(2)/25)*Calculateur!ER44*Calculateur!ET44*VLOOKUP('Données projet'!$B$15,Paramètres!$A$1:$I$89,3,0)*0.475*44/12</f>
        <v>12.753049037971232</v>
      </c>
      <c r="EX44" s="21">
        <f>EXP(-LN(2)/2)*EX43+(1-EXP(-LN(2)/2))/(LN(2)/2)*ER44*EU44*VLOOKUP('Données projet'!$B$15,Paramètres!$A$1:$I$89,3,0)*0.475*44/12</f>
        <v>0.44786829517886995</v>
      </c>
      <c r="EY44" s="22">
        <f t="shared" si="21"/>
        <v>15.41352619119667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>
        <f>VLOOKUP(A44,'Données projet'!$A$217:$I$237,2,0)</f>
        <v>157.44871794871796</v>
      </c>
      <c r="FC44" s="12">
        <f>VLOOKUP(A44,'Données projet'!$A$217:$I$237,9,0)</f>
        <v>9.3141025641025674</v>
      </c>
      <c r="FD44" s="12">
        <f t="array" ref="FD44">INDEX(FC:FC,MIN(IF(ISNUMBER(FC44:FC240),ROW(FC44:FC240),"")))</f>
        <v>9.3141025641025674</v>
      </c>
      <c r="FE44" s="12">
        <f>IF('Données projet'!$A$218&gt;35,FE43+FD44-FM43,IF(A44&lt;'Données projet'!$A$218,$FB$205^A44,IF(A44='Données projet'!$A$218,'Données projet'!$B$218,FE43+FD44-FM43)))</f>
        <v>157.44871794871796</v>
      </c>
      <c r="FF44" s="17">
        <f>FE44*VLOOKUP('Données projet'!$B$16,Paramètres!$A$1:$I$89,3,0)*VLOOKUP('Données projet'!$B$16,Paramètres!$A$1:$I$89,5,0)</f>
        <v>169.4778</v>
      </c>
      <c r="FG44" s="13">
        <f t="shared" si="47"/>
        <v>42.973047223786786</v>
      </c>
      <c r="FH44" s="20">
        <f t="shared" si="22"/>
        <v>370.01855891476197</v>
      </c>
      <c r="FI44" s="59">
        <f t="shared" si="23"/>
        <v>663.35189224809528</v>
      </c>
      <c r="FJ44" s="59">
        <f ca="1">AVERAGE(OFFSET($FI$3,0,0,'Données projet'!$E$16+1,1))-AVERAGE(OFFSET($H$3,0,0,'Données projet'!$E$16+1,1))</f>
        <v>286.77702855541287</v>
      </c>
      <c r="FK44" s="59">
        <f t="shared" si="48"/>
        <v>227.12211541860779</v>
      </c>
      <c r="FL44" s="15">
        <f>IF(ISNA(VLOOKUP(A44,'Données projet'!$A$217:$I$237,3,0)),0,VLOOKUP(A44,'Données projet'!$A$217:$I$237,3,0))</f>
        <v>2</v>
      </c>
      <c r="FM44" s="15">
        <f>IF(ISNA(VLOOKUP(A44,'Données projet'!$A$217:$I$237,4,0)),0,VLOOKUP(A44,'Données projet'!$A$217:$I$237,4,0))</f>
        <v>38.512820512820511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0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0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11.443589743589742</v>
      </c>
      <c r="FZ44" s="12">
        <f>IF('Données projet'!$A$244&gt;35,FZ43+FY44-GH43,IF(A44&lt;'Données projet'!$A$244,$FW$205^A44,IF(A44='Données projet'!$A$244,'Données projet'!$B$244,FZ43+FY44-GH43)))</f>
        <v>273.13333333333333</v>
      </c>
      <c r="GA44" s="17">
        <f>FZ44*VLOOKUP('Données projet'!$B$17,Paramètres!$A$1:$I$89,3,0)*VLOOKUP('Données projet'!$B$17,Paramètres!$A$1:$I$89,5,0)</f>
        <v>127.82639999999999</v>
      </c>
      <c r="GB44" s="13">
        <f t="shared" si="49"/>
        <v>33.493612376128482</v>
      </c>
      <c r="GC44" s="20">
        <f t="shared" si="25"/>
        <v>280.96568822175709</v>
      </c>
      <c r="GD44" s="59">
        <f t="shared" si="26"/>
        <v>574.29902155509035</v>
      </c>
      <c r="GE44" s="59">
        <f ca="1">AVERAGE(OFFSET($GD$3,0,0,'Données projet'!$E$17+1,1))-AVERAGE(OFFSET($H$3,0,0,'Données projet'!$E$17+1,1))</f>
        <v>123.2823358462245</v>
      </c>
      <c r="GF44" s="59">
        <f t="shared" si="50"/>
        <v>92.75115399786057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0</v>
      </c>
      <c r="GM44" s="21">
        <f>EXP(-LN(2)/25)*GM43+(1-EXP(-LN(2)/25))/(LN(2)/25)*Calculateur!GH44*Calculateur!GJ44*VLOOKUP('Données projet'!$B$17,Paramètres!$A$1:$I$89,3,0)*0.475*44/12</f>
        <v>0</v>
      </c>
      <c r="GN44" s="21">
        <f>EXP(-LN(2)/2)*GN43+(1-EXP(-LN(2)/2))/(LN(2)/2)*GH44*GK44*VLOOKUP('Données projet'!$B$17,Paramètres!$A$1:$I$89,3,0)*0.475*44/12</f>
        <v>0</v>
      </c>
      <c r="GO44" s="21">
        <f t="shared" si="27"/>
        <v>0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13.141346153846158</v>
      </c>
      <c r="GU44" s="12">
        <f>IF('Données projet'!$A$270&gt;35,GU43+GT44-HC43,IF(A44&lt;'Données projet'!$A$270,$GR$205^A44,IF(A44='Données projet'!$A$270,'Données projet'!$B$270,GU43+GT44-HC43)))</f>
        <v>263.72980769230765</v>
      </c>
      <c r="GV44" s="17">
        <f>GU44*VLOOKUP('Données projet'!$B$18,Paramètres!$A$1:$I$89,3,0)*VLOOKUP('Données projet'!$B$18,Paramètres!$A$1:$I$89,5,0)</f>
        <v>157.71042499999999</v>
      </c>
      <c r="GW44" s="13">
        <f t="shared" si="51"/>
        <v>40.325662975074472</v>
      </c>
      <c r="GX44" s="20">
        <f t="shared" si="28"/>
        <v>344.91285322325461</v>
      </c>
      <c r="GY44" s="59">
        <f t="shared" si="29"/>
        <v>638.24618655658787</v>
      </c>
      <c r="GZ44" s="59">
        <f ca="1">AVERAGE(OFFSET($GY$3,0,0,'Données projet'!$E$18+1,1))-AVERAGE(OFFSET($H$3,0,0,'Données projet'!$E$18+1,1))</f>
        <v>171.96009656745713</v>
      </c>
      <c r="HA44" s="59">
        <f t="shared" si="52"/>
        <v>172.37574906747716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>
        <f>EXP(-LN(2)/35)*HG43+(1-EXP(-LN(2)/35))/(LN(2)/35)*HC44*HD44*VLOOKUP('Données projet'!$B$18,Paramètres!$A$1:$I$89,3,0)*0.475*44/12</f>
        <v>1.341528263113267</v>
      </c>
      <c r="HH44" s="21">
        <f>EXP(-LN(2)/25)*HH43+(1-EXP(-LN(2)/25))/(LN(2)/25)*Calculateur!HC44*Calculateur!HE44*VLOOKUP('Données projet'!$B$18,Paramètres!$A$1:$I$89,3,0)*0.475*44/12</f>
        <v>15.153254419698252</v>
      </c>
      <c r="HI44" s="21">
        <f>EXP(-LN(2)/2)*HI43+(1-EXP(-LN(2)/2))/(LN(2)/2)*HC44*HF44*VLOOKUP('Données projet'!$B$18,Paramètres!$A$1:$I$89,3,0)*0.475*44/12</f>
        <v>0.26615104324119276</v>
      </c>
      <c r="HJ44" s="22">
        <f t="shared" si="30"/>
        <v>16.760933726052713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468.72307692307692</v>
      </c>
      <c r="L45" s="12">
        <f>VLOOKUP(A45,'Données projet'!$A$35:$I$55,9,0)</f>
        <v>22.419230769230779</v>
      </c>
      <c r="M45" s="12">
        <f t="array" ref="M45">INDEX(L:L,MIN(IF(ISNUMBER(L45:L241),ROW(L45:L241),"")))</f>
        <v>22.419230769230779</v>
      </c>
      <c r="N45" s="13">
        <f>IF('Données projet'!$A$36&gt;35,N44+M45-V44,IF(A45&lt;'Données projet'!$A$36,$K$205^A45,IF(A45='Données projet'!$A$36,'Données projet'!$B$36,N44+M45-V44)))</f>
        <v>468.72307692307675</v>
      </c>
      <c r="O45" s="13">
        <f>N45*VLOOKUP('Données projet'!$B$9,Paramètres!$A$1:$I$89,3,0)*VLOOKUP('Données projet'!$B$9,Paramètres!$A$1:$I$89,5,0)</f>
        <v>262.01619999999991</v>
      </c>
      <c r="P45" s="13">
        <f t="shared" si="33"/>
        <v>63.151956912854573</v>
      </c>
      <c r="Q45" s="20">
        <f t="shared" si="53"/>
        <v>566.33453995655486</v>
      </c>
      <c r="R45" s="59">
        <f t="shared" si="0"/>
        <v>859.66787328988812</v>
      </c>
      <c r="S45" s="59">
        <f ca="1">AVERAGE(OFFSET($R$3,0,0,'Données projet'!$E$9+1,1))-AVERAGE(OFFSET($H$3,0,0,'Données projet'!$E$9+1,1))</f>
        <v>255.5374979188561</v>
      </c>
      <c r="T45" s="59">
        <f t="shared" si="34"/>
        <v>343.10418468620901</v>
      </c>
      <c r="U45" s="15">
        <f>IF(ISNA(VLOOKUP(A45,'Données projet'!$A$35:$I$55,3,0)),0,VLOOKUP(A45,'Données projet'!$A$35:$I$55,3,0))</f>
        <v>5</v>
      </c>
      <c r="V45" s="15">
        <f>IF(ISNA(VLOOKUP(A45,'Données projet'!$A$35:$I$55,4,0)),0,VLOOKUP(A45,'Données projet'!$A$35:$I$55,4,0))</f>
        <v>73.392307692307682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2.4364299871167083</v>
      </c>
      <c r="AA45" s="21">
        <f>EXP(-LN(2)/25)*AA44+(1-EXP(-LN(2)/25))/(LN(2)/25)*Calculateur!V45*Calculateur!X45*VLOOKUP('Données projet'!$B$9,Paramètres!$A$1:$I$89,3,0)*0.475*44/12</f>
        <v>11.443148669770169</v>
      </c>
      <c r="AB45" s="21">
        <f>EXP(-LN(2)/2)*AB44+(1-EXP(-LN(2)/2))/(LN(2)/2)*V45*Y45*VLOOKUP('Données projet'!$B$9,Paramètres!$A$1:$I$89,3,0)*0.475*44/12</f>
        <v>2.6447688741469782E-2</v>
      </c>
      <c r="AC45" s="22">
        <f t="shared" si="3"/>
        <v>13.906026345628348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410.3692307692308</v>
      </c>
      <c r="AG45" s="12">
        <f>VLOOKUP(A45,'Données projet'!$A$61:$I$81,9,0)</f>
        <v>16.131410256410259</v>
      </c>
      <c r="AH45" s="12">
        <f t="array" ref="AH45">INDEX(AG:AG,MIN(IF(ISNUMBER(AG45:AG241),ROW(AG45:AG241),"")))</f>
        <v>16.131410256410259</v>
      </c>
      <c r="AI45" s="13">
        <f>IF('Données projet'!$A$62&gt;35,AI44+AH45-AQ44,IF(A45&lt;'Données projet'!$A$62,$AF$205^A45,IF(A45='Données projet'!$A$62,'Données projet'!$B$62,AI44+AH45-AQ44)))</f>
        <v>410.36923076923091</v>
      </c>
      <c r="AJ45" s="13">
        <f>AI45*VLOOKUP('Données projet'!$B$10,Paramètres!$A$1:$I$89,3,0)*VLOOKUP('Données projet'!$B$10,Paramètres!$A$1:$I$89,5,0)</f>
        <v>192.05280000000008</v>
      </c>
      <c r="AK45" s="13">
        <f t="shared" si="35"/>
        <v>47.993513546032311</v>
      </c>
      <c r="AL45" s="20">
        <f t="shared" si="4"/>
        <v>418.08066275933976</v>
      </c>
      <c r="AM45" s="59">
        <f t="shared" si="5"/>
        <v>711.41399609267307</v>
      </c>
      <c r="AN45" s="59">
        <f ca="1">AVERAGE(OFFSET($AM$3,0,0,'Données projet'!$E$10+1,1))-AVERAGE(OFFSET($H$3,0,0,'Données projet'!$E$10+1,1))</f>
        <v>158.58786357608489</v>
      </c>
      <c r="AO45" s="59">
        <f t="shared" si="36"/>
        <v>163.20074068819849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179.84615384615384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15.21153846153846</v>
      </c>
      <c r="BD45" s="12">
        <f>IF('Données projet'!$A$88&gt;35,BD44+BC45-BL44,IF(A45&lt;'Données projet'!$A$88,$BA$205^A45,IF(A45='Données projet'!$A$88,'Données projet'!$B$88,BD44+BC45-BL44)))</f>
        <v>336.47692307692307</v>
      </c>
      <c r="BE45" s="13">
        <f>BD45*VLOOKUP('Données projet'!$B$11,Paramètres!$A$1:$I$89,3,0)*VLOOKUP('Données projet'!$B$11,Paramètres!$A$1:$I$89,5,0)</f>
        <v>201.21320000000003</v>
      </c>
      <c r="BF45" s="13">
        <f t="shared" si="37"/>
        <v>50.010698447793764</v>
      </c>
      <c r="BG45" s="20">
        <f t="shared" si="7"/>
        <v>437.54828979657418</v>
      </c>
      <c r="BH45" s="59">
        <f t="shared" si="8"/>
        <v>730.88162312990744</v>
      </c>
      <c r="BI45" s="59">
        <f ca="1">AVERAGE(OFFSET($BH$3,0,0,'Données projet'!$E$11+1,1))-AVERAGE(OFFSET($H$3,0,0,'Données projet'!$E$11+1,1))</f>
        <v>243.85350804244348</v>
      </c>
      <c r="BJ45" s="59">
        <f t="shared" si="38"/>
        <v>304.60992308960545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3.5685233446159104</v>
      </c>
      <c r="BQ45" s="21">
        <f>EXP(-LN(2)/25)*BQ44+(1-EXP(-LN(2)/25))/(LN(2)/25)*Calculateur!BL45*Calculateur!BN45*VLOOKUP('Données projet'!$B$11,Paramètres!$A$1:$I$89,3,0)*0.475*44/12</f>
        <v>12.711225141357552</v>
      </c>
      <c r="BR45" s="21">
        <f>EXP(-LN(2)/2)*BR44+(1-EXP(-LN(2)/2))/(LN(2)/2)*BL45*BO45*VLOOKUP('Données projet'!$B$11,Paramètres!$A$1:$I$89,3,0)*0.475*44/12</f>
        <v>5.8409789488620315E-2</v>
      </c>
      <c r="BS45" s="22">
        <f t="shared" si="9"/>
        <v>16.338158275462085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16.2</v>
      </c>
      <c r="BY45" s="12">
        <f>IF('Données projet'!$A$114&gt;35,BY44+BX45-CG44,IF(A45&lt;'Données projet'!$A$114,$BV$205^A45,IF(A45='Données projet'!$A$114,'Données projet'!$B$114,BY44+BX45-CG44)))</f>
        <v>250.39999999999992</v>
      </c>
      <c r="BZ45" s="13">
        <f>BY45*VLOOKUP('Données projet'!$B$12,Paramètres!$A$1:$I$89,3,0)*VLOOKUP('Données projet'!$B$12,Paramètres!$A$1:$I$89,5,0)</f>
        <v>149.73919999999995</v>
      </c>
      <c r="CA45" s="13">
        <f t="shared" si="39"/>
        <v>38.51931188379853</v>
      </c>
      <c r="CB45" s="20">
        <f t="shared" si="10"/>
        <v>327.88357486428237</v>
      </c>
      <c r="CC45" s="59">
        <f t="shared" si="11"/>
        <v>621.21690819761568</v>
      </c>
      <c r="CD45" s="59">
        <f ca="1">AVERAGE(OFFSET($CC$3,0,0,'Données projet'!$E$12+1,1))-AVERAGE(OFFSET($H$3,0,0,'Données projet'!$E$12+1,1))</f>
        <v>270.30888762640245</v>
      </c>
      <c r="CE45" s="59">
        <f t="shared" si="40"/>
        <v>202.23783851977691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1.6888186656364563</v>
      </c>
      <c r="CL45" s="21">
        <f>EXP(-LN(2)/25)*CL44+(1-EXP(-LN(2)/25))/(LN(2)/25)*Calculateur!CG45*Calculateur!CI45*VLOOKUP('Données projet'!$B$12,Paramètres!$A$1:$I$89,3,0)*0.475*44/12</f>
        <v>8.8153891420158459</v>
      </c>
      <c r="CM45" s="21">
        <f>EXP(-LN(2)/2)*CM44+(1-EXP(-LN(2)/2))/(LN(2)/2)*CG45*CJ45*VLOOKUP('Données projet'!$B$12,Paramètres!$A$1:$I$89,3,0)*0.475*44/12</f>
        <v>0.28894700916347787</v>
      </c>
      <c r="CN45" s="22">
        <f t="shared" si="12"/>
        <v>10.793154816815779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9.1999999999999993</v>
      </c>
      <c r="CT45" s="12">
        <f>IF('Données projet'!$A$140&gt;35,CT44+CS45-DB44,IF(A45&lt;'Données projet'!$A$140,$CQ$205^A45,IF(A45='Données projet'!$A$140,'Données projet'!$B$140,CT44+CS45-DB44)))</f>
        <v>211.39999999999992</v>
      </c>
      <c r="CU45" s="17">
        <f>CT45*VLOOKUP('Données projet'!$B$13,Paramètres!$A$1:$I$89,3,0)*VLOOKUP('Données projet'!$B$13,Paramètres!$A$1:$I$89,5,0)</f>
        <v>168.18983999999995</v>
      </c>
      <c r="CV45" s="13">
        <f t="shared" si="41"/>
        <v>42.684355718695357</v>
      </c>
      <c r="CW45" s="20">
        <f t="shared" si="13"/>
        <v>367.27255754339438</v>
      </c>
      <c r="CX45" s="59">
        <f t="shared" si="14"/>
        <v>660.6058908767277</v>
      </c>
      <c r="CY45" s="59">
        <f ca="1">AVERAGE(OFFSET($CX$3,0,0,'Données projet'!$E$13+1,1))-AVERAGE(OFFSET($H$3,0,0,'Données projet'!$E$13+1,1))</f>
        <v>260.20517190557814</v>
      </c>
      <c r="CZ45" s="59">
        <f t="shared" si="42"/>
        <v>307.22009971147133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2.572796938205105</v>
      </c>
      <c r="DG45" s="21">
        <f>EXP(-LN(2)/25)*DG44+(1-EXP(-LN(2)/25))/(LN(2)/25)*Calculateur!DB45*Calculateur!DD45*VLOOKUP('Données projet'!$B$13,Paramètres!$A$1:$I$89,3,0)*0.475*44/12</f>
        <v>14.712096007211263</v>
      </c>
      <c r="DH45" s="21">
        <f>EXP(-LN(2)/2)*DH44+(1-EXP(-LN(2)/2))/(LN(2)/2)*DB45*DE45*VLOOKUP('Données projet'!$B$13,Paramètres!$A$1:$I$89,3,0)*0.475*44/12</f>
        <v>0.3756099101993326</v>
      </c>
      <c r="DI45" s="22">
        <f t="shared" si="15"/>
        <v>17.6605028556157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9.3452380952380913</v>
      </c>
      <c r="DO45" s="12">
        <f>IF('Données projet'!$A$166&gt;35,DO44+DN45-DW44,IF(A45&lt;'Données projet'!$A$166,$DL$205^A45,IF(A45='Données projet'!$A$166,'Données projet'!$B$166,DO44+DN45-DW44)))</f>
        <v>128.28113553113553</v>
      </c>
      <c r="DP45" s="17">
        <f>DO45*VLOOKUP('Données projet'!$B$14,Paramètres!$A$1:$I$89,3,0)*VLOOKUP('Données projet'!$B$14,Paramètres!$A$1:$I$89,5,0)</f>
        <v>130.07707142857143</v>
      </c>
      <c r="DQ45" s="13">
        <f t="shared" si="43"/>
        <v>34.014167662270388</v>
      </c>
      <c r="DR45" s="20">
        <f t="shared" si="16"/>
        <v>285.79224141654947</v>
      </c>
      <c r="DS45" s="59">
        <f t="shared" si="17"/>
        <v>579.12557474988284</v>
      </c>
      <c r="DT45" s="59">
        <f ca="1">AVERAGE(OFFSET($DS$3,0,0,'Données projet'!$E$14+1,1))-AVERAGE(OFFSET($H$3,0,0,'Données projet'!$E$14+1,1))</f>
        <v>263.15518481854753</v>
      </c>
      <c r="DU45" s="59">
        <f t="shared" si="44"/>
        <v>210.80755370263819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0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9.1999999999999993</v>
      </c>
      <c r="EJ45" s="12">
        <f>IF('Données projet'!$A$192&gt;35,EJ44+EI45-ER44,IF(A45&lt;'Données projet'!$A$192,$EG$205^A45,IF(A45='Données projet'!$A$192,'Données projet'!$B$192,EJ44+EI45-ER44)))</f>
        <v>211.39999999999992</v>
      </c>
      <c r="EK45" s="17">
        <f>EJ45*VLOOKUP('Données projet'!$B$15,Paramètres!$A$1:$I$89,3,0)*VLOOKUP('Données projet'!$B$15,Paramètres!$A$1:$I$89,5,0)</f>
        <v>141.80711999999994</v>
      </c>
      <c r="EL45" s="13">
        <f t="shared" si="45"/>
        <v>36.710681789362752</v>
      </c>
      <c r="EM45" s="20">
        <f t="shared" si="19"/>
        <v>310.91850478314001</v>
      </c>
      <c r="EN45" s="59">
        <f t="shared" si="20"/>
        <v>604.25183811647332</v>
      </c>
      <c r="EO45" s="59">
        <f ca="1">AVERAGE(OFFSET($EN$3,0,0,'Données projet'!$E$15+1,1))-AVERAGE(OFFSET($H$3,0,0,'Données projet'!$E$15+1,1))</f>
        <v>207.93042467236967</v>
      </c>
      <c r="EP45" s="59">
        <f t="shared" si="46"/>
        <v>250.70954318710835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2.1692209478984212</v>
      </c>
      <c r="EW45" s="21">
        <f>EXP(-LN(2)/25)*EW44+(1-EXP(-LN(2)/25))/(LN(2)/25)*Calculateur!ER45*Calculateur!ET45*VLOOKUP('Données projet'!$B$15,Paramètres!$A$1:$I$89,3,0)*0.475*44/12</f>
        <v>12.404316241374207</v>
      </c>
      <c r="EX45" s="21">
        <f>EXP(-LN(2)/2)*EX44+(1-EXP(-LN(2)/2))/(LN(2)/2)*ER45*EU45*VLOOKUP('Données projet'!$B$15,Paramètres!$A$1:$I$89,3,0)*0.475*44/12</f>
        <v>0.31669070859943727</v>
      </c>
      <c r="EY45" s="22">
        <f t="shared" si="21"/>
        <v>14.890227897872066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9.3452380952380913</v>
      </c>
      <c r="FE45" s="12">
        <f>IF('Données projet'!$A$218&gt;35,FE44+FD45-FM44,IF(A45&lt;'Données projet'!$A$218,$FB$205^A45,IF(A45='Données projet'!$A$218,'Données projet'!$B$218,FE44+FD45-FM44)))</f>
        <v>128.28113553113553</v>
      </c>
      <c r="FF45" s="17">
        <f>FE45*VLOOKUP('Données projet'!$B$16,Paramètres!$A$1:$I$89,3,0)*VLOOKUP('Données projet'!$B$16,Paramètres!$A$1:$I$89,5,0)</f>
        <v>138.08181428571427</v>
      </c>
      <c r="FG45" s="13">
        <f t="shared" si="47"/>
        <v>35.857223875642859</v>
      </c>
      <c r="FH45" s="20">
        <f t="shared" si="22"/>
        <v>302.943824797697</v>
      </c>
      <c r="FI45" s="59">
        <f t="shared" si="23"/>
        <v>596.27715813103032</v>
      </c>
      <c r="FJ45" s="59">
        <f ca="1">AVERAGE(OFFSET($FI$3,0,0,'Données projet'!$E$16+1,1))-AVERAGE(OFFSET($H$3,0,0,'Données projet'!$E$16+1,1))</f>
        <v>286.77702855541287</v>
      </c>
      <c r="FK45" s="59">
        <f t="shared" si="48"/>
        <v>227.12211541860779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0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0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11.443589743589742</v>
      </c>
      <c r="FZ45" s="12">
        <f>IF('Données projet'!$A$244&gt;35,FZ44+FY45-GH44,IF(A45&lt;'Données projet'!$A$244,$FW$205^A45,IF(A45='Données projet'!$A$244,'Données projet'!$B$244,FZ44+FY45-GH44)))</f>
        <v>284.57692307692309</v>
      </c>
      <c r="GA45" s="17">
        <f>FZ45*VLOOKUP('Données projet'!$B$17,Paramètres!$A$1:$I$89,3,0)*VLOOKUP('Données projet'!$B$17,Paramètres!$A$1:$I$89,5,0)</f>
        <v>133.18200000000002</v>
      </c>
      <c r="GB45" s="13">
        <f t="shared" si="49"/>
        <v>34.730588096149795</v>
      </c>
      <c r="GC45" s="20">
        <f t="shared" si="25"/>
        <v>292.44775760079426</v>
      </c>
      <c r="GD45" s="59">
        <f t="shared" si="26"/>
        <v>585.78109093412763</v>
      </c>
      <c r="GE45" s="59">
        <f ca="1">AVERAGE(OFFSET($GD$3,0,0,'Données projet'!$E$17+1,1))-AVERAGE(OFFSET($H$3,0,0,'Données projet'!$E$17+1,1))</f>
        <v>123.2823358462245</v>
      </c>
      <c r="GF45" s="59">
        <f t="shared" si="50"/>
        <v>92.75115399786057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0</v>
      </c>
      <c r="GM45" s="21">
        <f>EXP(-LN(2)/25)*GM44+(1-EXP(-LN(2)/25))/(LN(2)/25)*Calculateur!GH45*Calculateur!GJ45*VLOOKUP('Données projet'!$B$17,Paramètres!$A$1:$I$89,3,0)*0.475*44/12</f>
        <v>0</v>
      </c>
      <c r="GN45" s="21">
        <f>EXP(-LN(2)/2)*GN44+(1-EXP(-LN(2)/2))/(LN(2)/2)*GH45*GK45*VLOOKUP('Données projet'!$B$17,Paramètres!$A$1:$I$89,3,0)*0.475*44/12</f>
        <v>0</v>
      </c>
      <c r="GO45" s="21">
        <f t="shared" si="27"/>
        <v>0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13.141346153846158</v>
      </c>
      <c r="GU45" s="12">
        <f>IF('Données projet'!$A$270&gt;35,GU44+GT45-HC44,IF(A45&lt;'Données projet'!$A$270,$GR$205^A45,IF(A45='Données projet'!$A$270,'Données projet'!$B$270,GU44+GT45-HC44)))</f>
        <v>276.87115384615379</v>
      </c>
      <c r="GV45" s="17">
        <f>GU45*VLOOKUP('Données projet'!$B$18,Paramètres!$A$1:$I$89,3,0)*VLOOKUP('Données projet'!$B$18,Paramètres!$A$1:$I$89,5,0)</f>
        <v>165.56894999999997</v>
      </c>
      <c r="GW45" s="13">
        <f t="shared" si="51"/>
        <v>42.096095514085818</v>
      </c>
      <c r="GX45" s="20">
        <f t="shared" si="28"/>
        <v>361.6832876036994</v>
      </c>
      <c r="GY45" s="59">
        <f t="shared" si="29"/>
        <v>655.01662093703271</v>
      </c>
      <c r="GZ45" s="59">
        <f ca="1">AVERAGE(OFFSET($GY$3,0,0,'Données projet'!$E$18+1,1))-AVERAGE(OFFSET($H$3,0,0,'Données projet'!$E$18+1,1))</f>
        <v>171.96009656745713</v>
      </c>
      <c r="HA45" s="59">
        <f t="shared" si="52"/>
        <v>172.37574906747716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>
        <f>EXP(-LN(2)/35)*HG44+(1-EXP(-LN(2)/35))/(LN(2)/35)*HC45*HD45*VLOOKUP('Données projet'!$B$18,Paramètres!$A$1:$I$89,3,0)*0.475*44/12</f>
        <v>1.3152217121250607</v>
      </c>
      <c r="HH45" s="21">
        <f>EXP(-LN(2)/25)*HH44+(1-EXP(-LN(2)/25))/(LN(2)/25)*Calculateur!HC45*Calculateur!HE45*VLOOKUP('Données projet'!$B$18,Paramètres!$A$1:$I$89,3,0)*0.475*44/12</f>
        <v>14.738887880716586</v>
      </c>
      <c r="HI45" s="21">
        <f>EXP(-LN(2)/2)*HI44+(1-EXP(-LN(2)/2))/(LN(2)/2)*HC45*HF45*VLOOKUP('Données projet'!$B$18,Paramètres!$A$1:$I$89,3,0)*0.475*44/12</f>
        <v>0.18819720749572144</v>
      </c>
      <c r="HJ45" s="22">
        <f t="shared" si="30"/>
        <v>16.242306800337371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21.625641025641027</v>
      </c>
      <c r="N46" s="13">
        <f>IF('Données projet'!$A$36&gt;35,N45+M46-V45,IF(A46&lt;'Données projet'!$A$36,$K$205^A46,IF(A46='Données projet'!$A$36,'Données projet'!$B$36,N45+M46-V45)))</f>
        <v>416.95641025641009</v>
      </c>
      <c r="O46" s="13">
        <f>N46*VLOOKUP('Données projet'!$B$9,Paramètres!$A$1:$I$89,3,0)*VLOOKUP('Données projet'!$B$9,Paramètres!$A$1:$I$89,5,0)</f>
        <v>233.07863333333327</v>
      </c>
      <c r="P46" s="13">
        <f t="shared" si="33"/>
        <v>56.947838023653489</v>
      </c>
      <c r="Q46" s="20">
        <f t="shared" si="53"/>
        <v>505.12943761341859</v>
      </c>
      <c r="R46" s="59">
        <f t="shared" si="0"/>
        <v>798.4627709467519</v>
      </c>
      <c r="S46" s="59">
        <f ca="1">AVERAGE(OFFSET($R$3,0,0,'Données projet'!$E$9+1,1))-AVERAGE(OFFSET($H$3,0,0,'Données projet'!$E$9+1,1))</f>
        <v>255.5374979188561</v>
      </c>
      <c r="T46" s="59">
        <f t="shared" si="34"/>
        <v>343.10418468620901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2.3886530811449043</v>
      </c>
      <c r="AA46" s="21">
        <f>EXP(-LN(2)/25)*AA45+(1-EXP(-LN(2)/25))/(LN(2)/25)*Calculateur!V46*Calculateur!X46*VLOOKUP('Données projet'!$B$9,Paramètres!$A$1:$I$89,3,0)*0.475*44/12</f>
        <v>11.130235167626269</v>
      </c>
      <c r="AB46" s="21">
        <f>EXP(-LN(2)/2)*AB45+(1-EXP(-LN(2)/2))/(LN(2)/2)*V46*Y46*VLOOKUP('Données projet'!$B$9,Paramètres!$A$1:$I$89,3,0)*0.475*44/12</f>
        <v>1.8701340055804389E-2</v>
      </c>
      <c r="AC46" s="22">
        <f t="shared" si="3"/>
        <v>13.537589588826977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15.618681318681309</v>
      </c>
      <c r="AI46" s="13">
        <f>IF('Données projet'!$A$62&gt;35,AI45+AH46-AQ45,IF(A46&lt;'Données projet'!$A$62,$AF$205^A46,IF(A46='Données projet'!$A$62,'Données projet'!$B$62,AI45+AH46-AQ45)))</f>
        <v>246.14175824175837</v>
      </c>
      <c r="AJ46" s="13">
        <f>AI46*VLOOKUP('Données projet'!$B$10,Paramètres!$A$1:$I$89,3,0)*VLOOKUP('Données projet'!$B$10,Paramètres!$A$1:$I$89,5,0)</f>
        <v>115.19434285714291</v>
      </c>
      <c r="AK46" s="13">
        <f t="shared" si="35"/>
        <v>30.5515065129288</v>
      </c>
      <c r="AL46" s="20">
        <f t="shared" si="4"/>
        <v>253.84068765287489</v>
      </c>
      <c r="AM46" s="59">
        <f t="shared" si="5"/>
        <v>547.17402098620823</v>
      </c>
      <c r="AN46" s="59">
        <f ca="1">AVERAGE(OFFSET($AM$3,0,0,'Données projet'!$E$10+1,1))-AVERAGE(OFFSET($H$3,0,0,'Données projet'!$E$10+1,1))</f>
        <v>158.58786357608489</v>
      </c>
      <c r="AO46" s="59">
        <f t="shared" si="36"/>
        <v>163.20074068819849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15.21153846153846</v>
      </c>
      <c r="BD46" s="12">
        <f>IF('Données projet'!$A$88&gt;35,BD45+BC46-BL45,IF(A46&lt;'Données projet'!$A$88,$BA$205^A46,IF(A46='Données projet'!$A$88,'Données projet'!$B$88,BD45+BC46-BL45)))</f>
        <v>351.68846153846152</v>
      </c>
      <c r="BE46" s="13">
        <f>BD46*VLOOKUP('Données projet'!$B$11,Paramètres!$A$1:$I$89,3,0)*VLOOKUP('Données projet'!$B$11,Paramètres!$A$1:$I$89,5,0)</f>
        <v>210.30970000000002</v>
      </c>
      <c r="BF46" s="13">
        <f t="shared" si="37"/>
        <v>52.003257134609832</v>
      </c>
      <c r="BG46" s="20">
        <f t="shared" si="7"/>
        <v>456.86173367611218</v>
      </c>
      <c r="BH46" s="59">
        <f t="shared" si="8"/>
        <v>750.19506700944544</v>
      </c>
      <c r="BI46" s="59">
        <f ca="1">AVERAGE(OFFSET($BH$3,0,0,'Données projet'!$E$11+1,1))-AVERAGE(OFFSET($H$3,0,0,'Données projet'!$E$11+1,1))</f>
        <v>243.85350804244348</v>
      </c>
      <c r="BJ46" s="59">
        <f t="shared" si="38"/>
        <v>304.60992308960545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3.4985467784123125</v>
      </c>
      <c r="BQ46" s="21">
        <f>EXP(-LN(2)/25)*BQ45+(1-EXP(-LN(2)/25))/(LN(2)/25)*Calculateur!BL46*Calculateur!BN46*VLOOKUP('Données projet'!$B$11,Paramètres!$A$1:$I$89,3,0)*0.475*44/12</f>
        <v>12.363636021412852</v>
      </c>
      <c r="BR46" s="21">
        <f>EXP(-LN(2)/2)*BR45+(1-EXP(-LN(2)/2))/(LN(2)/2)*BL46*BO46*VLOOKUP('Données projet'!$B$11,Paramètres!$A$1:$I$89,3,0)*0.475*44/12</f>
        <v>4.1301958235082148E-2</v>
      </c>
      <c r="BS46" s="22">
        <f t="shared" si="9"/>
        <v>15.903484758060245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16.2</v>
      </c>
      <c r="BY46" s="12">
        <f>IF('Données projet'!$A$114&gt;35,BY45+BX46-CG45,IF(A46&lt;'Données projet'!$A$114,$BV$205^A46,IF(A46='Données projet'!$A$114,'Données projet'!$B$114,BY45+BX46-CG45)))</f>
        <v>266.59999999999991</v>
      </c>
      <c r="BZ46" s="13">
        <f>BY46*VLOOKUP('Données projet'!$B$12,Paramètres!$A$1:$I$89,3,0)*VLOOKUP('Données projet'!$B$12,Paramètres!$A$1:$I$89,5,0)</f>
        <v>159.42679999999996</v>
      </c>
      <c r="CA46" s="13">
        <f t="shared" si="39"/>
        <v>40.713201554193425</v>
      </c>
      <c r="CB46" s="20">
        <f t="shared" si="10"/>
        <v>348.57716937355349</v>
      </c>
      <c r="CC46" s="59">
        <f t="shared" si="11"/>
        <v>641.91050270688675</v>
      </c>
      <c r="CD46" s="59">
        <f ca="1">AVERAGE(OFFSET($CC$3,0,0,'Données projet'!$E$12+1,1))-AVERAGE(OFFSET($H$3,0,0,'Données projet'!$E$12+1,1))</f>
        <v>270.30888762640245</v>
      </c>
      <c r="CE46" s="59">
        <f t="shared" si="40"/>
        <v>202.23783851977691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1.6557019616809998</v>
      </c>
      <c r="CL46" s="21">
        <f>EXP(-LN(2)/25)*CL45+(1-EXP(-LN(2)/25))/(LN(2)/25)*Calculateur!CG46*Calculateur!CI46*VLOOKUP('Données projet'!$B$12,Paramètres!$A$1:$I$89,3,0)*0.475*44/12</f>
        <v>8.5743318623462557</v>
      </c>
      <c r="CM46" s="21">
        <f>EXP(-LN(2)/2)*CM45+(1-EXP(-LN(2)/2))/(LN(2)/2)*CG46*CJ46*VLOOKUP('Données projet'!$B$12,Paramètres!$A$1:$I$89,3,0)*0.475*44/12</f>
        <v>0.20431638958306669</v>
      </c>
      <c r="CN46" s="22">
        <f t="shared" si="12"/>
        <v>10.434350213610323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9.1999999999999993</v>
      </c>
      <c r="CT46" s="12">
        <f>IF('Données projet'!$A$140&gt;35,CT45+CS46-DB45,IF(A46&lt;'Données projet'!$A$140,$CQ$205^A46,IF(A46='Données projet'!$A$140,'Données projet'!$B$140,CT45+CS46-DB45)))</f>
        <v>220.59999999999991</v>
      </c>
      <c r="CU46" s="17">
        <f>CT46*VLOOKUP('Données projet'!$B$13,Paramètres!$A$1:$I$89,3,0)*VLOOKUP('Données projet'!$B$13,Paramètres!$A$1:$I$89,5,0)</f>
        <v>175.50935999999993</v>
      </c>
      <c r="CV46" s="13">
        <f t="shared" si="41"/>
        <v>44.321637208794016</v>
      </c>
      <c r="CW46" s="20">
        <f t="shared" si="13"/>
        <v>382.87232013864946</v>
      </c>
      <c r="CX46" s="59">
        <f t="shared" si="14"/>
        <v>676.20565347198271</v>
      </c>
      <c r="CY46" s="59">
        <f ca="1">AVERAGE(OFFSET($CX$3,0,0,'Données projet'!$E$13+1,1))-AVERAGE(OFFSET($H$3,0,0,'Données projet'!$E$13+1,1))</f>
        <v>260.20517190557814</v>
      </c>
      <c r="CZ46" s="59">
        <f t="shared" si="42"/>
        <v>307.22009971147133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2.5223459594980846</v>
      </c>
      <c r="DG46" s="21">
        <f>EXP(-LN(2)/25)*DG45+(1-EXP(-LN(2)/25))/(LN(2)/25)*Calculateur!DB46*Calculateur!DD46*VLOOKUP('Données projet'!$B$13,Paramètres!$A$1:$I$89,3,0)*0.475*44/12</f>
        <v>14.309792968218567</v>
      </c>
      <c r="DH46" s="21">
        <f>EXP(-LN(2)/2)*DH45+(1-EXP(-LN(2)/2))/(LN(2)/2)*DB46*DE46*VLOOKUP('Données projet'!$B$13,Paramètres!$A$1:$I$89,3,0)*0.475*44/12</f>
        <v>0.26559631458281824</v>
      </c>
      <c r="DI46" s="22">
        <f t="shared" si="15"/>
        <v>17.097735242299471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9.3452380952380913</v>
      </c>
      <c r="DO46" s="12">
        <f>IF('Données projet'!$A$166&gt;35,DO45+DN46-DW45,IF(A46&lt;'Données projet'!$A$166,$DL$205^A46,IF(A46='Données projet'!$A$166,'Données projet'!$B$166,DO45+DN46-DW45)))</f>
        <v>137.62637362637363</v>
      </c>
      <c r="DP46" s="17">
        <f>DO46*VLOOKUP('Données projet'!$B$14,Paramètres!$A$1:$I$89,3,0)*VLOOKUP('Données projet'!$B$14,Paramètres!$A$1:$I$89,5,0)</f>
        <v>139.55314285714289</v>
      </c>
      <c r="DQ46" s="13">
        <f t="shared" si="43"/>
        <v>36.19461775941739</v>
      </c>
      <c r="DR46" s="20">
        <f t="shared" si="16"/>
        <v>306.09401640717579</v>
      </c>
      <c r="DS46" s="59">
        <f t="shared" si="17"/>
        <v>599.42734974050904</v>
      </c>
      <c r="DT46" s="59">
        <f ca="1">AVERAGE(OFFSET($DS$3,0,0,'Données projet'!$E$14+1,1))-AVERAGE(OFFSET($H$3,0,0,'Données projet'!$E$14+1,1))</f>
        <v>263.15518481854753</v>
      </c>
      <c r="DU46" s="59">
        <f t="shared" si="44"/>
        <v>210.80755370263819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0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9.1999999999999993</v>
      </c>
      <c r="EJ46" s="12">
        <f>IF('Données projet'!$A$192&gt;35,EJ45+EI46-ER45,IF(A46&lt;'Données projet'!$A$192,$EG$205^A46,IF(A46='Données projet'!$A$192,'Données projet'!$B$192,EJ45+EI46-ER45)))</f>
        <v>220.59999999999991</v>
      </c>
      <c r="EK46" s="17">
        <f>EJ46*VLOOKUP('Données projet'!$B$15,Paramètres!$A$1:$I$89,3,0)*VLOOKUP('Données projet'!$B$15,Paramètres!$A$1:$I$89,5,0)</f>
        <v>147.97847999999993</v>
      </c>
      <c r="EL46" s="13">
        <f t="shared" si="45"/>
        <v>38.118825798346784</v>
      </c>
      <c r="EM46" s="20">
        <f t="shared" si="19"/>
        <v>324.1194742654539</v>
      </c>
      <c r="EN46" s="59">
        <f t="shared" si="20"/>
        <v>617.45280759878722</v>
      </c>
      <c r="EO46" s="59">
        <f ca="1">AVERAGE(OFFSET($EN$3,0,0,'Données projet'!$E$15+1,1))-AVERAGE(OFFSET($H$3,0,0,'Données projet'!$E$15+1,1))</f>
        <v>207.93042467236967</v>
      </c>
      <c r="EP46" s="59">
        <f t="shared" si="46"/>
        <v>250.70954318710835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2.1266838482042667</v>
      </c>
      <c r="EW46" s="21">
        <f>EXP(-LN(2)/25)*EW45+(1-EXP(-LN(2)/25))/(LN(2)/25)*Calculateur!ER46*Calculateur!ET46*VLOOKUP('Données projet'!$B$15,Paramètres!$A$1:$I$89,3,0)*0.475*44/12</f>
        <v>12.06511956143919</v>
      </c>
      <c r="EX46" s="21">
        <f>EXP(-LN(2)/2)*EX45+(1-EXP(-LN(2)/2))/(LN(2)/2)*ER46*EU46*VLOOKUP('Données projet'!$B$15,Paramètres!$A$1:$I$89,3,0)*0.475*44/12</f>
        <v>0.22393414758943497</v>
      </c>
      <c r="EY46" s="22">
        <f t="shared" si="21"/>
        <v>14.415737557232891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9.3452380952380913</v>
      </c>
      <c r="FE46" s="12">
        <f>IF('Données projet'!$A$218&gt;35,FE45+FD46-FM45,IF(A46&lt;'Données projet'!$A$218,$FB$205^A46,IF(A46='Données projet'!$A$218,'Données projet'!$B$218,FE45+FD46-FM45)))</f>
        <v>137.62637362637363</v>
      </c>
      <c r="FF46" s="17">
        <f>FE46*VLOOKUP('Données projet'!$B$16,Paramètres!$A$1:$I$89,3,0)*VLOOKUP('Données projet'!$B$16,Paramètres!$A$1:$I$89,5,0)</f>
        <v>148.14102857142859</v>
      </c>
      <c r="FG46" s="13">
        <f t="shared" si="47"/>
        <v>38.155821567621416</v>
      </c>
      <c r="FH46" s="20">
        <f t="shared" si="22"/>
        <v>324.46701399217875</v>
      </c>
      <c r="FI46" s="59">
        <f t="shared" si="23"/>
        <v>617.80034732551212</v>
      </c>
      <c r="FJ46" s="59">
        <f ca="1">AVERAGE(OFFSET($FI$3,0,0,'Données projet'!$E$16+1,1))-AVERAGE(OFFSET($H$3,0,0,'Données projet'!$E$16+1,1))</f>
        <v>286.77702855541287</v>
      </c>
      <c r="FK46" s="59">
        <f t="shared" si="48"/>
        <v>227.12211541860779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0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0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11.443589743589742</v>
      </c>
      <c r="FZ46" s="12">
        <f>IF('Données projet'!$A$244&gt;35,FZ45+FY46-GH45,IF(A46&lt;'Données projet'!$A$244,$FW$205^A46,IF(A46='Données projet'!$A$244,'Données projet'!$B$244,FZ45+FY46-GH45)))</f>
        <v>296.02051282051286</v>
      </c>
      <c r="GA46" s="17">
        <f>FZ46*VLOOKUP('Données projet'!$B$17,Paramètres!$A$1:$I$89,3,0)*VLOOKUP('Données projet'!$B$17,Paramètres!$A$1:$I$89,5,0)</f>
        <v>138.53760000000003</v>
      </c>
      <c r="GB46" s="13">
        <f t="shared" si="49"/>
        <v>35.9617857252005</v>
      </c>
      <c r="GC46" s="20">
        <f t="shared" si="25"/>
        <v>303.91976347139087</v>
      </c>
      <c r="GD46" s="59">
        <f t="shared" si="26"/>
        <v>597.25309680472424</v>
      </c>
      <c r="GE46" s="59">
        <f ca="1">AVERAGE(OFFSET($GD$3,0,0,'Données projet'!$E$17+1,1))-AVERAGE(OFFSET($H$3,0,0,'Données projet'!$E$17+1,1))</f>
        <v>123.2823358462245</v>
      </c>
      <c r="GF46" s="59">
        <f t="shared" si="50"/>
        <v>92.75115399786057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0</v>
      </c>
      <c r="GM46" s="21">
        <f>EXP(-LN(2)/25)*GM45+(1-EXP(-LN(2)/25))/(LN(2)/25)*Calculateur!GH46*Calculateur!GJ46*VLOOKUP('Données projet'!$B$17,Paramètres!$A$1:$I$89,3,0)*0.475*44/12</f>
        <v>0</v>
      </c>
      <c r="GN46" s="21">
        <f>EXP(-LN(2)/2)*GN45+(1-EXP(-LN(2)/2))/(LN(2)/2)*GH46*GK46*VLOOKUP('Données projet'!$B$17,Paramètres!$A$1:$I$89,3,0)*0.475*44/12</f>
        <v>0</v>
      </c>
      <c r="GO46" s="21">
        <f t="shared" si="27"/>
        <v>0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13.141346153846158</v>
      </c>
      <c r="GU46" s="12">
        <f>IF('Données projet'!$A$270&gt;35,GU45+GT46-HC45,IF(A46&lt;'Données projet'!$A$270,$GR$205^A46,IF(A46='Données projet'!$A$270,'Données projet'!$B$270,GU45+GT46-HC45)))</f>
        <v>290.01249999999993</v>
      </c>
      <c r="GV46" s="17">
        <f>GU46*VLOOKUP('Données projet'!$B$18,Paramètres!$A$1:$I$89,3,0)*VLOOKUP('Données projet'!$B$18,Paramètres!$A$1:$I$89,5,0)</f>
        <v>173.42747499999999</v>
      </c>
      <c r="GW46" s="13">
        <f t="shared" si="51"/>
        <v>43.856769901180428</v>
      </c>
      <c r="GX46" s="20">
        <f t="shared" si="28"/>
        <v>378.43672653622252</v>
      </c>
      <c r="GY46" s="59">
        <f t="shared" si="29"/>
        <v>671.77005986955578</v>
      </c>
      <c r="GZ46" s="59">
        <f ca="1">AVERAGE(OFFSET($GY$3,0,0,'Données projet'!$E$18+1,1))-AVERAGE(OFFSET($H$3,0,0,'Données projet'!$E$18+1,1))</f>
        <v>171.96009656745713</v>
      </c>
      <c r="HA46" s="59">
        <f t="shared" si="52"/>
        <v>172.37574906747716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>
        <f>EXP(-LN(2)/35)*HG45+(1-EXP(-LN(2)/35))/(LN(2)/35)*HC46*HD46*VLOOKUP('Données projet'!$B$18,Paramètres!$A$1:$I$89,3,0)*0.475*44/12</f>
        <v>1.2894310165563214</v>
      </c>
      <c r="HH46" s="21">
        <f>EXP(-LN(2)/25)*HH45+(1-EXP(-LN(2)/25))/(LN(2)/25)*Calculateur!HC46*Calculateur!HE46*VLOOKUP('Données projet'!$B$18,Paramètres!$A$1:$I$89,3,0)*0.475*44/12</f>
        <v>14.335852216533963</v>
      </c>
      <c r="HI46" s="21">
        <f>EXP(-LN(2)/2)*HI45+(1-EXP(-LN(2)/2))/(LN(2)/2)*HC46*HF46*VLOOKUP('Données projet'!$B$18,Paramètres!$A$1:$I$89,3,0)*0.475*44/12</f>
        <v>0.13307552162059638</v>
      </c>
      <c r="HJ46" s="22">
        <f t="shared" si="30"/>
        <v>15.758358754710882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21.625641025641027</v>
      </c>
      <c r="N47" s="13">
        <f>IF('Données projet'!$A$36&gt;35,N46+M47-V46,IF(A47&lt;'Données projet'!$A$36,$K$205^A47,IF(A47='Données projet'!$A$36,'Données projet'!$B$36,N46+M47-V46)))</f>
        <v>438.58205128205111</v>
      </c>
      <c r="O47" s="13">
        <f>N47*VLOOKUP('Données projet'!$B$9,Paramètres!$A$1:$I$89,3,0)*VLOOKUP('Données projet'!$B$9,Paramètres!$A$1:$I$89,5,0)</f>
        <v>245.16736666666657</v>
      </c>
      <c r="P47" s="13">
        <f t="shared" si="33"/>
        <v>59.549932468183236</v>
      </c>
      <c r="Q47" s="20">
        <f t="shared" si="53"/>
        <v>530.71596265986329</v>
      </c>
      <c r="R47" s="59">
        <f t="shared" si="0"/>
        <v>824.04929599319667</v>
      </c>
      <c r="S47" s="59">
        <f ca="1">AVERAGE(OFFSET($R$3,0,0,'Données projet'!$E$9+1,1))-AVERAGE(OFFSET($H$3,0,0,'Données projet'!$E$9+1,1))</f>
        <v>255.5374979188561</v>
      </c>
      <c r="T47" s="59">
        <f t="shared" si="34"/>
        <v>343.10418468620901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2.3418130511581721</v>
      </c>
      <c r="AA47" s="21">
        <f>EXP(-LN(2)/25)*AA46+(1-EXP(-LN(2)/25))/(LN(2)/25)*Calculateur!V47*Calculateur!X47*VLOOKUP('Données projet'!$B$9,Paramètres!$A$1:$I$89,3,0)*0.475*44/12</f>
        <v>10.8258783016539</v>
      </c>
      <c r="AB47" s="21">
        <f>EXP(-LN(2)/2)*AB46+(1-EXP(-LN(2)/2))/(LN(2)/2)*V47*Y47*VLOOKUP('Données projet'!$B$9,Paramètres!$A$1:$I$89,3,0)*0.475*44/12</f>
        <v>1.3223844370734891E-2</v>
      </c>
      <c r="AC47" s="22">
        <f t="shared" si="3"/>
        <v>13.180915197182806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15.618681318681309</v>
      </c>
      <c r="AI47" s="13">
        <f>IF('Données projet'!$A$62&gt;35,AI46+AH47-AQ46,IF(A47&lt;'Données projet'!$A$62,$AF$205^A47,IF(A47='Données projet'!$A$62,'Données projet'!$B$62,AI46+AH47-AQ46)))</f>
        <v>261.76043956043969</v>
      </c>
      <c r="AJ47" s="13">
        <f>AI47*VLOOKUP('Données projet'!$B$10,Paramètres!$A$1:$I$89,3,0)*VLOOKUP('Données projet'!$B$10,Paramètres!$A$1:$I$89,5,0)</f>
        <v>122.50388571428577</v>
      </c>
      <c r="AK47" s="13">
        <f t="shared" si="35"/>
        <v>32.258285776503719</v>
      </c>
      <c r="AL47" s="20">
        <f t="shared" si="4"/>
        <v>269.54411534645834</v>
      </c>
      <c r="AM47" s="59">
        <f t="shared" si="5"/>
        <v>562.87744867979166</v>
      </c>
      <c r="AN47" s="59">
        <f ca="1">AVERAGE(OFFSET($AM$3,0,0,'Données projet'!$E$10+1,1))-AVERAGE(OFFSET($H$3,0,0,'Données projet'!$E$10+1,1))</f>
        <v>158.58786357608489</v>
      </c>
      <c r="AO47" s="59">
        <f t="shared" si="36"/>
        <v>163.20074068819849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15.21153846153846</v>
      </c>
      <c r="BD47" s="12">
        <f>IF('Données projet'!$A$88&gt;35,BD46+BC47-BL46,IF(A47&lt;'Données projet'!$A$88,$BA$205^A47,IF(A47='Données projet'!$A$88,'Données projet'!$B$88,BD46+BC47-BL46)))</f>
        <v>366.9</v>
      </c>
      <c r="BE47" s="13">
        <f>BD47*VLOOKUP('Données projet'!$B$11,Paramètres!$A$1:$I$89,3,0)*VLOOKUP('Données projet'!$B$11,Paramètres!$A$1:$I$89,5,0)</f>
        <v>219.40620000000001</v>
      </c>
      <c r="BF47" s="13">
        <f t="shared" si="37"/>
        <v>53.985805930473333</v>
      </c>
      <c r="BG47" s="20">
        <f t="shared" si="7"/>
        <v>476.15774366224105</v>
      </c>
      <c r="BH47" s="59">
        <f t="shared" si="8"/>
        <v>769.4910769955743</v>
      </c>
      <c r="BI47" s="59">
        <f ca="1">AVERAGE(OFFSET($BH$3,0,0,'Données projet'!$E$11+1,1))-AVERAGE(OFFSET($H$3,0,0,'Données projet'!$E$11+1,1))</f>
        <v>243.85350804244348</v>
      </c>
      <c r="BJ47" s="59">
        <f t="shared" si="38"/>
        <v>304.60992308960545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3.4299424099904767</v>
      </c>
      <c r="BQ47" s="21">
        <f>EXP(-LN(2)/25)*BQ46+(1-EXP(-LN(2)/25))/(LN(2)/25)*Calculateur!BL47*Calculateur!BN47*VLOOKUP('Données projet'!$B$11,Paramètres!$A$1:$I$89,3,0)*0.475*44/12</f>
        <v>12.025551744231956</v>
      </c>
      <c r="BR47" s="21">
        <f>EXP(-LN(2)/2)*BR46+(1-EXP(-LN(2)/2))/(LN(2)/2)*BL47*BO47*VLOOKUP('Données projet'!$B$11,Paramètres!$A$1:$I$89,3,0)*0.475*44/12</f>
        <v>2.9204894744310157E-2</v>
      </c>
      <c r="BS47" s="22">
        <f t="shared" si="9"/>
        <v>15.484699048966743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16.2</v>
      </c>
      <c r="BY47" s="12">
        <f>IF('Données projet'!$A$114&gt;35,BY46+BX47-CG46,IF(A47&lt;'Données projet'!$A$114,$BV$205^A47,IF(A47='Données projet'!$A$114,'Données projet'!$B$114,BY46+BX47-CG46)))</f>
        <v>282.7999999999999</v>
      </c>
      <c r="BZ47" s="13">
        <f>BY47*VLOOKUP('Données projet'!$B$12,Paramètres!$A$1:$I$89,3,0)*VLOOKUP('Données projet'!$B$12,Paramètres!$A$1:$I$89,5,0)</f>
        <v>169.11439999999996</v>
      </c>
      <c r="CA47" s="13">
        <f t="shared" si="39"/>
        <v>42.891618392708978</v>
      </c>
      <c r="CB47" s="20">
        <f t="shared" si="10"/>
        <v>369.24381536730135</v>
      </c>
      <c r="CC47" s="59">
        <f t="shared" si="11"/>
        <v>662.57714870063467</v>
      </c>
      <c r="CD47" s="59">
        <f ca="1">AVERAGE(OFFSET($CC$3,0,0,'Données projet'!$E$12+1,1))-AVERAGE(OFFSET($H$3,0,0,'Données projet'!$E$12+1,1))</f>
        <v>270.30888762640245</v>
      </c>
      <c r="CE47" s="59">
        <f t="shared" si="40"/>
        <v>202.23783851977691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1.6232346560909148</v>
      </c>
      <c r="CL47" s="21">
        <f>EXP(-LN(2)/25)*CL46+(1-EXP(-LN(2)/25))/(LN(2)/25)*Calculateur!CG47*Calculateur!CI47*VLOOKUP('Données projet'!$B$12,Paramètres!$A$1:$I$89,3,0)*0.475*44/12</f>
        <v>8.3398663066658809</v>
      </c>
      <c r="CM47" s="21">
        <f>EXP(-LN(2)/2)*CM46+(1-EXP(-LN(2)/2))/(LN(2)/2)*CG47*CJ47*VLOOKUP('Données projet'!$B$12,Paramètres!$A$1:$I$89,3,0)*0.475*44/12</f>
        <v>0.14447350458173894</v>
      </c>
      <c r="CN47" s="22">
        <f t="shared" si="12"/>
        <v>10.107574467338535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9.1999999999999993</v>
      </c>
      <c r="CT47" s="12">
        <f>IF('Données projet'!$A$140&gt;35,CT46+CS47-DB46,IF(A47&lt;'Données projet'!$A$140,$CQ$205^A47,IF(A47='Données projet'!$A$140,'Données projet'!$B$140,CT46+CS47-DB46)))</f>
        <v>229.7999999999999</v>
      </c>
      <c r="CU47" s="17">
        <f>CT47*VLOOKUP('Données projet'!$B$13,Paramètres!$A$1:$I$89,3,0)*VLOOKUP('Données projet'!$B$13,Paramètres!$A$1:$I$89,5,0)</f>
        <v>182.82887999999994</v>
      </c>
      <c r="CV47" s="13">
        <f t="shared" si="41"/>
        <v>45.950987516613559</v>
      </c>
      <c r="CW47" s="20">
        <f t="shared" si="13"/>
        <v>398.45826925810184</v>
      </c>
      <c r="CX47" s="59">
        <f t="shared" si="14"/>
        <v>691.79160259143509</v>
      </c>
      <c r="CY47" s="59">
        <f ca="1">AVERAGE(OFFSET($CX$3,0,0,'Données projet'!$E$13+1,1))-AVERAGE(OFFSET($H$3,0,0,'Données projet'!$E$13+1,1))</f>
        <v>260.20517190557814</v>
      </c>
      <c r="CZ47" s="59">
        <f t="shared" si="42"/>
        <v>307.22009971147133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2.4728842937114504</v>
      </c>
      <c r="DG47" s="21">
        <f>EXP(-LN(2)/25)*DG46+(1-EXP(-LN(2)/25))/(LN(2)/25)*Calculateur!DB47*Calculateur!DD47*VLOOKUP('Données projet'!$B$13,Paramètres!$A$1:$I$89,3,0)*0.475*44/12</f>
        <v>13.918490926983322</v>
      </c>
      <c r="DH47" s="21">
        <f>EXP(-LN(2)/2)*DH46+(1-EXP(-LN(2)/2))/(LN(2)/2)*DB47*DE47*VLOOKUP('Données projet'!$B$13,Paramètres!$A$1:$I$89,3,0)*0.475*44/12</f>
        <v>0.1878049550996663</v>
      </c>
      <c r="DI47" s="22">
        <f t="shared" si="15"/>
        <v>16.579180175794438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9.3452380952380913</v>
      </c>
      <c r="DO47" s="12">
        <f>IF('Données projet'!$A$166&gt;35,DO46+DN47-DW46,IF(A47&lt;'Données projet'!$A$166,$DL$205^A47,IF(A47='Données projet'!$A$166,'Données projet'!$B$166,DO46+DN47-DW46)))</f>
        <v>146.97161172161174</v>
      </c>
      <c r="DP47" s="17">
        <f>DO47*VLOOKUP('Données projet'!$B$14,Paramètres!$A$1:$I$89,3,0)*VLOOKUP('Données projet'!$B$14,Paramètres!$A$1:$I$89,5,0)</f>
        <v>149.02921428571432</v>
      </c>
      <c r="DQ47" s="13">
        <f t="shared" si="43"/>
        <v>38.357887785185063</v>
      </c>
      <c r="DR47" s="20">
        <f t="shared" si="16"/>
        <v>326.36586944014971</v>
      </c>
      <c r="DS47" s="59">
        <f t="shared" si="17"/>
        <v>619.69920277348297</v>
      </c>
      <c r="DT47" s="59">
        <f ca="1">AVERAGE(OFFSET($DS$3,0,0,'Données projet'!$E$14+1,1))-AVERAGE(OFFSET($H$3,0,0,'Données projet'!$E$14+1,1))</f>
        <v>263.15518481854753</v>
      </c>
      <c r="DU47" s="59">
        <f t="shared" si="44"/>
        <v>210.80755370263819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0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9.1999999999999993</v>
      </c>
      <c r="EJ47" s="12">
        <f>IF('Données projet'!$A$192&gt;35,EJ46+EI47-ER46,IF(A47&lt;'Données projet'!$A$192,$EG$205^A47,IF(A47='Données projet'!$A$192,'Données projet'!$B$192,EJ46+EI47-ER46)))</f>
        <v>229.7999999999999</v>
      </c>
      <c r="EK47" s="17">
        <f>EJ47*VLOOKUP('Données projet'!$B$15,Paramètres!$A$1:$I$89,3,0)*VLOOKUP('Données projet'!$B$15,Paramètres!$A$1:$I$89,5,0)</f>
        <v>154.14983999999993</v>
      </c>
      <c r="EL47" s="13">
        <f t="shared" si="45"/>
        <v>39.520148593704498</v>
      </c>
      <c r="EM47" s="20">
        <f t="shared" si="19"/>
        <v>337.30856346736851</v>
      </c>
      <c r="EN47" s="59">
        <f t="shared" si="20"/>
        <v>630.64189680070183</v>
      </c>
      <c r="EO47" s="59">
        <f ca="1">AVERAGE(OFFSET($EN$3,0,0,'Données projet'!$E$15+1,1))-AVERAGE(OFFSET($H$3,0,0,'Données projet'!$E$15+1,1))</f>
        <v>207.93042467236967</v>
      </c>
      <c r="EP47" s="59">
        <f t="shared" si="46"/>
        <v>250.70954318710835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2.0849808750900456</v>
      </c>
      <c r="EW47" s="21">
        <f>EXP(-LN(2)/25)*EW46+(1-EXP(-LN(2)/25))/(LN(2)/25)*Calculateur!ER47*Calculateur!ET47*VLOOKUP('Données projet'!$B$15,Paramètres!$A$1:$I$89,3,0)*0.475*44/12</f>
        <v>11.735198232554572</v>
      </c>
      <c r="EX47" s="21">
        <f>EXP(-LN(2)/2)*EX46+(1-EXP(-LN(2)/2))/(LN(2)/2)*ER47*EU47*VLOOKUP('Données projet'!$B$15,Paramètres!$A$1:$I$89,3,0)*0.475*44/12</f>
        <v>0.15834535429971863</v>
      </c>
      <c r="EY47" s="22">
        <f t="shared" si="21"/>
        <v>13.978524461944335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9.3452380952380913</v>
      </c>
      <c r="FE47" s="12">
        <f>IF('Données projet'!$A$218&gt;35,FE46+FD47-FM46,IF(A47&lt;'Données projet'!$A$218,$FB$205^A47,IF(A47='Données projet'!$A$218,'Données projet'!$B$218,FE46+FD47-FM46)))</f>
        <v>146.97161172161174</v>
      </c>
      <c r="FF47" s="17">
        <f>FE47*VLOOKUP('Données projet'!$B$16,Paramètres!$A$1:$I$89,3,0)*VLOOKUP('Données projet'!$B$16,Paramètres!$A$1:$I$89,5,0)</f>
        <v>158.20024285714288</v>
      </c>
      <c r="FG47" s="13">
        <f t="shared" si="47"/>
        <v>40.436308286791146</v>
      </c>
      <c r="FH47" s="20">
        <f t="shared" si="22"/>
        <v>345.95865990901842</v>
      </c>
      <c r="FI47" s="59">
        <f t="shared" si="23"/>
        <v>639.29199324235174</v>
      </c>
      <c r="FJ47" s="59">
        <f ca="1">AVERAGE(OFFSET($FI$3,0,0,'Données projet'!$E$16+1,1))-AVERAGE(OFFSET($H$3,0,0,'Données projet'!$E$16+1,1))</f>
        <v>286.77702855541287</v>
      </c>
      <c r="FK47" s="59">
        <f t="shared" si="48"/>
        <v>227.12211541860779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0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0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11.443589743589742</v>
      </c>
      <c r="FZ47" s="12">
        <f>IF('Données projet'!$A$244&gt;35,FZ46+FY47-GH46,IF(A47&lt;'Données projet'!$A$244,$FW$205^A47,IF(A47='Données projet'!$A$244,'Données projet'!$B$244,FZ46+FY47-GH46)))</f>
        <v>307.46410256410263</v>
      </c>
      <c r="GA47" s="17">
        <f>FZ47*VLOOKUP('Données projet'!$B$17,Paramètres!$A$1:$I$89,3,0)*VLOOKUP('Données projet'!$B$17,Paramètres!$A$1:$I$89,5,0)</f>
        <v>143.89320000000004</v>
      </c>
      <c r="GB47" s="13">
        <f t="shared" si="49"/>
        <v>37.187454199603145</v>
      </c>
      <c r="GC47" s="20">
        <f t="shared" si="25"/>
        <v>315.38213939764222</v>
      </c>
      <c r="GD47" s="59">
        <f t="shared" si="26"/>
        <v>608.71547273097553</v>
      </c>
      <c r="GE47" s="59">
        <f ca="1">AVERAGE(OFFSET($GD$3,0,0,'Données projet'!$E$17+1,1))-AVERAGE(OFFSET($H$3,0,0,'Données projet'!$E$17+1,1))</f>
        <v>123.2823358462245</v>
      </c>
      <c r="GF47" s="59">
        <f t="shared" si="50"/>
        <v>92.75115399786057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0</v>
      </c>
      <c r="GM47" s="21">
        <f>EXP(-LN(2)/25)*GM46+(1-EXP(-LN(2)/25))/(LN(2)/25)*Calculateur!GH47*Calculateur!GJ47*VLOOKUP('Données projet'!$B$17,Paramètres!$A$1:$I$89,3,0)*0.475*44/12</f>
        <v>0</v>
      </c>
      <c r="GN47" s="21">
        <f>EXP(-LN(2)/2)*GN46+(1-EXP(-LN(2)/2))/(LN(2)/2)*GH47*GK47*VLOOKUP('Données projet'!$B$17,Paramètres!$A$1:$I$89,3,0)*0.475*44/12</f>
        <v>0</v>
      </c>
      <c r="GO47" s="21">
        <f t="shared" si="27"/>
        <v>0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>
        <f>VLOOKUP(A47,'Données projet'!$A$269:$I$289,2,0)</f>
        <v>303.15384615384619</v>
      </c>
      <c r="GS47" s="12">
        <f>VLOOKUP(A47,'Données projet'!$A$269:$I$289,9,0)</f>
        <v>13.141346153846158</v>
      </c>
      <c r="GT47" s="12">
        <f t="array" ref="GT47">INDEX(GS:GS,MIN(IF(ISNUMBER(GS47:GS243),ROW(GS47:GS243),"")))</f>
        <v>13.141346153846158</v>
      </c>
      <c r="GU47" s="12">
        <f>IF('Données projet'!$A$270&gt;35,GU46+GT47-HC46,IF(A47&lt;'Données projet'!$A$270,$GR$205^A47,IF(A47='Données projet'!$A$270,'Données projet'!$B$270,GU46+GT47-HC46)))</f>
        <v>303.15384615384608</v>
      </c>
      <c r="GV47" s="17">
        <f>GU47*VLOOKUP('Données projet'!$B$18,Paramètres!$A$1:$I$89,3,0)*VLOOKUP('Données projet'!$B$18,Paramètres!$A$1:$I$89,5,0)</f>
        <v>181.28599999999997</v>
      </c>
      <c r="GW47" s="13">
        <f t="shared" si="51"/>
        <v>45.608178821536583</v>
      </c>
      <c r="GX47" s="20">
        <f t="shared" si="28"/>
        <v>395.17402811417611</v>
      </c>
      <c r="GY47" s="59">
        <f t="shared" si="29"/>
        <v>688.50736144750942</v>
      </c>
      <c r="GZ47" s="59">
        <f ca="1">AVERAGE(OFFSET($GY$3,0,0,'Données projet'!$E$18+1,1))-AVERAGE(OFFSET($H$3,0,0,'Données projet'!$E$18+1,1))</f>
        <v>171.96009656745713</v>
      </c>
      <c r="HA47" s="59">
        <f t="shared" si="52"/>
        <v>172.37574906747716</v>
      </c>
      <c r="HB47" s="15">
        <f>IF(ISNA(VLOOKUP(A47,'Données projet'!$A$269:$I$289,3,0)),0,VLOOKUP(A47,'Données projet'!$A$269:$I$289,3,0))</f>
        <v>5</v>
      </c>
      <c r="HC47" s="15">
        <f>IF(ISNA(VLOOKUP(A47,'Données projet'!$A$269:$I$289,4,0)),0,VLOOKUP(A47,'Données projet'!$A$269:$I$289,4,0))</f>
        <v>64.476923076923072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>
        <f>EXP(-LN(2)/35)*HG46+(1-EXP(-LN(2)/35))/(LN(2)/35)*HC47*HD47*VLOOKUP('Données projet'!$B$18,Paramètres!$A$1:$I$89,3,0)*0.475*44/12</f>
        <v>1.2641460607969142</v>
      </c>
      <c r="HH47" s="21">
        <f>EXP(-LN(2)/25)*HH46+(1-EXP(-LN(2)/25))/(LN(2)/25)*Calculateur!HC47*Calculateur!HE47*VLOOKUP('Données projet'!$B$18,Paramètres!$A$1:$I$89,3,0)*0.475*44/12</f>
        <v>13.943837583783139</v>
      </c>
      <c r="HI47" s="21">
        <f>EXP(-LN(2)/2)*HI46+(1-EXP(-LN(2)/2))/(LN(2)/2)*HC47*HF47*VLOOKUP('Données projet'!$B$18,Paramètres!$A$1:$I$89,3,0)*0.475*44/12</f>
        <v>9.4098603747860721E-2</v>
      </c>
      <c r="HJ47" s="22">
        <f t="shared" si="30"/>
        <v>15.302082248327915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21.625641025641027</v>
      </c>
      <c r="N48" s="13">
        <f>IF('Données projet'!$A$36&gt;35,N47+M48-V47,IF(A48&lt;'Données projet'!$A$36,$K$205^A48,IF(A48='Données projet'!$A$36,'Données projet'!$B$36,N47+M48-V47)))</f>
        <v>460.20769230769213</v>
      </c>
      <c r="O48" s="13">
        <f>N48*VLOOKUP('Données projet'!$B$9,Paramètres!$A$1:$I$89,3,0)*VLOOKUP('Données projet'!$B$9,Paramètres!$A$1:$I$89,5,0)</f>
        <v>257.25609999999995</v>
      </c>
      <c r="P48" s="13">
        <f t="shared" si="33"/>
        <v>62.137128695600659</v>
      </c>
      <c r="Q48" s="20">
        <f t="shared" si="53"/>
        <v>556.27653997817106</v>
      </c>
      <c r="R48" s="59">
        <f t="shared" si="0"/>
        <v>849.60987331150432</v>
      </c>
      <c r="S48" s="59">
        <f ca="1">AVERAGE(OFFSET($R$3,0,0,'Données projet'!$E$9+1,1))-AVERAGE(OFFSET($H$3,0,0,'Données projet'!$E$9+1,1))</f>
        <v>255.5374979188561</v>
      </c>
      <c r="T48" s="59">
        <f t="shared" si="34"/>
        <v>343.10418468620901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2.2958915255898824</v>
      </c>
      <c r="AA48" s="21">
        <f>EXP(-LN(2)/25)*AA47+(1-EXP(-LN(2)/25))/(LN(2)/25)*Calculateur!V48*Calculateur!X48*VLOOKUP('Données projet'!$B$9,Paramètres!$A$1:$I$89,3,0)*0.475*44/12</f>
        <v>10.529844090186977</v>
      </c>
      <c r="AB48" s="21">
        <f>EXP(-LN(2)/2)*AB47+(1-EXP(-LN(2)/2))/(LN(2)/2)*V48*Y48*VLOOKUP('Données projet'!$B$9,Paramètres!$A$1:$I$89,3,0)*0.475*44/12</f>
        <v>9.3506700279021946E-3</v>
      </c>
      <c r="AC48" s="22">
        <f t="shared" si="3"/>
        <v>12.835086285804762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15.618681318681309</v>
      </c>
      <c r="AI48" s="13">
        <f>IF('Données projet'!$A$62&gt;35,AI47+AH48-AQ47,IF(A48&lt;'Données projet'!$A$62,$AF$205^A48,IF(A48='Données projet'!$A$62,'Données projet'!$B$62,AI47+AH48-AQ47)))</f>
        <v>277.37912087912099</v>
      </c>
      <c r="AJ48" s="13">
        <f>AI48*VLOOKUP('Données projet'!$B$10,Paramètres!$A$1:$I$89,3,0)*VLOOKUP('Données projet'!$B$10,Paramètres!$A$1:$I$89,5,0)</f>
        <v>129.81342857142863</v>
      </c>
      <c r="AK48" s="13">
        <f t="shared" si="35"/>
        <v>33.953244550224326</v>
      </c>
      <c r="AL48" s="20">
        <f t="shared" si="4"/>
        <v>285.22695568687891</v>
      </c>
      <c r="AM48" s="59">
        <f t="shared" si="5"/>
        <v>578.56028902021217</v>
      </c>
      <c r="AN48" s="59">
        <f ca="1">AVERAGE(OFFSET($AM$3,0,0,'Données projet'!$E$10+1,1))-AVERAGE(OFFSET($H$3,0,0,'Données projet'!$E$10+1,1))</f>
        <v>158.58786357608489</v>
      </c>
      <c r="AO48" s="59">
        <f t="shared" si="36"/>
        <v>163.20074068819849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15.21153846153846</v>
      </c>
      <c r="BD48" s="12">
        <f>IF('Données projet'!$A$88&gt;35,BD47+BC48-BL47,IF(A48&lt;'Données projet'!$A$88,$BA$205^A48,IF(A48='Données projet'!$A$88,'Données projet'!$B$88,BD47+BC48-BL47)))</f>
        <v>382.11153846153843</v>
      </c>
      <c r="BE48" s="13">
        <f>BD48*VLOOKUP('Données projet'!$B$11,Paramètres!$A$1:$I$89,3,0)*VLOOKUP('Données projet'!$B$11,Paramètres!$A$1:$I$89,5,0)</f>
        <v>228.5027</v>
      </c>
      <c r="BF48" s="13">
        <f t="shared" si="37"/>
        <v>55.958807302542631</v>
      </c>
      <c r="BG48" s="20">
        <f t="shared" si="7"/>
        <v>495.4371252185951</v>
      </c>
      <c r="BH48" s="59">
        <f t="shared" si="8"/>
        <v>788.77045855192841</v>
      </c>
      <c r="BI48" s="59">
        <f ca="1">AVERAGE(OFFSET($BH$3,0,0,'Données projet'!$E$11+1,1))-AVERAGE(OFFSET($H$3,0,0,'Données projet'!$E$11+1,1))</f>
        <v>243.85350804244348</v>
      </c>
      <c r="BJ48" s="59">
        <f t="shared" si="38"/>
        <v>304.60992308960545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3.36268333138886</v>
      </c>
      <c r="BQ48" s="21">
        <f>EXP(-LN(2)/25)*BQ47+(1-EXP(-LN(2)/25))/(LN(2)/25)*Calculateur!BL48*Calculateur!BN48*VLOOKUP('Données projet'!$B$11,Paramètres!$A$1:$I$89,3,0)*0.475*44/12</f>
        <v>11.696712399389652</v>
      </c>
      <c r="BR48" s="21">
        <f>EXP(-LN(2)/2)*BR47+(1-EXP(-LN(2)/2))/(LN(2)/2)*BL48*BO48*VLOOKUP('Données projet'!$B$11,Paramètres!$A$1:$I$89,3,0)*0.475*44/12</f>
        <v>2.0650979117541074E-2</v>
      </c>
      <c r="BS48" s="22">
        <f t="shared" si="9"/>
        <v>15.080046709896052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16.2</v>
      </c>
      <c r="BY48" s="12">
        <f>IF('Données projet'!$A$114&gt;35,BY47+BX48-CG47,IF(A48&lt;'Données projet'!$A$114,$BV$205^A48,IF(A48='Données projet'!$A$114,'Données projet'!$B$114,BY47+BX48-CG47)))</f>
        <v>298.99999999999989</v>
      </c>
      <c r="BZ48" s="13">
        <f>BY48*VLOOKUP('Données projet'!$B$12,Paramètres!$A$1:$I$89,3,0)*VLOOKUP('Données projet'!$B$12,Paramètres!$A$1:$I$89,5,0)</f>
        <v>178.80199999999996</v>
      </c>
      <c r="CA48" s="13">
        <f t="shared" si="39"/>
        <v>45.055549739375898</v>
      </c>
      <c r="CB48" s="20">
        <f t="shared" si="10"/>
        <v>389.88523246274627</v>
      </c>
      <c r="CC48" s="59">
        <f t="shared" si="11"/>
        <v>683.21856579607959</v>
      </c>
      <c r="CD48" s="59">
        <f ca="1">AVERAGE(OFFSET($CC$3,0,0,'Données projet'!$E$12+1,1))-AVERAGE(OFFSET($H$3,0,0,'Données projet'!$E$12+1,1))</f>
        <v>270.30888762640245</v>
      </c>
      <c r="CE48" s="59">
        <f t="shared" si="40"/>
        <v>202.23783851977691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1.5914040145603503</v>
      </c>
      <c r="CL48" s="21">
        <f>EXP(-LN(2)/25)*CL47+(1-EXP(-LN(2)/25))/(LN(2)/25)*Calculateur!CG48*Calculateur!CI48*VLOOKUP('Données projet'!$B$12,Paramètres!$A$1:$I$89,3,0)*0.475*44/12</f>
        <v>8.1118122239355941</v>
      </c>
      <c r="CM48" s="21">
        <f>EXP(-LN(2)/2)*CM47+(1-EXP(-LN(2)/2))/(LN(2)/2)*CG48*CJ48*VLOOKUP('Données projet'!$B$12,Paramètres!$A$1:$I$89,3,0)*0.475*44/12</f>
        <v>0.10215819479153335</v>
      </c>
      <c r="CN48" s="22">
        <f t="shared" si="12"/>
        <v>9.8053744332874775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9.1999999999999993</v>
      </c>
      <c r="CT48" s="12">
        <f>IF('Données projet'!$A$140&gt;35,CT47+CS48-DB47,IF(A48&lt;'Données projet'!$A$140,$CQ$205^A48,IF(A48='Données projet'!$A$140,'Données projet'!$B$140,CT47+CS48-DB47)))</f>
        <v>238.99999999999989</v>
      </c>
      <c r="CU48" s="17">
        <f>CT48*VLOOKUP('Données projet'!$B$13,Paramètres!$A$1:$I$89,3,0)*VLOOKUP('Données projet'!$B$13,Paramètres!$A$1:$I$89,5,0)</f>
        <v>190.14839999999992</v>
      </c>
      <c r="CV48" s="13">
        <f t="shared" si="41"/>
        <v>47.572760493232991</v>
      </c>
      <c r="CW48" s="20">
        <f t="shared" si="13"/>
        <v>414.03102119238065</v>
      </c>
      <c r="CX48" s="59">
        <f t="shared" si="14"/>
        <v>707.36435452571391</v>
      </c>
      <c r="CY48" s="59">
        <f ca="1">AVERAGE(OFFSET($CX$3,0,0,'Données projet'!$E$13+1,1))-AVERAGE(OFFSET($H$3,0,0,'Données projet'!$E$13+1,1))</f>
        <v>260.20517190557814</v>
      </c>
      <c r="CZ48" s="59">
        <f t="shared" si="42"/>
        <v>307.22009971147133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2.4243925410222547</v>
      </c>
      <c r="DG48" s="21">
        <f>EXP(-LN(2)/25)*DG47+(1-EXP(-LN(2)/25))/(LN(2)/25)*Calculateur!DB48*Calculateur!DD48*VLOOKUP('Données projet'!$B$13,Paramètres!$A$1:$I$89,3,0)*0.475*44/12</f>
        <v>13.537889060643337</v>
      </c>
      <c r="DH48" s="21">
        <f>EXP(-LN(2)/2)*DH47+(1-EXP(-LN(2)/2))/(LN(2)/2)*DB48*DE48*VLOOKUP('Données projet'!$B$13,Paramètres!$A$1:$I$89,3,0)*0.475*44/12</f>
        <v>0.13279815729140912</v>
      </c>
      <c r="DI48" s="22">
        <f t="shared" si="15"/>
        <v>16.095079758956999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9.3452380952380913</v>
      </c>
      <c r="DO48" s="12">
        <f>IF('Données projet'!$A$166&gt;35,DO47+DN48-DW47,IF(A48&lt;'Données projet'!$A$166,$DL$205^A48,IF(A48='Données projet'!$A$166,'Données projet'!$B$166,DO47+DN48-DW47)))</f>
        <v>156.31684981684984</v>
      </c>
      <c r="DP48" s="17">
        <f>DO48*VLOOKUP('Données projet'!$B$14,Paramètres!$A$1:$I$89,3,0)*VLOOKUP('Données projet'!$B$14,Paramètres!$A$1:$I$89,5,0)</f>
        <v>158.50528571428575</v>
      </c>
      <c r="DQ48" s="13">
        <f t="shared" si="43"/>
        <v>40.505194484738432</v>
      </c>
      <c r="DR48" s="20">
        <f t="shared" si="16"/>
        <v>346.60991967996711</v>
      </c>
      <c r="DS48" s="59">
        <f t="shared" si="17"/>
        <v>639.94325301330036</v>
      </c>
      <c r="DT48" s="59">
        <f ca="1">AVERAGE(OFFSET($DS$3,0,0,'Données projet'!$E$14+1,1))-AVERAGE(OFFSET($H$3,0,0,'Données projet'!$E$14+1,1))</f>
        <v>263.15518481854753</v>
      </c>
      <c r="DU48" s="59">
        <f t="shared" si="44"/>
        <v>210.80755370263819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0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9.1999999999999993</v>
      </c>
      <c r="EJ48" s="12">
        <f>IF('Données projet'!$A$192&gt;35,EJ47+EI48-ER47,IF(A48&lt;'Données projet'!$A$192,$EG$205^A48,IF(A48='Données projet'!$A$192,'Données projet'!$B$192,EJ47+EI48-ER47)))</f>
        <v>238.99999999999989</v>
      </c>
      <c r="EK48" s="17">
        <f>EJ48*VLOOKUP('Données projet'!$B$15,Paramètres!$A$1:$I$89,3,0)*VLOOKUP('Données projet'!$B$15,Paramètres!$A$1:$I$89,5,0)</f>
        <v>160.32119999999992</v>
      </c>
      <c r="EL48" s="13">
        <f t="shared" si="45"/>
        <v>40.914954505069986</v>
      </c>
      <c r="EM48" s="20">
        <f t="shared" si="19"/>
        <v>350.48630242966345</v>
      </c>
      <c r="EN48" s="59">
        <f t="shared" si="20"/>
        <v>643.81963576299677</v>
      </c>
      <c r="EO48" s="59">
        <f ca="1">AVERAGE(OFFSET($EN$3,0,0,'Données projet'!$E$15+1,1))-AVERAGE(OFFSET($H$3,0,0,'Données projet'!$E$15+1,1))</f>
        <v>207.93042467236967</v>
      </c>
      <c r="EP48" s="59">
        <f t="shared" si="46"/>
        <v>250.70954318710835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2.0440956718422925</v>
      </c>
      <c r="EW48" s="21">
        <f>EXP(-LN(2)/25)*EW47+(1-EXP(-LN(2)/25))/(LN(2)/25)*Calculateur!ER48*Calculateur!ET48*VLOOKUP('Données projet'!$B$15,Paramètres!$A$1:$I$89,3,0)*0.475*44/12</f>
        <v>11.414298619758114</v>
      </c>
      <c r="EX48" s="21">
        <f>EXP(-LN(2)/2)*EX47+(1-EXP(-LN(2)/2))/(LN(2)/2)*ER48*EU48*VLOOKUP('Données projet'!$B$15,Paramètres!$A$1:$I$89,3,0)*0.475*44/12</f>
        <v>0.11196707379471749</v>
      </c>
      <c r="EY48" s="22">
        <f t="shared" si="21"/>
        <v>13.570361365395124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9.3452380952380913</v>
      </c>
      <c r="FE48" s="12">
        <f>IF('Données projet'!$A$218&gt;35,FE47+FD48-FM47,IF(A48&lt;'Données projet'!$A$218,$FB$205^A48,IF(A48='Données projet'!$A$218,'Données projet'!$B$218,FE47+FD48-FM47)))</f>
        <v>156.31684981684984</v>
      </c>
      <c r="FF48" s="17">
        <f>FE48*VLOOKUP('Données projet'!$B$16,Paramètres!$A$1:$I$89,3,0)*VLOOKUP('Données projet'!$B$16,Paramètres!$A$1:$I$89,5,0)</f>
        <v>168.25945714285714</v>
      </c>
      <c r="FG48" s="13">
        <f t="shared" si="47"/>
        <v>42.699966707601448</v>
      </c>
      <c r="FH48" s="20">
        <f t="shared" si="22"/>
        <v>367.4209965395487</v>
      </c>
      <c r="FI48" s="59">
        <f t="shared" si="23"/>
        <v>660.75432987288195</v>
      </c>
      <c r="FJ48" s="59">
        <f ca="1">AVERAGE(OFFSET($FI$3,0,0,'Données projet'!$E$16+1,1))-AVERAGE(OFFSET($H$3,0,0,'Données projet'!$E$16+1,1))</f>
        <v>286.77702855541287</v>
      </c>
      <c r="FK48" s="59">
        <f t="shared" si="48"/>
        <v>227.12211541860779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0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0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11.443589743589742</v>
      </c>
      <c r="FZ48" s="12">
        <f>IF('Données projet'!$A$244&gt;35,FZ47+FY48-GH47,IF(A48&lt;'Données projet'!$A$244,$FW$205^A48,IF(A48='Données projet'!$A$244,'Données projet'!$B$244,FZ47+FY48-GH47)))</f>
        <v>318.9076923076924</v>
      </c>
      <c r="GA48" s="17">
        <f>FZ48*VLOOKUP('Données projet'!$B$17,Paramètres!$A$1:$I$89,3,0)*VLOOKUP('Données projet'!$B$17,Paramètres!$A$1:$I$89,5,0)</f>
        <v>149.24880000000005</v>
      </c>
      <c r="GB48" s="13">
        <f t="shared" si="49"/>
        <v>38.40782287536252</v>
      </c>
      <c r="GC48" s="20">
        <f t="shared" si="25"/>
        <v>326.83528484125645</v>
      </c>
      <c r="GD48" s="59">
        <f t="shared" si="26"/>
        <v>620.16861817458971</v>
      </c>
      <c r="GE48" s="59">
        <f ca="1">AVERAGE(OFFSET($GD$3,0,0,'Données projet'!$E$17+1,1))-AVERAGE(OFFSET($H$3,0,0,'Données projet'!$E$17+1,1))</f>
        <v>123.2823358462245</v>
      </c>
      <c r="GF48" s="59">
        <f t="shared" si="50"/>
        <v>92.75115399786057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0</v>
      </c>
      <c r="GM48" s="21">
        <f>EXP(-LN(2)/25)*GM47+(1-EXP(-LN(2)/25))/(LN(2)/25)*Calculateur!GH48*Calculateur!GJ48*VLOOKUP('Données projet'!$B$17,Paramètres!$A$1:$I$89,3,0)*0.475*44/12</f>
        <v>0</v>
      </c>
      <c r="GN48" s="21">
        <f>EXP(-LN(2)/2)*GN47+(1-EXP(-LN(2)/2))/(LN(2)/2)*GH48*GK48*VLOOKUP('Données projet'!$B$17,Paramètres!$A$1:$I$89,3,0)*0.475*44/12</f>
        <v>0</v>
      </c>
      <c r="GO48" s="21">
        <f t="shared" si="27"/>
        <v>0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11.642307692307689</v>
      </c>
      <c r="GU48" s="12">
        <f>IF('Données projet'!$A$270&gt;35,GU47+GT48-HC47,IF(A48&lt;'Données projet'!$A$270,$GR$205^A48,IF(A48='Données projet'!$A$270,'Données projet'!$B$270,GU47+GT48-HC47)))</f>
        <v>250.31923076923067</v>
      </c>
      <c r="GV48" s="17">
        <f>GU48*VLOOKUP('Données projet'!$B$18,Paramètres!$A$1:$I$89,3,0)*VLOOKUP('Données projet'!$B$18,Paramètres!$A$1:$I$89,5,0)</f>
        <v>149.69089999999994</v>
      </c>
      <c r="GW48" s="13">
        <f t="shared" si="51"/>
        <v>38.508333105793902</v>
      </c>
      <c r="GX48" s="20">
        <f t="shared" si="28"/>
        <v>327.7803309925909</v>
      </c>
      <c r="GY48" s="59">
        <f t="shared" si="29"/>
        <v>621.11366432592422</v>
      </c>
      <c r="GZ48" s="59">
        <f ca="1">AVERAGE(OFFSET($GY$3,0,0,'Données projet'!$E$18+1,1))-AVERAGE(OFFSET($H$3,0,0,'Données projet'!$E$18+1,1))</f>
        <v>171.96009656745713</v>
      </c>
      <c r="HA48" s="59">
        <f t="shared" si="52"/>
        <v>172.37574906747716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>
        <f>EXP(-LN(2)/35)*HG47+(1-EXP(-LN(2)/35))/(LN(2)/35)*HC48*HD48*VLOOKUP('Données projet'!$B$18,Paramètres!$A$1:$I$89,3,0)*0.475*44/12</f>
        <v>1.2393569275976486</v>
      </c>
      <c r="HH48" s="21">
        <f>EXP(-LN(2)/25)*HH47+(1-EXP(-LN(2)/25))/(LN(2)/25)*Calculateur!HC48*Calculateur!HE48*VLOOKUP('Données projet'!$B$18,Paramètres!$A$1:$I$89,3,0)*0.475*44/12</f>
        <v>13.562542611780041</v>
      </c>
      <c r="HI48" s="21">
        <f>EXP(-LN(2)/2)*HI47+(1-EXP(-LN(2)/2))/(LN(2)/2)*HC48*HF48*VLOOKUP('Données projet'!$B$18,Paramètres!$A$1:$I$89,3,0)*0.475*44/12</f>
        <v>6.6537760810298191E-2</v>
      </c>
      <c r="HJ48" s="22">
        <f t="shared" si="30"/>
        <v>14.868437300187988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21.625641025641027</v>
      </c>
      <c r="N49" s="13">
        <f>IF('Données projet'!$A$36&gt;35,N48+M49-V48,IF(A49&lt;'Données projet'!$A$36,$K$205^A49,IF(A49='Données projet'!$A$36,'Données projet'!$B$36,N48+M49-V48)))</f>
        <v>481.83333333333314</v>
      </c>
      <c r="O49" s="13">
        <f>N49*VLOOKUP('Données projet'!$B$9,Paramètres!$A$1:$I$89,3,0)*VLOOKUP('Données projet'!$B$9,Paramètres!$A$1:$I$89,5,0)</f>
        <v>269.34483333333321</v>
      </c>
      <c r="P49" s="13">
        <f t="shared" si="33"/>
        <v>64.710206731812519</v>
      </c>
      <c r="Q49" s="20">
        <f t="shared" si="53"/>
        <v>581.81252811346212</v>
      </c>
      <c r="R49" s="59">
        <f t="shared" si="0"/>
        <v>875.14586144679538</v>
      </c>
      <c r="S49" s="59">
        <f ca="1">AVERAGE(OFFSET($R$3,0,0,'Données projet'!$E$9+1,1))-AVERAGE(OFFSET($H$3,0,0,'Données projet'!$E$9+1,1))</f>
        <v>255.5374979188561</v>
      </c>
      <c r="T49" s="59">
        <f t="shared" si="34"/>
        <v>343.10418468620901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2.2508704931286219</v>
      </c>
      <c r="AA49" s="21">
        <f>EXP(-LN(2)/25)*AA48+(1-EXP(-LN(2)/25))/(LN(2)/25)*Calculateur!V49*Calculateur!X49*VLOOKUP('Données projet'!$B$9,Paramètres!$A$1:$I$89,3,0)*0.475*44/12</f>
        <v>10.241904949800379</v>
      </c>
      <c r="AB49" s="21">
        <f>EXP(-LN(2)/2)*AB48+(1-EXP(-LN(2)/2))/(LN(2)/2)*V49*Y49*VLOOKUP('Données projet'!$B$9,Paramètres!$A$1:$I$89,3,0)*0.475*44/12</f>
        <v>6.6119221853674455E-3</v>
      </c>
      <c r="AC49" s="22">
        <f t="shared" si="3"/>
        <v>12.499387365114368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15.618681318681309</v>
      </c>
      <c r="AI49" s="13">
        <f>IF('Données projet'!$A$62&gt;35,AI48+AH49-AQ48,IF(A49&lt;'Données projet'!$A$62,$AF$205^A49,IF(A49='Données projet'!$A$62,'Données projet'!$B$62,AI48+AH49-AQ48)))</f>
        <v>292.99780219780229</v>
      </c>
      <c r="AJ49" s="13">
        <f>AI49*VLOOKUP('Données projet'!$B$10,Paramètres!$A$1:$I$89,3,0)*VLOOKUP('Données projet'!$B$10,Paramètres!$A$1:$I$89,5,0)</f>
        <v>137.12297142857147</v>
      </c>
      <c r="AK49" s="13">
        <f t="shared" si="35"/>
        <v>35.63712427284996</v>
      </c>
      <c r="AL49" s="20">
        <f t="shared" si="4"/>
        <v>300.89050001330901</v>
      </c>
      <c r="AM49" s="59">
        <f t="shared" si="5"/>
        <v>594.22383334664232</v>
      </c>
      <c r="AN49" s="59">
        <f ca="1">AVERAGE(OFFSET($AM$3,0,0,'Données projet'!$E$10+1,1))-AVERAGE(OFFSET($H$3,0,0,'Données projet'!$E$10+1,1))</f>
        <v>158.58786357608489</v>
      </c>
      <c r="AO49" s="59">
        <f t="shared" si="36"/>
        <v>163.20074068819849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15.21153846153846</v>
      </c>
      <c r="BD49" s="12">
        <f>IF('Données projet'!$A$88&gt;35,BD48+BC49-BL48,IF(A49&lt;'Données projet'!$A$88,$BA$205^A49,IF(A49='Données projet'!$A$88,'Données projet'!$B$88,BD48+BC49-BL48)))</f>
        <v>397.32307692307688</v>
      </c>
      <c r="BE49" s="13">
        <f>BD49*VLOOKUP('Données projet'!$B$11,Paramètres!$A$1:$I$89,3,0)*VLOOKUP('Données projet'!$B$11,Paramètres!$A$1:$I$89,5,0)</f>
        <v>237.5992</v>
      </c>
      <c r="BF49" s="13">
        <f t="shared" si="37"/>
        <v>57.922684812819405</v>
      </c>
      <c r="BG49" s="20">
        <f t="shared" si="7"/>
        <v>514.70061604899377</v>
      </c>
      <c r="BH49" s="59">
        <f t="shared" si="8"/>
        <v>808.03394938232714</v>
      </c>
      <c r="BI49" s="59">
        <f ca="1">AVERAGE(OFFSET($BH$3,0,0,'Données projet'!$E$11+1,1))-AVERAGE(OFFSET($H$3,0,0,'Données projet'!$E$11+1,1))</f>
        <v>243.85350804244348</v>
      </c>
      <c r="BJ49" s="59">
        <f t="shared" si="38"/>
        <v>304.60992308960545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3.2967431622946339</v>
      </c>
      <c r="BQ49" s="21">
        <f>EXP(-LN(2)/25)*BQ48+(1-EXP(-LN(2)/25))/(LN(2)/25)*Calculateur!BL49*Calculateur!BN49*VLOOKUP('Données projet'!$B$11,Paramètres!$A$1:$I$89,3,0)*0.475*44/12</f>
        <v>11.37686518372497</v>
      </c>
      <c r="BR49" s="21">
        <f>EXP(-LN(2)/2)*BR48+(1-EXP(-LN(2)/2))/(LN(2)/2)*BL49*BO49*VLOOKUP('Données projet'!$B$11,Paramètres!$A$1:$I$89,3,0)*0.475*44/12</f>
        <v>1.4602447372155079E-2</v>
      </c>
      <c r="BS49" s="22">
        <f t="shared" si="9"/>
        <v>14.688210793391759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16.2</v>
      </c>
      <c r="BY49" s="12">
        <f>IF('Données projet'!$A$114&gt;35,BY48+BX49-CG48,IF(A49&lt;'Données projet'!$A$114,$BV$205^A49,IF(A49='Données projet'!$A$114,'Données projet'!$B$114,BY48+BX49-CG48)))</f>
        <v>315.19999999999987</v>
      </c>
      <c r="BZ49" s="13">
        <f>BY49*VLOOKUP('Données projet'!$B$12,Paramètres!$A$1:$I$89,3,0)*VLOOKUP('Données projet'!$B$12,Paramètres!$A$1:$I$89,5,0)</f>
        <v>188.48959999999997</v>
      </c>
      <c r="CA49" s="13">
        <f t="shared" si="39"/>
        <v>47.205869902326455</v>
      </c>
      <c r="CB49" s="20">
        <f t="shared" si="10"/>
        <v>410.50294341321847</v>
      </c>
      <c r="CC49" s="59">
        <f t="shared" si="11"/>
        <v>703.83627674655179</v>
      </c>
      <c r="CD49" s="59">
        <f ca="1">AVERAGE(OFFSET($CC$3,0,0,'Données projet'!$E$12+1,1))-AVERAGE(OFFSET($H$3,0,0,'Données projet'!$E$12+1,1))</f>
        <v>270.30888762640245</v>
      </c>
      <c r="CE49" s="59">
        <f t="shared" si="40"/>
        <v>202.23783851977691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1.5601975524954259</v>
      </c>
      <c r="CL49" s="21">
        <f>EXP(-LN(2)/25)*CL48+(1-EXP(-LN(2)/25))/(LN(2)/25)*Calculateur!CG49*Calculateur!CI49*VLOOKUP('Données projet'!$B$12,Paramètres!$A$1:$I$89,3,0)*0.475*44/12</f>
        <v>7.8899942920904103</v>
      </c>
      <c r="CM49" s="21">
        <f>EXP(-LN(2)/2)*CM48+(1-EXP(-LN(2)/2))/(LN(2)/2)*CG49*CJ49*VLOOKUP('Données projet'!$B$12,Paramètres!$A$1:$I$89,3,0)*0.475*44/12</f>
        <v>7.2236752290869469E-2</v>
      </c>
      <c r="CN49" s="22">
        <f t="shared" si="12"/>
        <v>9.522428596876706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9.1999999999999993</v>
      </c>
      <c r="CT49" s="12">
        <f>IF('Données projet'!$A$140&gt;35,CT48+CS49-DB48,IF(A49&lt;'Données projet'!$A$140,$CQ$205^A49,IF(A49='Données projet'!$A$140,'Données projet'!$B$140,CT48+CS49-DB48)))</f>
        <v>248.19999999999987</v>
      </c>
      <c r="CU49" s="17">
        <f>CT49*VLOOKUP('Données projet'!$B$13,Paramètres!$A$1:$I$89,3,0)*VLOOKUP('Données projet'!$B$13,Paramètres!$A$1:$I$89,5,0)</f>
        <v>197.46791999999991</v>
      </c>
      <c r="CV49" s="13">
        <f t="shared" si="41"/>
        <v>49.187281204902298</v>
      </c>
      <c r="CW49" s="20">
        <f t="shared" si="13"/>
        <v>429.591142098538</v>
      </c>
      <c r="CX49" s="59">
        <f t="shared" si="14"/>
        <v>722.92447543187131</v>
      </c>
      <c r="CY49" s="59">
        <f ca="1">AVERAGE(OFFSET($CX$3,0,0,'Données projet'!$E$13+1,1))-AVERAGE(OFFSET($H$3,0,0,'Données projet'!$E$13+1,1))</f>
        <v>260.20517190557814</v>
      </c>
      <c r="CZ49" s="59">
        <f t="shared" si="42"/>
        <v>307.22009971147133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2.3768516820262455</v>
      </c>
      <c r="DG49" s="21">
        <f>EXP(-LN(2)/25)*DG48+(1-EXP(-LN(2)/25))/(LN(2)/25)*Calculateur!DB49*Calculateur!DD49*VLOOKUP('Données projet'!$B$13,Paramètres!$A$1:$I$89,3,0)*0.475*44/12</f>
        <v>13.167694772353402</v>
      </c>
      <c r="DH49" s="21">
        <f>EXP(-LN(2)/2)*DH48+(1-EXP(-LN(2)/2))/(LN(2)/2)*DB49*DE49*VLOOKUP('Données projet'!$B$13,Paramètres!$A$1:$I$89,3,0)*0.475*44/12</f>
        <v>9.3902477549833149E-2</v>
      </c>
      <c r="DI49" s="22">
        <f t="shared" si="15"/>
        <v>15.63844893192948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9.3452380952380913</v>
      </c>
      <c r="DO49" s="12">
        <f>IF('Données projet'!$A$166&gt;35,DO48+DN49-DW48,IF(A49&lt;'Données projet'!$A$166,$DL$205^A49,IF(A49='Données projet'!$A$166,'Données projet'!$B$166,DO48+DN49-DW48)))</f>
        <v>165.66208791208794</v>
      </c>
      <c r="DP49" s="17">
        <f>DO49*VLOOKUP('Données projet'!$B$14,Paramètres!$A$1:$I$89,3,0)*VLOOKUP('Données projet'!$B$14,Paramètres!$A$1:$I$89,5,0)</f>
        <v>167.98135714285718</v>
      </c>
      <c r="DQ49" s="13">
        <f t="shared" si="43"/>
        <v>42.637600900233188</v>
      </c>
      <c r="DR49" s="20">
        <f t="shared" si="16"/>
        <v>366.82801859171565</v>
      </c>
      <c r="DS49" s="59">
        <f t="shared" si="17"/>
        <v>660.16135192504896</v>
      </c>
      <c r="DT49" s="59">
        <f ca="1">AVERAGE(OFFSET($DS$3,0,0,'Données projet'!$E$14+1,1))-AVERAGE(OFFSET($H$3,0,0,'Données projet'!$E$14+1,1))</f>
        <v>263.15518481854753</v>
      </c>
      <c r="DU49" s="59">
        <f t="shared" si="44"/>
        <v>210.80755370263819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0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9.1999999999999993</v>
      </c>
      <c r="EJ49" s="12">
        <f>IF('Données projet'!$A$192&gt;35,EJ48+EI49-ER48,IF(A49&lt;'Données projet'!$A$192,$EG$205^A49,IF(A49='Données projet'!$A$192,'Données projet'!$B$192,EJ48+EI49-ER48)))</f>
        <v>248.19999999999987</v>
      </c>
      <c r="EK49" s="17">
        <f>EJ49*VLOOKUP('Données projet'!$B$15,Paramètres!$A$1:$I$89,3,0)*VLOOKUP('Données projet'!$B$15,Paramètres!$A$1:$I$89,5,0)</f>
        <v>166.49255999999991</v>
      </c>
      <c r="EL49" s="13">
        <f t="shared" si="45"/>
        <v>42.303523105684178</v>
      </c>
      <c r="EM49" s="20">
        <f t="shared" si="19"/>
        <v>363.65317807573314</v>
      </c>
      <c r="EN49" s="59">
        <f t="shared" si="20"/>
        <v>656.98651140906645</v>
      </c>
      <c r="EO49" s="59">
        <f ca="1">AVERAGE(OFFSET($EN$3,0,0,'Données projet'!$E$15+1,1))-AVERAGE(OFFSET($H$3,0,0,'Données projet'!$E$15+1,1))</f>
        <v>207.93042467236967</v>
      </c>
      <c r="EP49" s="59">
        <f t="shared" si="46"/>
        <v>250.70954318710835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2.0040122024927163</v>
      </c>
      <c r="EW49" s="21">
        <f>EXP(-LN(2)/25)*EW48+(1-EXP(-LN(2)/25))/(LN(2)/25)*Calculateur!ER49*Calculateur!ET49*VLOOKUP('Données projet'!$B$15,Paramètres!$A$1:$I$89,3,0)*0.475*44/12</f>
        <v>11.102174023748951</v>
      </c>
      <c r="EX49" s="21">
        <f>EXP(-LN(2)/2)*EX48+(1-EXP(-LN(2)/2))/(LN(2)/2)*ER49*EU49*VLOOKUP('Données projet'!$B$15,Paramètres!$A$1:$I$89,3,0)*0.475*44/12</f>
        <v>7.9172677149859316E-2</v>
      </c>
      <c r="EY49" s="22">
        <f t="shared" si="21"/>
        <v>13.185358903391528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9.3452380952380913</v>
      </c>
      <c r="FE49" s="12">
        <f>IF('Données projet'!$A$218&gt;35,FE48+FD49-FM48,IF(A49&lt;'Données projet'!$A$218,$FB$205^A49,IF(A49='Données projet'!$A$218,'Données projet'!$B$218,FE48+FD49-FM48)))</f>
        <v>165.66208791208794</v>
      </c>
      <c r="FF49" s="17">
        <f>FE49*VLOOKUP('Données projet'!$B$16,Paramètres!$A$1:$I$89,3,0)*VLOOKUP('Données projet'!$B$16,Paramètres!$A$1:$I$89,5,0)</f>
        <v>178.31867142857143</v>
      </c>
      <c r="FG49" s="13">
        <f t="shared" si="47"/>
        <v>44.947917473101633</v>
      </c>
      <c r="FH49" s="20">
        <f t="shared" si="22"/>
        <v>388.8559756704139</v>
      </c>
      <c r="FI49" s="59">
        <f t="shared" si="23"/>
        <v>682.18930900374721</v>
      </c>
      <c r="FJ49" s="59">
        <f ca="1">AVERAGE(OFFSET($FI$3,0,0,'Données projet'!$E$16+1,1))-AVERAGE(OFFSET($H$3,0,0,'Données projet'!$E$16+1,1))</f>
        <v>286.77702855541287</v>
      </c>
      <c r="FK49" s="59">
        <f t="shared" si="48"/>
        <v>227.12211541860779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0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0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11.443589743589742</v>
      </c>
      <c r="FZ49" s="12">
        <f>IF('Données projet'!$A$244&gt;35,FZ48+FY49-GH48,IF(A49&lt;'Données projet'!$A$244,$FW$205^A49,IF(A49='Données projet'!$A$244,'Données projet'!$B$244,FZ48+FY49-GH48)))</f>
        <v>330.35128205128217</v>
      </c>
      <c r="GA49" s="17">
        <f>FZ49*VLOOKUP('Données projet'!$B$17,Paramètres!$A$1:$I$89,3,0)*VLOOKUP('Données projet'!$B$17,Paramètres!$A$1:$I$89,5,0)</f>
        <v>154.60440000000006</v>
      </c>
      <c r="GB49" s="13">
        <f t="shared" si="49"/>
        <v>39.623103715153171</v>
      </c>
      <c r="GC49" s="20">
        <f t="shared" si="25"/>
        <v>338.2795689705585</v>
      </c>
      <c r="GD49" s="59">
        <f t="shared" si="26"/>
        <v>631.61290230389181</v>
      </c>
      <c r="GE49" s="59">
        <f ca="1">AVERAGE(OFFSET($GD$3,0,0,'Données projet'!$E$17+1,1))-AVERAGE(OFFSET($H$3,0,0,'Données projet'!$E$17+1,1))</f>
        <v>123.2823358462245</v>
      </c>
      <c r="GF49" s="59">
        <f t="shared" si="50"/>
        <v>92.75115399786057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0</v>
      </c>
      <c r="GM49" s="21">
        <f>EXP(-LN(2)/25)*GM48+(1-EXP(-LN(2)/25))/(LN(2)/25)*Calculateur!GH49*Calculateur!GJ49*VLOOKUP('Données projet'!$B$17,Paramètres!$A$1:$I$89,3,0)*0.475*44/12</f>
        <v>0</v>
      </c>
      <c r="GN49" s="21">
        <f>EXP(-LN(2)/2)*GN48+(1-EXP(-LN(2)/2))/(LN(2)/2)*GH49*GK49*VLOOKUP('Données projet'!$B$17,Paramètres!$A$1:$I$89,3,0)*0.475*44/12</f>
        <v>0</v>
      </c>
      <c r="GO49" s="21">
        <f t="shared" si="27"/>
        <v>0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11.642307692307689</v>
      </c>
      <c r="GU49" s="12">
        <f>IF('Données projet'!$A$270&gt;35,GU48+GT49-HC48,IF(A49&lt;'Données projet'!$A$270,$GR$205^A49,IF(A49='Données projet'!$A$270,'Données projet'!$B$270,GU48+GT49-HC48)))</f>
        <v>261.96153846153834</v>
      </c>
      <c r="GV49" s="17">
        <f>GU49*VLOOKUP('Données projet'!$B$18,Paramètres!$A$1:$I$89,3,0)*VLOOKUP('Données projet'!$B$18,Paramètres!$A$1:$I$89,5,0)</f>
        <v>156.65299999999993</v>
      </c>
      <c r="GW49" s="13">
        <f t="shared" si="51"/>
        <v>40.0866638793565</v>
      </c>
      <c r="GX49" s="20">
        <f t="shared" si="28"/>
        <v>342.65491458987913</v>
      </c>
      <c r="GY49" s="59">
        <f t="shared" si="29"/>
        <v>635.98824792321238</v>
      </c>
      <c r="GZ49" s="59">
        <f ca="1">AVERAGE(OFFSET($GY$3,0,0,'Données projet'!$E$18+1,1))-AVERAGE(OFFSET($H$3,0,0,'Données projet'!$E$18+1,1))</f>
        <v>171.96009656745713</v>
      </c>
      <c r="HA49" s="59">
        <f t="shared" si="52"/>
        <v>172.37574906747716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>
        <f>EXP(-LN(2)/35)*HG48+(1-EXP(-LN(2)/35))/(LN(2)/35)*HC49*HD49*VLOOKUP('Données projet'!$B$18,Paramètres!$A$1:$I$89,3,0)*0.475*44/12</f>
        <v>1.2150538941805424</v>
      </c>
      <c r="HH49" s="21">
        <f>EXP(-LN(2)/25)*HH48+(1-EXP(-LN(2)/25))/(LN(2)/25)*Calculateur!HC49*Calculateur!HE49*VLOOKUP('Données projet'!$B$18,Paramètres!$A$1:$I$89,3,0)*0.475*44/12</f>
        <v>13.191674170837796</v>
      </c>
      <c r="HI49" s="21">
        <f>EXP(-LN(2)/2)*HI48+(1-EXP(-LN(2)/2))/(LN(2)/2)*HC49*HF49*VLOOKUP('Données projet'!$B$18,Paramètres!$A$1:$I$89,3,0)*0.475*44/12</f>
        <v>4.704930187393036E-2</v>
      </c>
      <c r="HJ49" s="22">
        <f t="shared" si="30"/>
        <v>14.453777366892268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21.625641025641027</v>
      </c>
      <c r="N50" s="13">
        <f>IF('Données projet'!$A$36&gt;35,N49+M50-V49,IF(A50&lt;'Données projet'!$A$36,$K$205^A50,IF(A50='Données projet'!$A$36,'Données projet'!$B$36,N49+M50-V49)))</f>
        <v>503.45897435897416</v>
      </c>
      <c r="O50" s="13">
        <f>N50*VLOOKUP('Données projet'!$B$9,Paramètres!$A$1:$I$89,3,0)*VLOOKUP('Données projet'!$B$9,Paramètres!$A$1:$I$89,5,0)</f>
        <v>281.43356666666659</v>
      </c>
      <c r="P50" s="13">
        <f t="shared" si="33"/>
        <v>67.26987262617007</v>
      </c>
      <c r="Q50" s="20">
        <f t="shared" si="53"/>
        <v>607.32515676835726</v>
      </c>
      <c r="R50" s="59">
        <f t="shared" si="0"/>
        <v>900.65849010169063</v>
      </c>
      <c r="S50" s="59">
        <f ca="1">AVERAGE(OFFSET($R$3,0,0,'Données projet'!$E$9+1,1))-AVERAGE(OFFSET($H$3,0,0,'Données projet'!$E$9+1,1))</f>
        <v>255.5374979188561</v>
      </c>
      <c r="T50" s="59">
        <f t="shared" si="34"/>
        <v>343.10418468620901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2.2067322956538082</v>
      </c>
      <c r="AA50" s="21">
        <f>EXP(-LN(2)/25)*AA49+(1-EXP(-LN(2)/25))/(LN(2)/25)*Calculateur!V50*Calculateur!X50*VLOOKUP('Données projet'!$B$9,Paramètres!$A$1:$I$89,3,0)*0.475*44/12</f>
        <v>9.9618395203497148</v>
      </c>
      <c r="AB50" s="21">
        <f>EXP(-LN(2)/2)*AB49+(1-EXP(-LN(2)/2))/(LN(2)/2)*V50*Y50*VLOOKUP('Données projet'!$B$9,Paramètres!$A$1:$I$89,3,0)*0.475*44/12</f>
        <v>4.6753350139510973E-3</v>
      </c>
      <c r="AC50" s="22">
        <f t="shared" si="3"/>
        <v>12.173247151017474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15.618681318681309</v>
      </c>
      <c r="AI50" s="13">
        <f>IF('Données projet'!$A$62&gt;35,AI49+AH50-AQ49,IF(A50&lt;'Données projet'!$A$62,$AF$205^A50,IF(A50='Données projet'!$A$62,'Données projet'!$B$62,AI49+AH50-AQ49)))</f>
        <v>308.61648351648358</v>
      </c>
      <c r="AJ50" s="13">
        <f>AI50*VLOOKUP('Données projet'!$B$10,Paramètres!$A$1:$I$89,3,0)*VLOOKUP('Données projet'!$B$10,Paramètres!$A$1:$I$89,5,0)</f>
        <v>144.43251428571432</v>
      </c>
      <c r="AK50" s="13">
        <f t="shared" si="35"/>
        <v>37.310582871696397</v>
      </c>
      <c r="AL50" s="20">
        <f t="shared" si="4"/>
        <v>316.5358942158237</v>
      </c>
      <c r="AM50" s="59">
        <f t="shared" si="5"/>
        <v>609.86922754915702</v>
      </c>
      <c r="AN50" s="59">
        <f ca="1">AVERAGE(OFFSET($AM$3,0,0,'Données projet'!$E$10+1,1))-AVERAGE(OFFSET($H$3,0,0,'Données projet'!$E$10+1,1))</f>
        <v>158.58786357608489</v>
      </c>
      <c r="AO50" s="59">
        <f t="shared" si="36"/>
        <v>163.20074068819849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15.21153846153846</v>
      </c>
      <c r="BD50" s="12">
        <f>IF('Données projet'!$A$88&gt;35,BD49+BC50-BL49,IF(A50&lt;'Données projet'!$A$88,$BA$205^A50,IF(A50='Données projet'!$A$88,'Données projet'!$B$88,BD49+BC50-BL49)))</f>
        <v>412.53461538461534</v>
      </c>
      <c r="BE50" s="13">
        <f>BD50*VLOOKUP('Données projet'!$B$11,Paramètres!$A$1:$I$89,3,0)*VLOOKUP('Données projet'!$B$11,Paramètres!$A$1:$I$89,5,0)</f>
        <v>246.69569999999999</v>
      </c>
      <c r="BF50" s="13">
        <f t="shared" si="37"/>
        <v>59.877827754324372</v>
      </c>
      <c r="BG50" s="20">
        <f t="shared" si="7"/>
        <v>533.94889417211482</v>
      </c>
      <c r="BH50" s="59">
        <f t="shared" si="8"/>
        <v>827.28222750544819</v>
      </c>
      <c r="BI50" s="59">
        <f ca="1">AVERAGE(OFFSET($BH$3,0,0,'Données projet'!$E$11+1,1))-AVERAGE(OFFSET($H$3,0,0,'Données projet'!$E$11+1,1))</f>
        <v>243.85350804244348</v>
      </c>
      <c r="BJ50" s="59">
        <f t="shared" si="38"/>
        <v>304.60992308960545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3.2320960396968137</v>
      </c>
      <c r="BQ50" s="21">
        <f>EXP(-LN(2)/25)*BQ49+(1-EXP(-LN(2)/25))/(LN(2)/25)*Calculateur!BL50*Calculateur!BN50*VLOOKUP('Données projet'!$B$11,Paramètres!$A$1:$I$89,3,0)*0.475*44/12</f>
        <v>11.065764206992673</v>
      </c>
      <c r="BR50" s="21">
        <f>EXP(-LN(2)/2)*BR49+(1-EXP(-LN(2)/2))/(LN(2)/2)*BL50*BO50*VLOOKUP('Données projet'!$B$11,Paramètres!$A$1:$I$89,3,0)*0.475*44/12</f>
        <v>1.0325489558770537E-2</v>
      </c>
      <c r="BS50" s="22">
        <f t="shared" si="9"/>
        <v>14.308185736248257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16.2</v>
      </c>
      <c r="BY50" s="12">
        <f>IF('Données projet'!$A$114&gt;35,BY49+BX50-CG49,IF(A50&lt;'Données projet'!$A$114,$BV$205^A50,IF(A50='Données projet'!$A$114,'Données projet'!$B$114,BY49+BX50-CG49)))</f>
        <v>331.39999999999986</v>
      </c>
      <c r="BZ50" s="13">
        <f>BY50*VLOOKUP('Données projet'!$B$12,Paramètres!$A$1:$I$89,3,0)*VLOOKUP('Données projet'!$B$12,Paramètres!$A$1:$I$89,5,0)</f>
        <v>198.17719999999991</v>
      </c>
      <c r="CA50" s="13">
        <f t="shared" si="39"/>
        <v>49.343358241667282</v>
      </c>
      <c r="CB50" s="20">
        <f t="shared" si="10"/>
        <v>431.09830560423705</v>
      </c>
      <c r="CC50" s="59">
        <f t="shared" si="11"/>
        <v>724.43163893757037</v>
      </c>
      <c r="CD50" s="59">
        <f ca="1">AVERAGE(OFFSET($CC$3,0,0,'Données projet'!$E$12+1,1))-AVERAGE(OFFSET($H$3,0,0,'Données projet'!$E$12+1,1))</f>
        <v>270.30888762640245</v>
      </c>
      <c r="CE50" s="59">
        <f t="shared" si="40"/>
        <v>202.23783851977691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1.5296030301175323</v>
      </c>
      <c r="CL50" s="21">
        <f>EXP(-LN(2)/25)*CL49+(1-EXP(-LN(2)/25))/(LN(2)/25)*Calculateur!CG50*Calculateur!CI50*VLOOKUP('Données projet'!$B$12,Paramètres!$A$1:$I$89,3,0)*0.475*44/12</f>
        <v>7.6742419832564313</v>
      </c>
      <c r="CM50" s="21">
        <f>EXP(-LN(2)/2)*CM49+(1-EXP(-LN(2)/2))/(LN(2)/2)*CG50*CJ50*VLOOKUP('Données projet'!$B$12,Paramètres!$A$1:$I$89,3,0)*0.475*44/12</f>
        <v>5.1079097395766673E-2</v>
      </c>
      <c r="CN50" s="22">
        <f t="shared" si="12"/>
        <v>9.254924110769732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9.1999999999999993</v>
      </c>
      <c r="CT50" s="12">
        <f>IF('Données projet'!$A$140&gt;35,CT49+CS50-DB49,IF(A50&lt;'Données projet'!$A$140,$CQ$205^A50,IF(A50='Données projet'!$A$140,'Données projet'!$B$140,CT49+CS50-DB49)))</f>
        <v>257.39999999999986</v>
      </c>
      <c r="CU50" s="17">
        <f>CT50*VLOOKUP('Données projet'!$B$13,Paramètres!$A$1:$I$89,3,0)*VLOOKUP('Données projet'!$B$13,Paramètres!$A$1:$I$89,5,0)</f>
        <v>204.78743999999992</v>
      </c>
      <c r="CV50" s="13">
        <f t="shared" si="41"/>
        <v>50.794849254094281</v>
      </c>
      <c r="CW50" s="20">
        <f t="shared" si="13"/>
        <v>445.1391537842141</v>
      </c>
      <c r="CX50" s="59">
        <f t="shared" si="14"/>
        <v>738.47248711754742</v>
      </c>
      <c r="CY50" s="59">
        <f ca="1">AVERAGE(OFFSET($CX$3,0,0,'Données projet'!$E$13+1,1))-AVERAGE(OFFSET($H$3,0,0,'Données projet'!$E$13+1,1))</f>
        <v>260.20517190557814</v>
      </c>
      <c r="CZ50" s="59">
        <f t="shared" si="42"/>
        <v>307.22009971147133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2.3302430702780872</v>
      </c>
      <c r="DG50" s="21">
        <f>EXP(-LN(2)/25)*DG49+(1-EXP(-LN(2)/25))/(LN(2)/25)*Calculateur!DB50*Calculateur!DD50*VLOOKUP('Données projet'!$B$13,Paramètres!$A$1:$I$89,3,0)*0.475*44/12</f>
        <v>12.807623466344426</v>
      </c>
      <c r="DH50" s="21">
        <f>EXP(-LN(2)/2)*DH49+(1-EXP(-LN(2)/2))/(LN(2)/2)*DB50*DE50*VLOOKUP('Données projet'!$B$13,Paramètres!$A$1:$I$89,3,0)*0.475*44/12</f>
        <v>6.639907864570456E-2</v>
      </c>
      <c r="DI50" s="22">
        <f t="shared" si="15"/>
        <v>15.204265615268216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9.3452380952380913</v>
      </c>
      <c r="DO50" s="12">
        <f>IF('Données projet'!$A$166&gt;35,DO49+DN50-DW49,IF(A50&lt;'Données projet'!$A$166,$DL$205^A50,IF(A50='Données projet'!$A$166,'Données projet'!$B$166,DO49+DN50-DW49)))</f>
        <v>175.00732600732604</v>
      </c>
      <c r="DP50" s="17">
        <f>DO50*VLOOKUP('Données projet'!$B$14,Paramètres!$A$1:$I$89,3,0)*VLOOKUP('Données projet'!$B$14,Paramètres!$A$1:$I$89,5,0)</f>
        <v>177.45742857142864</v>
      </c>
      <c r="DQ50" s="13">
        <f t="shared" si="43"/>
        <v>44.756043364287997</v>
      </c>
      <c r="DR50" s="20">
        <f t="shared" si="16"/>
        <v>387.02179695470642</v>
      </c>
      <c r="DS50" s="59">
        <f t="shared" si="17"/>
        <v>680.35513028803973</v>
      </c>
      <c r="DT50" s="59">
        <f ca="1">AVERAGE(OFFSET($DS$3,0,0,'Données projet'!$E$14+1,1))-AVERAGE(OFFSET($H$3,0,0,'Données projet'!$E$14+1,1))</f>
        <v>263.15518481854753</v>
      </c>
      <c r="DU50" s="59">
        <f t="shared" si="44"/>
        <v>210.80755370263819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0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9.1999999999999993</v>
      </c>
      <c r="EJ50" s="12">
        <f>IF('Données projet'!$A$192&gt;35,EJ49+EI50-ER49,IF(A50&lt;'Données projet'!$A$192,$EG$205^A50,IF(A50='Données projet'!$A$192,'Données projet'!$B$192,EJ49+EI50-ER49)))</f>
        <v>257.39999999999986</v>
      </c>
      <c r="EK50" s="17">
        <f>EJ50*VLOOKUP('Données projet'!$B$15,Paramètres!$A$1:$I$89,3,0)*VLOOKUP('Données projet'!$B$15,Paramètres!$A$1:$I$89,5,0)</f>
        <v>172.66391999999993</v>
      </c>
      <c r="EL50" s="13">
        <f t="shared" si="45"/>
        <v>43.686112068665423</v>
      </c>
      <c r="EM50" s="20">
        <f t="shared" si="19"/>
        <v>376.80963918625883</v>
      </c>
      <c r="EN50" s="59">
        <f t="shared" si="20"/>
        <v>670.14297251959215</v>
      </c>
      <c r="EO50" s="59">
        <f ca="1">AVERAGE(OFFSET($EN$3,0,0,'Données projet'!$E$15+1,1))-AVERAGE(OFFSET($H$3,0,0,'Données projet'!$E$15+1,1))</f>
        <v>207.93042467236967</v>
      </c>
      <c r="EP50" s="59">
        <f t="shared" si="46"/>
        <v>250.70954318710835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1.9647147455285829</v>
      </c>
      <c r="EW50" s="21">
        <f>EXP(-LN(2)/25)*EW49+(1-EXP(-LN(2)/25))/(LN(2)/25)*Calculateur!ER50*Calculateur!ET50*VLOOKUP('Données projet'!$B$15,Paramètres!$A$1:$I$89,3,0)*0.475*44/12</f>
        <v>10.798584491231578</v>
      </c>
      <c r="EX50" s="21">
        <f>EXP(-LN(2)/2)*EX49+(1-EXP(-LN(2)/2))/(LN(2)/2)*ER50*EU50*VLOOKUP('Données projet'!$B$15,Paramètres!$A$1:$I$89,3,0)*0.475*44/12</f>
        <v>5.5983536897358743E-2</v>
      </c>
      <c r="EY50" s="22">
        <f t="shared" si="21"/>
        <v>12.81928277365752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9.3452380952380913</v>
      </c>
      <c r="FE50" s="12">
        <f>IF('Données projet'!$A$218&gt;35,FE49+FD50-FM49,IF(A50&lt;'Données projet'!$A$218,$FB$205^A50,IF(A50='Données projet'!$A$218,'Données projet'!$B$218,FE49+FD50-FM49)))</f>
        <v>175.00732600732604</v>
      </c>
      <c r="FF50" s="17">
        <f>FE50*VLOOKUP('Données projet'!$B$16,Paramètres!$A$1:$I$89,3,0)*VLOOKUP('Données projet'!$B$16,Paramètres!$A$1:$I$89,5,0)</f>
        <v>188.37788571428575</v>
      </c>
      <c r="FG50" s="13">
        <f t="shared" si="47"/>
        <v>47.181147651053102</v>
      </c>
      <c r="FH50" s="20">
        <f t="shared" si="22"/>
        <v>410.26531644463176</v>
      </c>
      <c r="FI50" s="59">
        <f t="shared" si="23"/>
        <v>703.59864977796508</v>
      </c>
      <c r="FJ50" s="59">
        <f ca="1">AVERAGE(OFFSET($FI$3,0,0,'Données projet'!$E$16+1,1))-AVERAGE(OFFSET($H$3,0,0,'Données projet'!$E$16+1,1))</f>
        <v>286.77702855541287</v>
      </c>
      <c r="FK50" s="59">
        <f t="shared" si="48"/>
        <v>227.12211541860779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0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0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11.443589743589742</v>
      </c>
      <c r="FZ50" s="12">
        <f>IF('Données projet'!$A$244&gt;35,FZ49+FY50-GH49,IF(A50&lt;'Données projet'!$A$244,$FW$205^A50,IF(A50='Données projet'!$A$244,'Données projet'!$B$244,FZ49+FY50-GH49)))</f>
        <v>341.79487179487194</v>
      </c>
      <c r="GA50" s="17">
        <f>FZ50*VLOOKUP('Données projet'!$B$17,Paramètres!$A$1:$I$89,3,0)*VLOOKUP('Données projet'!$B$17,Paramètres!$A$1:$I$89,5,0)</f>
        <v>159.96000000000006</v>
      </c>
      <c r="GB50" s="13">
        <f t="shared" si="49"/>
        <v>40.833493163758575</v>
      </c>
      <c r="GC50" s="20">
        <f t="shared" si="25"/>
        <v>349.71533392687957</v>
      </c>
      <c r="GD50" s="59">
        <f t="shared" si="26"/>
        <v>643.04866726021282</v>
      </c>
      <c r="GE50" s="59">
        <f ca="1">AVERAGE(OFFSET($GD$3,0,0,'Données projet'!$E$17+1,1))-AVERAGE(OFFSET($H$3,0,0,'Données projet'!$E$17+1,1))</f>
        <v>123.2823358462245</v>
      </c>
      <c r="GF50" s="59">
        <f t="shared" si="50"/>
        <v>92.75115399786057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0</v>
      </c>
      <c r="GM50" s="21">
        <f>EXP(-LN(2)/25)*GM49+(1-EXP(-LN(2)/25))/(LN(2)/25)*Calculateur!GH50*Calculateur!GJ50*VLOOKUP('Données projet'!$B$17,Paramètres!$A$1:$I$89,3,0)*0.475*44/12</f>
        <v>0</v>
      </c>
      <c r="GN50" s="21">
        <f>EXP(-LN(2)/2)*GN49+(1-EXP(-LN(2)/2))/(LN(2)/2)*GH50*GK50*VLOOKUP('Données projet'!$B$17,Paramètres!$A$1:$I$89,3,0)*0.475*44/12</f>
        <v>0</v>
      </c>
      <c r="GO50" s="21">
        <f t="shared" si="27"/>
        <v>0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11.642307692307689</v>
      </c>
      <c r="GU50" s="12">
        <f>IF('Données projet'!$A$270&gt;35,GU49+GT50-HC49,IF(A50&lt;'Données projet'!$A$270,$GR$205^A50,IF(A50='Données projet'!$A$270,'Données projet'!$B$270,GU49+GT50-HC49)))</f>
        <v>273.60384615384601</v>
      </c>
      <c r="GV50" s="17">
        <f>GU50*VLOOKUP('Données projet'!$B$18,Paramètres!$A$1:$I$89,3,0)*VLOOKUP('Données projet'!$B$18,Paramètres!$A$1:$I$89,5,0)</f>
        <v>163.61509999999993</v>
      </c>
      <c r="GW50" s="13">
        <f t="shared" si="51"/>
        <v>41.656847972292042</v>
      </c>
      <c r="GX50" s="20">
        <f t="shared" si="28"/>
        <v>357.51530938507517</v>
      </c>
      <c r="GY50" s="59">
        <f t="shared" si="29"/>
        <v>650.84864271840843</v>
      </c>
      <c r="GZ50" s="59">
        <f ca="1">AVERAGE(OFFSET($GY$3,0,0,'Données projet'!$E$18+1,1))-AVERAGE(OFFSET($H$3,0,0,'Données projet'!$E$18+1,1))</f>
        <v>171.96009656745713</v>
      </c>
      <c r="HA50" s="59">
        <f t="shared" si="52"/>
        <v>172.37574906747716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>
        <f>EXP(-LN(2)/35)*HG49+(1-EXP(-LN(2)/35))/(LN(2)/35)*HC50*HD50*VLOOKUP('Données projet'!$B$18,Paramètres!$A$1:$I$89,3,0)*0.475*44/12</f>
        <v>1.191227428425359</v>
      </c>
      <c r="HH50" s="21">
        <f>EXP(-LN(2)/25)*HH49+(1-EXP(-LN(2)/25))/(LN(2)/25)*Calculateur!HC50*Calculateur!HE50*VLOOKUP('Données projet'!$B$18,Paramètres!$A$1:$I$89,3,0)*0.475*44/12</f>
        <v>12.830947146916243</v>
      </c>
      <c r="HI50" s="21">
        <f>EXP(-LN(2)/2)*HI49+(1-EXP(-LN(2)/2))/(LN(2)/2)*HC50*HF50*VLOOKUP('Données projet'!$B$18,Paramètres!$A$1:$I$89,3,0)*0.475*44/12</f>
        <v>3.3268880405149096E-2</v>
      </c>
      <c r="HJ50" s="22">
        <f t="shared" si="30"/>
        <v>14.055443455746751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525.0846153846154</v>
      </c>
      <c r="L51" s="12">
        <f>VLOOKUP(A51,'Données projet'!$A$35:$I$55,9,0)</f>
        <v>21.625641025641027</v>
      </c>
      <c r="M51" s="12">
        <f t="array" ref="M51">INDEX(L:L,MIN(IF(ISNUMBER(L51:L247),ROW(L51:L247),"")))</f>
        <v>21.625641025641027</v>
      </c>
      <c r="N51" s="13">
        <f>IF('Données projet'!$A$36&gt;35,N50+M51-V50,IF(A51&lt;'Données projet'!$A$36,$K$205^A51,IF(A51='Données projet'!$A$36,'Données projet'!$B$36,N50+M51-V50)))</f>
        <v>525.08461538461518</v>
      </c>
      <c r="O51" s="13">
        <f>N51*VLOOKUP('Données projet'!$B$9,Paramètres!$A$1:$I$89,3,0)*VLOOKUP('Données projet'!$B$9,Paramètres!$A$1:$I$89,5,0)</f>
        <v>293.52229999999986</v>
      </c>
      <c r="P51" s="13">
        <f t="shared" si="33"/>
        <v>69.816768342057628</v>
      </c>
      <c r="Q51" s="20">
        <f t="shared" si="53"/>
        <v>632.81554402908341</v>
      </c>
      <c r="R51" s="59">
        <f t="shared" si="0"/>
        <v>926.14887736241667</v>
      </c>
      <c r="S51" s="59">
        <f ca="1">AVERAGE(OFFSET($R$3,0,0,'Données projet'!$E$9+1,1))-AVERAGE(OFFSET($H$3,0,0,'Données projet'!$E$9+1,1))</f>
        <v>255.5374979188561</v>
      </c>
      <c r="T51" s="59">
        <f t="shared" si="34"/>
        <v>343.10418468620901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81.330769230769235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2.1634596213098334</v>
      </c>
      <c r="AA51" s="21">
        <f>EXP(-LN(2)/25)*AA50+(1-EXP(-LN(2)/25))/(LN(2)/25)*Calculateur!V51*Calculateur!X51*VLOOKUP('Données projet'!$B$9,Paramètres!$A$1:$I$89,3,0)*0.475*44/12</f>
        <v>9.6894324947953798</v>
      </c>
      <c r="AB51" s="21">
        <f>EXP(-LN(2)/2)*AB50+(1-EXP(-LN(2)/2))/(LN(2)/2)*V51*Y51*VLOOKUP('Données projet'!$B$9,Paramètres!$A$1:$I$89,3,0)*0.475*44/12</f>
        <v>3.3059610926837227E-3</v>
      </c>
      <c r="AC51" s="22">
        <f t="shared" si="3"/>
        <v>11.856198077197897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15.618681318681309</v>
      </c>
      <c r="AI51" s="13">
        <f>IF('Données projet'!$A$62&gt;35,AI50+AH51-AQ50,IF(A51&lt;'Données projet'!$A$62,$AF$205^A51,IF(A51='Données projet'!$A$62,'Données projet'!$B$62,AI50+AH51-AQ50)))</f>
        <v>324.23516483516488</v>
      </c>
      <c r="AJ51" s="13">
        <f>AI51*VLOOKUP('Données projet'!$B$10,Paramètres!$A$1:$I$89,3,0)*VLOOKUP('Données projet'!$B$10,Paramètres!$A$1:$I$89,5,0)</f>
        <v>151.74205714285716</v>
      </c>
      <c r="AK51" s="13">
        <f t="shared" si="35"/>
        <v>38.974207918733512</v>
      </c>
      <c r="AL51" s="20">
        <f t="shared" si="4"/>
        <v>332.16416164893707</v>
      </c>
      <c r="AM51" s="59">
        <f t="shared" si="5"/>
        <v>625.49749498227038</v>
      </c>
      <c r="AN51" s="59">
        <f ca="1">AVERAGE(OFFSET($AM$3,0,0,'Données projet'!$E$10+1,1))-AVERAGE(OFFSET($H$3,0,0,'Données projet'!$E$10+1,1))</f>
        <v>158.58786357608489</v>
      </c>
      <c r="AO51" s="59">
        <f t="shared" si="36"/>
        <v>163.20074068819849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>
        <f>VLOOKUP(A51,'Données projet'!$A$87:$I$107,2,0)</f>
        <v>427.74615384615385</v>
      </c>
      <c r="BB51" s="12">
        <f>VLOOKUP(A51,'Données projet'!$A$87:$I$107,9,0)</f>
        <v>15.21153846153846</v>
      </c>
      <c r="BC51" s="12">
        <f t="array" ref="BC51">INDEX(BB:BB,MIN(IF(ISNUMBER(BB51:BB247),ROW(BB51:BB247),"")))</f>
        <v>15.21153846153846</v>
      </c>
      <c r="BD51" s="12">
        <f>IF('Données projet'!$A$88&gt;35,BD50+BC51-BL50,IF(A51&lt;'Données projet'!$A$88,$BA$205^A51,IF(A51='Données projet'!$A$88,'Données projet'!$B$88,BD50+BC51-BL50)))</f>
        <v>427.74615384615379</v>
      </c>
      <c r="BE51" s="13">
        <f>BD51*VLOOKUP('Données projet'!$B$11,Paramètres!$A$1:$I$89,3,0)*VLOOKUP('Données projet'!$B$11,Paramètres!$A$1:$I$89,5,0)</f>
        <v>255.79219999999998</v>
      </c>
      <c r="BF51" s="13">
        <f t="shared" si="37"/>
        <v>61.824595084245523</v>
      </c>
      <c r="BG51" s="20">
        <f t="shared" si="7"/>
        <v>553.18258477172765</v>
      </c>
      <c r="BH51" s="59">
        <f t="shared" si="8"/>
        <v>846.51591810506102</v>
      </c>
      <c r="BI51" s="59">
        <f ca="1">AVERAGE(OFFSET($BH$3,0,0,'Données projet'!$E$11+1,1))-AVERAGE(OFFSET($H$3,0,0,'Données projet'!$E$11+1,1))</f>
        <v>243.85350804244348</v>
      </c>
      <c r="BJ51" s="59">
        <f t="shared" si="38"/>
        <v>304.60992308960545</v>
      </c>
      <c r="BK51" s="15">
        <f>IF(ISNA(VLOOKUP(A51,'Données projet'!$A$87:$I$107,3,0)),0,VLOOKUP(A51,'Données projet'!$A$87:$I$107,3,0))</f>
        <v>6</v>
      </c>
      <c r="BL51" s="15">
        <f>IF(ISNA(VLOOKUP(A51,'Données projet'!$A$87:$I$107,4,0)),0,VLOOKUP(A51,'Données projet'!$A$87:$I$107,4,0))</f>
        <v>83.969230769230762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3.1687166077422853</v>
      </c>
      <c r="BQ51" s="21">
        <f>EXP(-LN(2)/25)*BQ50+(1-EXP(-LN(2)/25))/(LN(2)/25)*Calculateur!BL51*Calculateur!BN51*VLOOKUP('Données projet'!$B$11,Paramètres!$A$1:$I$89,3,0)*0.475*44/12</f>
        <v>10.763170302829209</v>
      </c>
      <c r="BR51" s="21">
        <f>EXP(-LN(2)/2)*BR50+(1-EXP(-LN(2)/2))/(LN(2)/2)*BL51*BO51*VLOOKUP('Données projet'!$B$11,Paramètres!$A$1:$I$89,3,0)*0.475*44/12</f>
        <v>7.3012236860775393E-3</v>
      </c>
      <c r="BS51" s="22">
        <f t="shared" si="9"/>
        <v>13.939188134257572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16.2</v>
      </c>
      <c r="BY51" s="12">
        <f>IF('Données projet'!$A$114&gt;35,BY50+BX51-CG50,IF(A51&lt;'Données projet'!$A$114,$BV$205^A51,IF(A51='Données projet'!$A$114,'Données projet'!$B$114,BY50+BX51-CG50)))</f>
        <v>347.59999999999985</v>
      </c>
      <c r="BZ51" s="13">
        <f>BY51*VLOOKUP('Données projet'!$B$12,Paramètres!$A$1:$I$89,3,0)*VLOOKUP('Données projet'!$B$12,Paramètres!$A$1:$I$89,5,0)</f>
        <v>207.86479999999992</v>
      </c>
      <c r="CA51" s="13">
        <f t="shared" si="39"/>
        <v>51.468713616997725</v>
      </c>
      <c r="CB51" s="20">
        <f t="shared" si="10"/>
        <v>451.67253621627088</v>
      </c>
      <c r="CC51" s="59">
        <f t="shared" si="11"/>
        <v>745.0058695496042</v>
      </c>
      <c r="CD51" s="59">
        <f ca="1">AVERAGE(OFFSET($CC$3,0,0,'Données projet'!$E$12+1,1))-AVERAGE(OFFSET($H$3,0,0,'Données projet'!$E$12+1,1))</f>
        <v>270.30888762640245</v>
      </c>
      <c r="CE51" s="59">
        <f t="shared" si="40"/>
        <v>202.23783851977691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1.4996084476626532</v>
      </c>
      <c r="CL51" s="21">
        <f>EXP(-LN(2)/25)*CL50+(1-EXP(-LN(2)/25))/(LN(2)/25)*Calculateur!CG51*Calculateur!CI51*VLOOKUP('Données projet'!$B$12,Paramètres!$A$1:$I$89,3,0)*0.475*44/12</f>
        <v>7.4643894326534381</v>
      </c>
      <c r="CM51" s="21">
        <f>EXP(-LN(2)/2)*CM50+(1-EXP(-LN(2)/2))/(LN(2)/2)*CG51*CJ51*VLOOKUP('Données projet'!$B$12,Paramètres!$A$1:$I$89,3,0)*0.475*44/12</f>
        <v>3.6118376145434734E-2</v>
      </c>
      <c r="CN51" s="22">
        <f t="shared" si="12"/>
        <v>9.000116256461526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9.1999999999999993</v>
      </c>
      <c r="CT51" s="12">
        <f>IF('Données projet'!$A$140&gt;35,CT50+CS51-DB50,IF(A51&lt;'Données projet'!$A$140,$CQ$205^A51,IF(A51='Données projet'!$A$140,'Données projet'!$B$140,CT50+CS51-DB50)))</f>
        <v>266.59999999999985</v>
      </c>
      <c r="CU51" s="17">
        <f>CT51*VLOOKUP('Données projet'!$B$13,Paramètres!$A$1:$I$89,3,0)*VLOOKUP('Données projet'!$B$13,Paramètres!$A$1:$I$89,5,0)</f>
        <v>212.10695999999987</v>
      </c>
      <c r="CV51" s="13">
        <f t="shared" si="41"/>
        <v>52.395741612408194</v>
      </c>
      <c r="CW51" s="20">
        <f t="shared" si="13"/>
        <v>460.67553864161073</v>
      </c>
      <c r="CX51" s="59">
        <f t="shared" si="14"/>
        <v>754.00887197494399</v>
      </c>
      <c r="CY51" s="59">
        <f ca="1">AVERAGE(OFFSET($CX$3,0,0,'Données projet'!$E$13+1,1))-AVERAGE(OFFSET($H$3,0,0,'Données projet'!$E$13+1,1))</f>
        <v>260.20517190557814</v>
      </c>
      <c r="CZ51" s="59">
        <f t="shared" si="42"/>
        <v>307.22009971147133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2.2845484249778645</v>
      </c>
      <c r="DG51" s="21">
        <f>EXP(-LN(2)/25)*DG50+(1-EXP(-LN(2)/25))/(LN(2)/25)*Calculateur!DB51*Calculateur!DD51*VLOOKUP('Données projet'!$B$13,Paramètres!$A$1:$I$89,3,0)*0.475*44/12</f>
        <v>12.457398329133591</v>
      </c>
      <c r="DH51" s="21">
        <f>EXP(-LN(2)/2)*DH50+(1-EXP(-LN(2)/2))/(LN(2)/2)*DB51*DE51*VLOOKUP('Données projet'!$B$13,Paramètres!$A$1:$I$89,3,0)*0.475*44/12</f>
        <v>4.6951238774916575E-2</v>
      </c>
      <c r="DI51" s="22">
        <f t="shared" si="15"/>
        <v>14.788897992886373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>
        <f>VLOOKUP(A51,'Données projet'!$A$165:$I$185,2,0)</f>
        <v>184.35256410256409</v>
      </c>
      <c r="DM51" s="12">
        <f>VLOOKUP(A51,'Données projet'!$A$165:$I$185,9,0)</f>
        <v>9.3452380952380913</v>
      </c>
      <c r="DN51" s="12">
        <f t="array" ref="DN51">INDEX(DM:DM,MIN(IF(ISNUMBER(DM51:DM247),ROW(DM51:DM247),"")))</f>
        <v>9.3452380952380913</v>
      </c>
      <c r="DO51" s="12">
        <f>IF('Données projet'!$A$166&gt;35,DO50+DN51-DW50,IF(A51&lt;'Données projet'!$A$166,$DL$205^A51,IF(A51='Données projet'!$A$166,'Données projet'!$B$166,DO50+DN51-DW50)))</f>
        <v>184.35256410256414</v>
      </c>
      <c r="DP51" s="17">
        <f>DO51*VLOOKUP('Données projet'!$B$14,Paramètres!$A$1:$I$89,3,0)*VLOOKUP('Données projet'!$B$14,Paramètres!$A$1:$I$89,5,0)</f>
        <v>186.93350000000004</v>
      </c>
      <c r="DQ51" s="13">
        <f t="shared" si="43"/>
        <v>46.861352563060628</v>
      </c>
      <c r="DR51" s="20">
        <f t="shared" si="16"/>
        <v>407.19270154733061</v>
      </c>
      <c r="DS51" s="59">
        <f t="shared" si="17"/>
        <v>700.52603488066393</v>
      </c>
      <c r="DT51" s="59">
        <f ca="1">AVERAGE(OFFSET($DS$3,0,0,'Données projet'!$E$14+1,1))-AVERAGE(OFFSET($H$3,0,0,'Données projet'!$E$14+1,1))</f>
        <v>263.15518481854753</v>
      </c>
      <c r="DU51" s="59">
        <f t="shared" si="44"/>
        <v>210.80755370263819</v>
      </c>
      <c r="DV51" s="15">
        <f>IF(ISNA(VLOOKUP(A51,'Données projet'!$A$165:$I$185,3,0)),0,VLOOKUP(A51,'Données projet'!$A$165:$I$185,3,0))</f>
        <v>3</v>
      </c>
      <c r="DW51" s="15">
        <f>IF(ISNA(VLOOKUP(A51,'Données projet'!$A$165:$I$185,4,0)),0,VLOOKUP(A51,'Données projet'!$A$165:$I$185,4,0))</f>
        <v>48.025641025641022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0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9.1999999999999993</v>
      </c>
      <c r="EJ51" s="12">
        <f>IF('Données projet'!$A$192&gt;35,EJ50+EI51-ER50,IF(A51&lt;'Données projet'!$A$192,$EG$205^A51,IF(A51='Données projet'!$A$192,'Données projet'!$B$192,EJ50+EI51-ER50)))</f>
        <v>266.59999999999985</v>
      </c>
      <c r="EK51" s="17">
        <f>EJ51*VLOOKUP('Données projet'!$B$15,Paramètres!$A$1:$I$89,3,0)*VLOOKUP('Données projet'!$B$15,Paramètres!$A$1:$I$89,5,0)</f>
        <v>178.8352799999999</v>
      </c>
      <c r="EL51" s="13">
        <f t="shared" si="45"/>
        <v>45.062959603448384</v>
      </c>
      <c r="EM51" s="20">
        <f t="shared" si="19"/>
        <v>389.95610064267242</v>
      </c>
      <c r="EN51" s="59">
        <f t="shared" si="20"/>
        <v>683.28943397600574</v>
      </c>
      <c r="EO51" s="59">
        <f ca="1">AVERAGE(OFFSET($EN$3,0,0,'Données projet'!$E$15+1,1))-AVERAGE(OFFSET($H$3,0,0,'Données projet'!$E$15+1,1))</f>
        <v>207.93042467236967</v>
      </c>
      <c r="EP51" s="59">
        <f t="shared" si="46"/>
        <v>250.70954318710835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1.9261878877264342</v>
      </c>
      <c r="EW51" s="21">
        <f>EXP(-LN(2)/25)*EW50+(1-EXP(-LN(2)/25))/(LN(2)/25)*Calculateur!ER51*Calculateur!ET51*VLOOKUP('Données projet'!$B$15,Paramètres!$A$1:$I$89,3,0)*0.475*44/12</f>
        <v>10.503296630445973</v>
      </c>
      <c r="EX51" s="21">
        <f>EXP(-LN(2)/2)*EX50+(1-EXP(-LN(2)/2))/(LN(2)/2)*ER51*EU51*VLOOKUP('Données projet'!$B$15,Paramètres!$A$1:$I$89,3,0)*0.475*44/12</f>
        <v>3.9586338574929658E-2</v>
      </c>
      <c r="EY51" s="22">
        <f t="shared" si="21"/>
        <v>12.469070856747338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>
        <f>VLOOKUP(A51,'Données projet'!$A$217:$I$237,2,0)</f>
        <v>184.35256410256409</v>
      </c>
      <c r="FC51" s="12">
        <f>VLOOKUP(A51,'Données projet'!$A$217:$I$237,9,0)</f>
        <v>9.3452380952380913</v>
      </c>
      <c r="FD51" s="12">
        <f t="array" ref="FD51">INDEX(FC:FC,MIN(IF(ISNUMBER(FC51:FC247),ROW(FC51:FC247),"")))</f>
        <v>9.3452380952380913</v>
      </c>
      <c r="FE51" s="12">
        <f>IF('Données projet'!$A$218&gt;35,FE50+FD51-FM50,IF(A51&lt;'Données projet'!$A$218,$FB$205^A51,IF(A51='Données projet'!$A$218,'Données projet'!$B$218,FE50+FD51-FM50)))</f>
        <v>184.35256410256414</v>
      </c>
      <c r="FF51" s="17">
        <f>FE51*VLOOKUP('Données projet'!$B$16,Paramètres!$A$1:$I$89,3,0)*VLOOKUP('Données projet'!$B$16,Paramètres!$A$1:$I$89,5,0)</f>
        <v>198.43710000000004</v>
      </c>
      <c r="FG51" s="13">
        <f t="shared" si="47"/>
        <v>49.400532938307215</v>
      </c>
      <c r="FH51" s="20">
        <f t="shared" si="22"/>
        <v>431.65054403421846</v>
      </c>
      <c r="FI51" s="59">
        <f t="shared" si="23"/>
        <v>724.98387736755171</v>
      </c>
      <c r="FJ51" s="59">
        <f ca="1">AVERAGE(OFFSET($FI$3,0,0,'Données projet'!$E$16+1,1))-AVERAGE(OFFSET($H$3,0,0,'Données projet'!$E$16+1,1))</f>
        <v>286.77702855541287</v>
      </c>
      <c r="FK51" s="59">
        <f t="shared" si="48"/>
        <v>227.12211541860779</v>
      </c>
      <c r="FL51" s="15">
        <f>IF(ISNA(VLOOKUP(A51,'Données projet'!$A$217:$I$237,3,0)),0,VLOOKUP(A51,'Données projet'!$A$217:$I$237,3,0))</f>
        <v>3</v>
      </c>
      <c r="FM51" s="15">
        <f>IF(ISNA(VLOOKUP(A51,'Données projet'!$A$217:$I$237,4,0)),0,VLOOKUP(A51,'Données projet'!$A$217:$I$237,4,0))</f>
        <v>48.025641025641022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0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0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11.443589743589742</v>
      </c>
      <c r="FZ51" s="12">
        <f>IF('Données projet'!$A$244&gt;35,FZ50+FY51-GH50,IF(A51&lt;'Données projet'!$A$244,$FW$205^A51,IF(A51='Données projet'!$A$244,'Données projet'!$B$244,FZ50+FY51-GH50)))</f>
        <v>353.23846153846171</v>
      </c>
      <c r="GA51" s="17">
        <f>FZ51*VLOOKUP('Données projet'!$B$17,Paramètres!$A$1:$I$89,3,0)*VLOOKUP('Données projet'!$B$17,Paramètres!$A$1:$I$89,5,0)</f>
        <v>165.31560000000007</v>
      </c>
      <c r="GB51" s="13">
        <f t="shared" si="49"/>
        <v>42.039173765288623</v>
      </c>
      <c r="GC51" s="20">
        <f t="shared" si="25"/>
        <v>361.14289764121116</v>
      </c>
      <c r="GD51" s="59">
        <f t="shared" si="26"/>
        <v>654.47623097454448</v>
      </c>
      <c r="GE51" s="59">
        <f ca="1">AVERAGE(OFFSET($GD$3,0,0,'Données projet'!$E$17+1,1))-AVERAGE(OFFSET($H$3,0,0,'Données projet'!$E$17+1,1))</f>
        <v>123.2823358462245</v>
      </c>
      <c r="GF51" s="59">
        <f t="shared" si="50"/>
        <v>92.75115399786057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0</v>
      </c>
      <c r="GM51" s="21">
        <f>EXP(-LN(2)/25)*GM50+(1-EXP(-LN(2)/25))/(LN(2)/25)*Calculateur!GH51*Calculateur!GJ51*VLOOKUP('Données projet'!$B$17,Paramètres!$A$1:$I$89,3,0)*0.475*44/12</f>
        <v>0</v>
      </c>
      <c r="GN51" s="21">
        <f>EXP(-LN(2)/2)*GN50+(1-EXP(-LN(2)/2))/(LN(2)/2)*GH51*GK51*VLOOKUP('Données projet'!$B$17,Paramètres!$A$1:$I$89,3,0)*0.475*44/12</f>
        <v>0</v>
      </c>
      <c r="GO51" s="21">
        <f t="shared" si="27"/>
        <v>0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11.642307692307689</v>
      </c>
      <c r="GU51" s="12">
        <f>IF('Données projet'!$A$270&gt;35,GU50+GT51-HC50,IF(A51&lt;'Données projet'!$A$270,$GR$205^A51,IF(A51='Données projet'!$A$270,'Données projet'!$B$270,GU50+GT51-HC50)))</f>
        <v>285.24615384615367</v>
      </c>
      <c r="GV51" s="17">
        <f>GU51*VLOOKUP('Données projet'!$B$18,Paramètres!$A$1:$I$89,3,0)*VLOOKUP('Données projet'!$B$18,Paramètres!$A$1:$I$89,5,0)</f>
        <v>170.57719999999992</v>
      </c>
      <c r="GW51" s="13">
        <f t="shared" si="51"/>
        <v>43.219271671345155</v>
      </c>
      <c r="GX51" s="20">
        <f t="shared" si="28"/>
        <v>372.362188160926</v>
      </c>
      <c r="GY51" s="59">
        <f t="shared" si="29"/>
        <v>665.69552149425931</v>
      </c>
      <c r="GZ51" s="59">
        <f ca="1">AVERAGE(OFFSET($GY$3,0,0,'Données projet'!$E$18+1,1))-AVERAGE(OFFSET($H$3,0,0,'Données projet'!$E$18+1,1))</f>
        <v>171.96009656745713</v>
      </c>
      <c r="HA51" s="59">
        <f t="shared" si="52"/>
        <v>172.37574906747716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>
        <f>EXP(-LN(2)/35)*HG50+(1-EXP(-LN(2)/35))/(LN(2)/35)*HC51*HD51*VLOOKUP('Données projet'!$B$18,Paramètres!$A$1:$I$89,3,0)*0.475*44/12</f>
        <v>1.1678681851309256</v>
      </c>
      <c r="HH51" s="21">
        <f>EXP(-LN(2)/25)*HH50+(1-EXP(-LN(2)/25))/(LN(2)/25)*Calculateur!HC51*Calculateur!HE51*VLOOKUP('Données projet'!$B$18,Paramètres!$A$1:$I$89,3,0)*0.475*44/12</f>
        <v>12.480084222433634</v>
      </c>
      <c r="HI51" s="21">
        <f>EXP(-LN(2)/2)*HI50+(1-EXP(-LN(2)/2))/(LN(2)/2)*HC51*HF51*VLOOKUP('Données projet'!$B$18,Paramètres!$A$1:$I$89,3,0)*0.475*44/12</f>
        <v>2.352465093696518E-2</v>
      </c>
      <c r="HJ51" s="22">
        <f t="shared" si="30"/>
        <v>13.671477058501525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20.507692307692299</v>
      </c>
      <c r="N52" s="13">
        <f>IF('Données projet'!$A$36&gt;35,N51+M52-V51,IF(A52&lt;'Données projet'!$A$36,$K$205^A52,IF(A52='Données projet'!$A$36,'Données projet'!$B$36,N51+M52-V51)))</f>
        <v>464.26153846153824</v>
      </c>
      <c r="O52" s="13">
        <f>N52*VLOOKUP('Données projet'!$B$9,Paramètres!$A$1:$I$89,3,0)*VLOOKUP('Données projet'!$B$9,Paramètres!$A$1:$I$89,5,0)</f>
        <v>259.52219999999988</v>
      </c>
      <c r="P52" s="13">
        <f t="shared" si="33"/>
        <v>62.620519404058868</v>
      </c>
      <c r="Q52" s="20">
        <f t="shared" si="53"/>
        <v>561.06523629540231</v>
      </c>
      <c r="R52" s="59">
        <f t="shared" si="0"/>
        <v>854.39856962873569</v>
      </c>
      <c r="S52" s="59">
        <f ca="1">AVERAGE(OFFSET($R$3,0,0,'Données projet'!$E$9+1,1))-AVERAGE(OFFSET($H$3,0,0,'Données projet'!$E$9+1,1))</f>
        <v>255.5374979188561</v>
      </c>
      <c r="T52" s="59">
        <f t="shared" si="34"/>
        <v>343.10418468620901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2.1210354977160186</v>
      </c>
      <c r="AA52" s="21">
        <f>EXP(-LN(2)/25)*AA51+(1-EXP(-LN(2)/25))/(LN(2)/25)*Calculateur!V52*Calculateur!X52*VLOOKUP('Données projet'!$B$9,Paramètres!$A$1:$I$89,3,0)*0.475*44/12</f>
        <v>9.4244744536800908</v>
      </c>
      <c r="AB52" s="21">
        <f>EXP(-LN(2)/2)*AB51+(1-EXP(-LN(2)/2))/(LN(2)/2)*V52*Y52*VLOOKUP('Données projet'!$B$9,Paramètres!$A$1:$I$89,3,0)*0.475*44/12</f>
        <v>2.3376675069755487E-3</v>
      </c>
      <c r="AC52" s="22">
        <f t="shared" si="3"/>
        <v>11.547847618903084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>
        <f>VLOOKUP(A52,'Données projet'!$A$61:$I$81,2,0)</f>
        <v>339.85384615384612</v>
      </c>
      <c r="AG52" s="12">
        <f>VLOOKUP(A52,'Données projet'!$A$61:$I$81,9,0)</f>
        <v>15.618681318681309</v>
      </c>
      <c r="AH52" s="12">
        <f t="array" ref="AH52">INDEX(AG:AG,MIN(IF(ISNUMBER(AG52:AG248),ROW(AG52:AG248),"")))</f>
        <v>15.618681318681309</v>
      </c>
      <c r="AI52" s="13">
        <f>IF('Données projet'!$A$62&gt;35,AI51+AH52-AQ51,IF(A52&lt;'Données projet'!$A$62,$AF$205^A52,IF(A52='Données projet'!$A$62,'Données projet'!$B$62,AI51+AH52-AQ51)))</f>
        <v>339.85384615384618</v>
      </c>
      <c r="AJ52" s="13">
        <f>AI52*VLOOKUP('Données projet'!$B$10,Paramètres!$A$1:$I$89,3,0)*VLOOKUP('Données projet'!$B$10,Paramètres!$A$1:$I$89,5,0)</f>
        <v>159.05160000000001</v>
      </c>
      <c r="AK52" s="13">
        <f t="shared" si="35"/>
        <v>40.628527179850586</v>
      </c>
      <c r="AL52" s="20">
        <f t="shared" si="4"/>
        <v>347.77622150490646</v>
      </c>
      <c r="AM52" s="59">
        <f t="shared" si="5"/>
        <v>641.10955483823977</v>
      </c>
      <c r="AN52" s="59">
        <f ca="1">AVERAGE(OFFSET($AM$3,0,0,'Données projet'!$E$10+1,1))-AVERAGE(OFFSET($H$3,0,0,'Données projet'!$E$10+1,1))</f>
        <v>158.58786357608489</v>
      </c>
      <c r="AO52" s="59">
        <f t="shared" si="36"/>
        <v>163.20074068819849</v>
      </c>
      <c r="AP52" s="15">
        <f>IF(ISNA(VLOOKUP(A52,'Données projet'!$A$61:$I$81,3,0)),0,VLOOKUP(A52,'Données projet'!$A$61:$I$81,3,0))</f>
        <v>2</v>
      </c>
      <c r="AQ52" s="15">
        <f>IF(ISNA(VLOOKUP(A52,'Données projet'!$A$61:$I$81,4,0)),0,VLOOKUP(A52,'Données projet'!$A$61:$I$81,4,0))</f>
        <v>94.476923076923072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12.837499999999991</v>
      </c>
      <c r="BD52" s="12">
        <f>IF('Données projet'!$A$88&gt;35,BD51+BC52-BL51,IF(A52&lt;'Données projet'!$A$88,$BA$205^A52,IF(A52='Données projet'!$A$88,'Données projet'!$B$88,BD51+BC52-BL51)))</f>
        <v>356.614423076923</v>
      </c>
      <c r="BE52" s="13">
        <f>BD52*VLOOKUP('Données projet'!$B$11,Paramètres!$A$1:$I$89,3,0)*VLOOKUP('Données projet'!$B$11,Paramètres!$A$1:$I$89,5,0)</f>
        <v>213.25542499999997</v>
      </c>
      <c r="BF52" s="13">
        <f t="shared" si="37"/>
        <v>52.646339807871037</v>
      </c>
      <c r="BG52" s="20">
        <f t="shared" si="7"/>
        <v>463.11224037370863</v>
      </c>
      <c r="BH52" s="59">
        <f t="shared" si="8"/>
        <v>756.44557370704194</v>
      </c>
      <c r="BI52" s="59">
        <f ca="1">AVERAGE(OFFSET($BH$3,0,0,'Données projet'!$E$11+1,1))-AVERAGE(OFFSET($H$3,0,0,'Données projet'!$E$11+1,1))</f>
        <v>243.85350804244348</v>
      </c>
      <c r="BJ52" s="59">
        <f t="shared" si="38"/>
        <v>304.60992308960545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3.1065800077907491</v>
      </c>
      <c r="BQ52" s="21">
        <f>EXP(-LN(2)/25)*BQ51+(1-EXP(-LN(2)/25))/(LN(2)/25)*Calculateur!BL52*Calculateur!BN52*VLOOKUP('Données projet'!$B$11,Paramètres!$A$1:$I$89,3,0)*0.475*44/12</f>
        <v>10.468850844887818</v>
      </c>
      <c r="BR52" s="21">
        <f>EXP(-LN(2)/2)*BR51+(1-EXP(-LN(2)/2))/(LN(2)/2)*BL52*BO52*VLOOKUP('Données projet'!$B$11,Paramètres!$A$1:$I$89,3,0)*0.475*44/12</f>
        <v>5.1627447793852685E-3</v>
      </c>
      <c r="BS52" s="22">
        <f t="shared" si="9"/>
        <v>13.580593597457952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16.2</v>
      </c>
      <c r="BY52" s="12">
        <f>IF('Données projet'!$A$114&gt;35,BY51+BX52-CG51,IF(A52&lt;'Données projet'!$A$114,$BV$205^A52,IF(A52='Données projet'!$A$114,'Données projet'!$B$114,BY51+BX52-CG51)))</f>
        <v>363.79999999999984</v>
      </c>
      <c r="BZ52" s="13">
        <f>BY52*VLOOKUP('Données projet'!$B$12,Paramètres!$A$1:$I$89,3,0)*VLOOKUP('Données projet'!$B$12,Paramètres!$A$1:$I$89,5,0)</f>
        <v>217.55239999999992</v>
      </c>
      <c r="CA52" s="13">
        <f t="shared" si="39"/>
        <v>53.58256606537995</v>
      </c>
      <c r="CB52" s="20">
        <f t="shared" si="10"/>
        <v>472.22673256386997</v>
      </c>
      <c r="CC52" s="59">
        <f t="shared" si="11"/>
        <v>765.56006589720323</v>
      </c>
      <c r="CD52" s="59">
        <f ca="1">AVERAGE(OFFSET($CC$3,0,0,'Données projet'!$E$12+1,1))-AVERAGE(OFFSET($H$3,0,0,'Données projet'!$E$12+1,1))</f>
        <v>270.30888762640245</v>
      </c>
      <c r="CE52" s="59">
        <f t="shared" si="40"/>
        <v>202.23783851977691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1.4702020406748255</v>
      </c>
      <c r="CL52" s="21">
        <f>EXP(-LN(2)/25)*CL51+(1-EXP(-LN(2)/25))/(LN(2)/25)*Calculateur!CG52*Calculateur!CI52*VLOOKUP('Données projet'!$B$12,Paramètres!$A$1:$I$89,3,0)*0.475*44/12</f>
        <v>7.2602753110823501</v>
      </c>
      <c r="CM52" s="21">
        <f>EXP(-LN(2)/2)*CM51+(1-EXP(-LN(2)/2))/(LN(2)/2)*CG52*CJ52*VLOOKUP('Données projet'!$B$12,Paramètres!$A$1:$I$89,3,0)*0.475*44/12</f>
        <v>2.5539548697883337E-2</v>
      </c>
      <c r="CN52" s="22">
        <f t="shared" si="12"/>
        <v>8.7560169004550588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9.1999999999999993</v>
      </c>
      <c r="CT52" s="12">
        <f>IF('Données projet'!$A$140&gt;35,CT51+CS52-DB51,IF(A52&lt;'Données projet'!$A$140,$CQ$205^A52,IF(A52='Données projet'!$A$140,'Données projet'!$B$140,CT51+CS52-DB51)))</f>
        <v>275.79999999999984</v>
      </c>
      <c r="CU52" s="17">
        <f>CT52*VLOOKUP('Données projet'!$B$13,Paramètres!$A$1:$I$89,3,0)*VLOOKUP('Données projet'!$B$13,Paramètres!$A$1:$I$89,5,0)</f>
        <v>219.42647999999991</v>
      </c>
      <c r="CV52" s="13">
        <f t="shared" si="41"/>
        <v>53.990215051449674</v>
      </c>
      <c r="CW52" s="20">
        <f t="shared" si="13"/>
        <v>476.20074388127472</v>
      </c>
      <c r="CX52" s="59">
        <f t="shared" si="14"/>
        <v>769.53407721460803</v>
      </c>
      <c r="CY52" s="59">
        <f ca="1">AVERAGE(OFFSET($CX$3,0,0,'Données projet'!$E$13+1,1))-AVERAGE(OFFSET($H$3,0,0,'Données projet'!$E$13+1,1))</f>
        <v>260.20517190557814</v>
      </c>
      <c r="CZ52" s="59">
        <f t="shared" si="42"/>
        <v>307.22009971147133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2.2397498238009974</v>
      </c>
      <c r="DG52" s="21">
        <f>EXP(-LN(2)/25)*DG51+(1-EXP(-LN(2)/25))/(LN(2)/25)*Calculateur!DB52*Calculateur!DD52*VLOOKUP('Données projet'!$B$13,Paramètres!$A$1:$I$89,3,0)*0.475*44/12</f>
        <v>12.116750116717327</v>
      </c>
      <c r="DH52" s="21">
        <f>EXP(-LN(2)/2)*DH51+(1-EXP(-LN(2)/2))/(LN(2)/2)*DB52*DE52*VLOOKUP('Données projet'!$B$13,Paramètres!$A$1:$I$89,3,0)*0.475*44/12</f>
        <v>3.319953932285228E-2</v>
      </c>
      <c r="DI52" s="22">
        <f t="shared" si="15"/>
        <v>14.389699479841177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8.8736263736263741</v>
      </c>
      <c r="DO52" s="12">
        <f>IF('Données projet'!$A$166&gt;35,DO51+DN52-DW51,IF(A52&lt;'Données projet'!$A$166,$DL$205^A52,IF(A52='Données projet'!$A$166,'Données projet'!$B$166,DO51+DN52-DW51)))</f>
        <v>145.20054945054949</v>
      </c>
      <c r="DP52" s="17">
        <f>DO52*VLOOKUP('Données projet'!$B$14,Paramètres!$A$1:$I$89,3,0)*VLOOKUP('Données projet'!$B$14,Paramètres!$A$1:$I$89,5,0)</f>
        <v>147.23335714285719</v>
      </c>
      <c r="DQ52" s="13">
        <f t="shared" si="43"/>
        <v>37.949176511309915</v>
      </c>
      <c r="DR52" s="20">
        <f t="shared" si="16"/>
        <v>322.52624611434106</v>
      </c>
      <c r="DS52" s="59">
        <f t="shared" si="17"/>
        <v>615.85957944767438</v>
      </c>
      <c r="DT52" s="59">
        <f ca="1">AVERAGE(OFFSET($DS$3,0,0,'Données projet'!$E$14+1,1))-AVERAGE(OFFSET($H$3,0,0,'Données projet'!$E$14+1,1))</f>
        <v>263.15518481854753</v>
      </c>
      <c r="DU52" s="59">
        <f t="shared" si="44"/>
        <v>210.80755370263819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0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9.1999999999999993</v>
      </c>
      <c r="EJ52" s="12">
        <f>IF('Données projet'!$A$192&gt;35,EJ51+EI52-ER51,IF(A52&lt;'Données projet'!$A$192,$EG$205^A52,IF(A52='Données projet'!$A$192,'Données projet'!$B$192,EJ51+EI52-ER51)))</f>
        <v>275.79999999999984</v>
      </c>
      <c r="EK52" s="17">
        <f>EJ52*VLOOKUP('Données projet'!$B$15,Paramètres!$A$1:$I$89,3,0)*VLOOKUP('Données projet'!$B$15,Paramètres!$A$1:$I$89,5,0)</f>
        <v>185.00663999999989</v>
      </c>
      <c r="EL52" s="13">
        <f t="shared" si="45"/>
        <v>46.434286546462388</v>
      </c>
      <c r="EM52" s="20">
        <f t="shared" si="19"/>
        <v>403.09294706842178</v>
      </c>
      <c r="EN52" s="59">
        <f t="shared" si="20"/>
        <v>696.42628040175509</v>
      </c>
      <c r="EO52" s="59">
        <f ca="1">AVERAGE(OFFSET($EN$3,0,0,'Données projet'!$E$15+1,1))-AVERAGE(OFFSET($H$3,0,0,'Données projet'!$E$15+1,1))</f>
        <v>207.93042467236967</v>
      </c>
      <c r="EP52" s="59">
        <f t="shared" si="46"/>
        <v>250.70954318710835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1.8884165181067227</v>
      </c>
      <c r="EW52" s="21">
        <f>EXP(-LN(2)/25)*EW51+(1-EXP(-LN(2)/25))/(LN(2)/25)*Calculateur!ER52*Calculateur!ET52*VLOOKUP('Données projet'!$B$15,Paramètres!$A$1:$I$89,3,0)*0.475*44/12</f>
        <v>10.216083431742064</v>
      </c>
      <c r="EX52" s="21">
        <f>EXP(-LN(2)/2)*EX51+(1-EXP(-LN(2)/2))/(LN(2)/2)*ER52*EU52*VLOOKUP('Données projet'!$B$15,Paramètres!$A$1:$I$89,3,0)*0.475*44/12</f>
        <v>2.7991768448679372E-2</v>
      </c>
      <c r="EY52" s="22">
        <f t="shared" si="21"/>
        <v>12.132491718297466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8.8736263736263741</v>
      </c>
      <c r="FE52" s="12">
        <f>IF('Données projet'!$A$218&gt;35,FE51+FD52-FM51,IF(A52&lt;'Données projet'!$A$218,$FB$205^A52,IF(A52='Données projet'!$A$218,'Données projet'!$B$218,FE51+FD52-FM51)))</f>
        <v>145.20054945054949</v>
      </c>
      <c r="FF52" s="17">
        <f>FE52*VLOOKUP('Données projet'!$B$16,Paramètres!$A$1:$I$89,3,0)*VLOOKUP('Données projet'!$B$16,Paramètres!$A$1:$I$89,5,0)</f>
        <v>156.29387142857146</v>
      </c>
      <c r="FG52" s="13">
        <f t="shared" si="47"/>
        <v>40.005451010101218</v>
      </c>
      <c r="FH52" s="20">
        <f t="shared" si="22"/>
        <v>341.88798658068822</v>
      </c>
      <c r="FI52" s="59">
        <f t="shared" si="23"/>
        <v>635.22131991402148</v>
      </c>
      <c r="FJ52" s="59">
        <f ca="1">AVERAGE(OFFSET($FI$3,0,0,'Données projet'!$E$16+1,1))-AVERAGE(OFFSET($H$3,0,0,'Données projet'!$E$16+1,1))</f>
        <v>286.77702855541287</v>
      </c>
      <c r="FK52" s="59">
        <f t="shared" si="48"/>
        <v>227.12211541860779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0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0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11.443589743589742</v>
      </c>
      <c r="FZ52" s="12">
        <f>IF('Données projet'!$A$244&gt;35,FZ51+FY52-GH51,IF(A52&lt;'Données projet'!$A$244,$FW$205^A52,IF(A52='Données projet'!$A$244,'Données projet'!$B$244,FZ51+FY52-GH51)))</f>
        <v>364.68205128205148</v>
      </c>
      <c r="GA52" s="17">
        <f>FZ52*VLOOKUP('Données projet'!$B$17,Paramètres!$A$1:$I$89,3,0)*VLOOKUP('Données projet'!$B$17,Paramètres!$A$1:$I$89,5,0)</f>
        <v>170.67120000000008</v>
      </c>
      <c r="GB52" s="13">
        <f t="shared" si="49"/>
        <v>43.240315564943899</v>
      </c>
      <c r="GC52" s="20">
        <f t="shared" si="25"/>
        <v>372.56255627561069</v>
      </c>
      <c r="GD52" s="59">
        <f t="shared" si="26"/>
        <v>665.895889608944</v>
      </c>
      <c r="GE52" s="59">
        <f ca="1">AVERAGE(OFFSET($GD$3,0,0,'Données projet'!$E$17+1,1))-AVERAGE(OFFSET($H$3,0,0,'Données projet'!$E$17+1,1))</f>
        <v>123.2823358462245</v>
      </c>
      <c r="GF52" s="59">
        <f t="shared" si="50"/>
        <v>92.75115399786057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0</v>
      </c>
      <c r="GM52" s="21">
        <f>EXP(-LN(2)/25)*GM51+(1-EXP(-LN(2)/25))/(LN(2)/25)*Calculateur!GH52*Calculateur!GJ52*VLOOKUP('Données projet'!$B$17,Paramètres!$A$1:$I$89,3,0)*0.475*44/12</f>
        <v>0</v>
      </c>
      <c r="GN52" s="21">
        <f>EXP(-LN(2)/2)*GN51+(1-EXP(-LN(2)/2))/(LN(2)/2)*GH52*GK52*VLOOKUP('Données projet'!$B$17,Paramètres!$A$1:$I$89,3,0)*0.475*44/12</f>
        <v>0</v>
      </c>
      <c r="GO52" s="21">
        <f t="shared" si="27"/>
        <v>0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11.642307692307689</v>
      </c>
      <c r="GU52" s="12">
        <f>IF('Données projet'!$A$270&gt;35,GU51+GT52-HC51,IF(A52&lt;'Données projet'!$A$270,$GR$205^A52,IF(A52='Données projet'!$A$270,'Données projet'!$B$270,GU51+GT52-HC51)))</f>
        <v>296.88846153846134</v>
      </c>
      <c r="GV52" s="17">
        <f>GU52*VLOOKUP('Données projet'!$B$18,Paramètres!$A$1:$I$89,3,0)*VLOOKUP('Données projet'!$B$18,Paramètres!$A$1:$I$89,5,0)</f>
        <v>177.53929999999991</v>
      </c>
      <c r="GW52" s="13">
        <f t="shared" si="51"/>
        <v>44.774287946301975</v>
      </c>
      <c r="GX52" s="20">
        <f t="shared" si="28"/>
        <v>387.1961656731425</v>
      </c>
      <c r="GY52" s="59">
        <f t="shared" si="29"/>
        <v>680.52949900647582</v>
      </c>
      <c r="GZ52" s="59">
        <f ca="1">AVERAGE(OFFSET($GY$3,0,0,'Données projet'!$E$18+1,1))-AVERAGE(OFFSET($H$3,0,0,'Données projet'!$E$18+1,1))</f>
        <v>171.96009656745713</v>
      </c>
      <c r="HA52" s="59">
        <f t="shared" si="52"/>
        <v>172.37574906747716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>
        <f>EXP(-LN(2)/35)*HG51+(1-EXP(-LN(2)/35))/(LN(2)/35)*HC52*HD52*VLOOKUP('Données projet'!$B$18,Paramètres!$A$1:$I$89,3,0)*0.475*44/12</f>
        <v>1.1449670023497645</v>
      </c>
      <c r="HH52" s="21">
        <f>EXP(-LN(2)/25)*HH51+(1-EXP(-LN(2)/25))/(LN(2)/25)*Calculateur!HC52*Calculateur!HE52*VLOOKUP('Données projet'!$B$18,Paramètres!$A$1:$I$89,3,0)*0.475*44/12</f>
        <v>12.13881566307208</v>
      </c>
      <c r="HI52" s="21">
        <f>EXP(-LN(2)/2)*HI51+(1-EXP(-LN(2)/2))/(LN(2)/2)*HC52*HF52*VLOOKUP('Données projet'!$B$18,Paramètres!$A$1:$I$89,3,0)*0.475*44/12</f>
        <v>1.6634440202574548E-2</v>
      </c>
      <c r="HJ52" s="22">
        <f t="shared" si="30"/>
        <v>13.300417105624419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20.507692307692299</v>
      </c>
      <c r="N53" s="13">
        <f>IF('Données projet'!$A$36&gt;35,N52+M53-V52,IF(A53&lt;'Données projet'!$A$36,$K$205^A53,IF(A53='Données projet'!$A$36,'Données projet'!$B$36,N52+M53-V52)))</f>
        <v>484.76923076923055</v>
      </c>
      <c r="O53" s="13">
        <f>N53*VLOOKUP('Données projet'!$B$9,Paramètres!$A$1:$I$89,3,0)*VLOOKUP('Données projet'!$B$9,Paramètres!$A$1:$I$89,5,0)</f>
        <v>270.98599999999988</v>
      </c>
      <c r="P53" s="13">
        <f t="shared" si="33"/>
        <v>65.058478958733772</v>
      </c>
      <c r="Q53" s="20">
        <f t="shared" si="53"/>
        <v>585.27746751979441</v>
      </c>
      <c r="R53" s="59">
        <f t="shared" si="0"/>
        <v>878.61080085312778</v>
      </c>
      <c r="S53" s="59">
        <f ca="1">AVERAGE(OFFSET($R$3,0,0,'Données projet'!$E$9+1,1))-AVERAGE(OFFSET($H$3,0,0,'Données projet'!$E$9+1,1))</f>
        <v>255.5374979188561</v>
      </c>
      <c r="T53" s="59">
        <f t="shared" si="34"/>
        <v>343.10418468620901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2.0794432853097184</v>
      </c>
      <c r="AA53" s="21">
        <f>EXP(-LN(2)/25)*AA52+(1-EXP(-LN(2)/25))/(LN(2)/25)*Calculateur!V53*Calculateur!X53*VLOOKUP('Données projet'!$B$9,Paramètres!$A$1:$I$89,3,0)*0.475*44/12</f>
        <v>9.1667617041326377</v>
      </c>
      <c r="AB53" s="21">
        <f>EXP(-LN(2)/2)*AB52+(1-EXP(-LN(2)/2))/(LN(2)/2)*V53*Y53*VLOOKUP('Données projet'!$B$9,Paramètres!$A$1:$I$89,3,0)*0.475*44/12</f>
        <v>1.6529805463418614E-3</v>
      </c>
      <c r="AC53" s="22">
        <f t="shared" si="3"/>
        <v>11.247857969988697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14.668131868131875</v>
      </c>
      <c r="AI53" s="13">
        <f>IF('Données projet'!$A$62&gt;35,AI52+AH53-AQ52,IF(A53&lt;'Données projet'!$A$62,$AF$205^A53,IF(A53='Données projet'!$A$62,'Données projet'!$B$62,AI52+AH53-AQ52)))</f>
        <v>260.04505494505497</v>
      </c>
      <c r="AJ53" s="13">
        <f>AI53*VLOOKUP('Données projet'!$B$10,Paramètres!$A$1:$I$89,3,0)*VLOOKUP('Données projet'!$B$10,Paramètres!$A$1:$I$89,5,0)</f>
        <v>121.70108571428571</v>
      </c>
      <c r="AK53" s="13">
        <f t="shared" si="35"/>
        <v>32.071423986344442</v>
      </c>
      <c r="AL53" s="20">
        <f t="shared" si="4"/>
        <v>267.82045439526422</v>
      </c>
      <c r="AM53" s="59">
        <f t="shared" si="5"/>
        <v>561.15378772859754</v>
      </c>
      <c r="AN53" s="59">
        <f ca="1">AVERAGE(OFFSET($AM$3,0,0,'Données projet'!$E$10+1,1))-AVERAGE(OFFSET($H$3,0,0,'Données projet'!$E$10+1,1))</f>
        <v>158.58786357608489</v>
      </c>
      <c r="AO53" s="59">
        <f t="shared" si="36"/>
        <v>163.20074068819849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12.837499999999991</v>
      </c>
      <c r="BD53" s="12">
        <f>IF('Données projet'!$A$88&gt;35,BD52+BC53-BL52,IF(A53&lt;'Données projet'!$A$88,$BA$205^A53,IF(A53='Données projet'!$A$88,'Données projet'!$B$88,BD52+BC53-BL52)))</f>
        <v>369.45192307692298</v>
      </c>
      <c r="BE53" s="13">
        <f>BD53*VLOOKUP('Données projet'!$B$11,Paramètres!$A$1:$I$89,3,0)*VLOOKUP('Données projet'!$B$11,Paramètres!$A$1:$I$89,5,0)</f>
        <v>220.93224999999995</v>
      </c>
      <c r="BF53" s="13">
        <f t="shared" si="37"/>
        <v>54.31745576001893</v>
      </c>
      <c r="BG53" s="20">
        <f t="shared" si="7"/>
        <v>479.3932375320328</v>
      </c>
      <c r="BH53" s="59">
        <f t="shared" si="8"/>
        <v>772.72657086536606</v>
      </c>
      <c r="BI53" s="59">
        <f ca="1">AVERAGE(OFFSET($BH$3,0,0,'Données projet'!$E$11+1,1))-AVERAGE(OFFSET($H$3,0,0,'Données projet'!$E$11+1,1))</f>
        <v>243.85350804244348</v>
      </c>
      <c r="BJ53" s="59">
        <f t="shared" si="38"/>
        <v>304.60992308960545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3.0456618686646788</v>
      </c>
      <c r="BQ53" s="21">
        <f>EXP(-LN(2)/25)*BQ52+(1-EXP(-LN(2)/25))/(LN(2)/25)*Calculateur!BL53*Calculateur!BN53*VLOOKUP('Données projet'!$B$11,Paramètres!$A$1:$I$89,3,0)*0.475*44/12</f>
        <v>10.182579568001422</v>
      </c>
      <c r="BR53" s="21">
        <f>EXP(-LN(2)/2)*BR52+(1-EXP(-LN(2)/2))/(LN(2)/2)*BL53*BO53*VLOOKUP('Données projet'!$B$11,Paramètres!$A$1:$I$89,3,0)*0.475*44/12</f>
        <v>3.6506118430387697E-3</v>
      </c>
      <c r="BS53" s="22">
        <f t="shared" si="9"/>
        <v>13.23189204850914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380</v>
      </c>
      <c r="BW53" s="12">
        <f>VLOOKUP(A53,'Données projet'!$A$113:$I$133,9,0)</f>
        <v>16.2</v>
      </c>
      <c r="BX53" s="12">
        <f t="array" ref="BX53">INDEX(BW:BW,MIN(IF(ISNUMBER(BW53:BW249),ROW(BW53:BW249),"")))</f>
        <v>16.2</v>
      </c>
      <c r="BY53" s="12">
        <f>IF('Données projet'!$A$114&gt;35,BY52+BX53-CG52,IF(A53&lt;'Données projet'!$A$114,$BV$205^A53,IF(A53='Données projet'!$A$114,'Données projet'!$B$114,BY52+BX53-CG52)))</f>
        <v>379.99999999999983</v>
      </c>
      <c r="BZ53" s="13">
        <f>BY53*VLOOKUP('Données projet'!$B$12,Paramètres!$A$1:$I$89,3,0)*VLOOKUP('Données projet'!$B$12,Paramètres!$A$1:$I$89,5,0)</f>
        <v>227.23999999999992</v>
      </c>
      <c r="CA53" s="13">
        <f t="shared" si="39"/>
        <v>55.685486340484204</v>
      </c>
      <c r="CB53" s="20">
        <f t="shared" si="10"/>
        <v>492.76188870967644</v>
      </c>
      <c r="CC53" s="59">
        <f t="shared" si="11"/>
        <v>786.0952220430097</v>
      </c>
      <c r="CD53" s="59">
        <f ca="1">AVERAGE(OFFSET($CC$3,0,0,'Données projet'!$E$12+1,1))-AVERAGE(OFFSET($H$3,0,0,'Données projet'!$E$12+1,1))</f>
        <v>270.30888762640245</v>
      </c>
      <c r="CE53" s="59">
        <f t="shared" si="40"/>
        <v>202.23783851977691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89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1.4413722753918918</v>
      </c>
      <c r="CL53" s="21">
        <f>EXP(-LN(2)/25)*CL52+(1-EXP(-LN(2)/25))/(LN(2)/25)*Calculateur!CG53*Calculateur!CI53*VLOOKUP('Données projet'!$B$12,Paramètres!$A$1:$I$89,3,0)*0.475*44/12</f>
        <v>7.0617427008995186</v>
      </c>
      <c r="CM53" s="21">
        <f>EXP(-LN(2)/2)*CM52+(1-EXP(-LN(2)/2))/(LN(2)/2)*CG53*CJ53*VLOOKUP('Données projet'!$B$12,Paramètres!$A$1:$I$89,3,0)*0.475*44/12</f>
        <v>1.8059188072717367E-2</v>
      </c>
      <c r="CN53" s="22">
        <f t="shared" si="12"/>
        <v>8.5211741643641279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285</v>
      </c>
      <c r="CR53" s="12">
        <f>VLOOKUP(A53,'Données projet'!$A$139:$I$159,9,0)</f>
        <v>9.1999999999999993</v>
      </c>
      <c r="CS53" s="12">
        <f t="array" ref="CS53">INDEX(CR:CR,MIN(IF(ISNUMBER(CR53:CR249),ROW(CR53:CR249),"")))</f>
        <v>9.1999999999999993</v>
      </c>
      <c r="CT53" s="12">
        <f>IF('Données projet'!$A$140&gt;35,CT52+CS53-DB52,IF(A53&lt;'Données projet'!$A$140,$CQ$205^A53,IF(A53='Données projet'!$A$140,'Données projet'!$B$140,CT52+CS53-DB52)))</f>
        <v>284.99999999999983</v>
      </c>
      <c r="CU53" s="17">
        <f>CT53*VLOOKUP('Données projet'!$B$13,Paramètres!$A$1:$I$89,3,0)*VLOOKUP('Données projet'!$B$13,Paramètres!$A$1:$I$89,5,0)</f>
        <v>226.74599999999987</v>
      </c>
      <c r="CV53" s="13">
        <f t="shared" si="41"/>
        <v>55.578508240245917</v>
      </c>
      <c r="CW53" s="20">
        <f t="shared" si="13"/>
        <v>491.71518518509475</v>
      </c>
      <c r="CX53" s="59">
        <f t="shared" si="14"/>
        <v>785.04851851842807</v>
      </c>
      <c r="CY53" s="59">
        <f ca="1">AVERAGE(OFFSET($CX$3,0,0,'Données projet'!$E$13+1,1))-AVERAGE(OFFSET($H$3,0,0,'Données projet'!$E$13+1,1))</f>
        <v>260.20517190557814</v>
      </c>
      <c r="CZ53" s="59">
        <f t="shared" si="42"/>
        <v>307.22009971147133</v>
      </c>
      <c r="DA53" s="15">
        <f>IF(ISNA(VLOOKUP(A53,'Données projet'!$A$139:$I$159,3,0)),0,VLOOKUP(A53,'Données projet'!$A$139:$I$159,3,0))</f>
        <v>4</v>
      </c>
      <c r="DB53" s="15">
        <f>IF(ISNA(VLOOKUP(A53,'Données projet'!$A$139:$I$159,4,0)),0,VLOOKUP(A53,'Données projet'!$A$139:$I$159,4,0))</f>
        <v>43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2.1958296958687598</v>
      </c>
      <c r="DG53" s="21">
        <f>EXP(-LN(2)/25)*DG52+(1-EXP(-LN(2)/25))/(LN(2)/25)*Calculateur!DB53*Calculateur!DD53*VLOOKUP('Données projet'!$B$13,Paramètres!$A$1:$I$89,3,0)*0.475*44/12</f>
        <v>11.785416947583496</v>
      </c>
      <c r="DH53" s="21">
        <f>EXP(-LN(2)/2)*DH52+(1-EXP(-LN(2)/2))/(LN(2)/2)*DB53*DE53*VLOOKUP('Données projet'!$B$13,Paramètres!$A$1:$I$89,3,0)*0.475*44/12</f>
        <v>2.3475619387458287E-2</v>
      </c>
      <c r="DI53" s="22">
        <f t="shared" si="15"/>
        <v>14.004722262839714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8.8736263736263741</v>
      </c>
      <c r="DO53" s="12">
        <f>IF('Données projet'!$A$166&gt;35,DO52+DN53-DW52,IF(A53&lt;'Données projet'!$A$166,$DL$205^A53,IF(A53='Données projet'!$A$166,'Données projet'!$B$166,DO52+DN53-DW52)))</f>
        <v>154.07417582417585</v>
      </c>
      <c r="DP53" s="17">
        <f>DO53*VLOOKUP('Données projet'!$B$14,Paramètres!$A$1:$I$89,3,0)*VLOOKUP('Données projet'!$B$14,Paramètres!$A$1:$I$89,5,0)</f>
        <v>156.23121428571432</v>
      </c>
      <c r="DQ53" s="13">
        <f t="shared" si="43"/>
        <v>39.991279580917869</v>
      </c>
      <c r="DR53" s="20">
        <f t="shared" si="16"/>
        <v>341.75417681771773</v>
      </c>
      <c r="DS53" s="59">
        <f t="shared" si="17"/>
        <v>635.08751015105099</v>
      </c>
      <c r="DT53" s="59">
        <f ca="1">AVERAGE(OFFSET($DS$3,0,0,'Données projet'!$E$14+1,1))-AVERAGE(OFFSET($H$3,0,0,'Données projet'!$E$14+1,1))</f>
        <v>263.15518481854753</v>
      </c>
      <c r="DU53" s="59">
        <f t="shared" si="44"/>
        <v>210.80755370263819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0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285</v>
      </c>
      <c r="EH53" s="12">
        <f>VLOOKUP(A53,'Données projet'!$A$191:$I$211,9,0)</f>
        <v>9.1999999999999993</v>
      </c>
      <c r="EI53" s="12">
        <f t="array" ref="EI53">INDEX(EH:EH,MIN(IF(ISNUMBER(EH53:EH249),ROW(EH53:EH249),"")))</f>
        <v>9.1999999999999993</v>
      </c>
      <c r="EJ53" s="12">
        <f>IF('Données projet'!$A$192&gt;35,EJ52+EI53-ER52,IF(A53&lt;'Données projet'!$A$192,$EG$205^A53,IF(A53='Données projet'!$A$192,'Données projet'!$B$192,EJ52+EI53-ER52)))</f>
        <v>284.99999999999983</v>
      </c>
      <c r="EK53" s="17">
        <f>EJ53*VLOOKUP('Données projet'!$B$15,Paramètres!$A$1:$I$89,3,0)*VLOOKUP('Données projet'!$B$15,Paramètres!$A$1:$I$89,5,0)</f>
        <v>191.17799999999988</v>
      </c>
      <c r="EL53" s="13">
        <f t="shared" si="45"/>
        <v>47.80029816501365</v>
      </c>
      <c r="EM53" s="20">
        <f t="shared" si="19"/>
        <v>416.22053597073187</v>
      </c>
      <c r="EN53" s="59">
        <f t="shared" si="20"/>
        <v>709.55386930406519</v>
      </c>
      <c r="EO53" s="59">
        <f ca="1">AVERAGE(OFFSET($EN$3,0,0,'Données projet'!$E$15+1,1))-AVERAGE(OFFSET($H$3,0,0,'Données projet'!$E$15+1,1))</f>
        <v>207.93042467236967</v>
      </c>
      <c r="EP53" s="59">
        <f t="shared" si="46"/>
        <v>250.70954318710835</v>
      </c>
      <c r="EQ53" s="15">
        <f>IF(ISNA(VLOOKUP(A53,'Données projet'!$A$191:$I$211,3,0)),0,VLOOKUP(A53,'Données projet'!$A$191:$I$211,3,0))</f>
        <v>4</v>
      </c>
      <c r="ER53" s="15">
        <f>IF(ISNA(VLOOKUP(A53,'Données projet'!$A$191:$I$211,4,0)),0,VLOOKUP(A53,'Données projet'!$A$191:$I$211,4,0))</f>
        <v>43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1.8513858220069932</v>
      </c>
      <c r="EW53" s="21">
        <f>EXP(-LN(2)/25)*EW52+(1-EXP(-LN(2)/25))/(LN(2)/25)*Calculateur!ER53*Calculateur!ET53*VLOOKUP('Données projet'!$B$15,Paramètres!$A$1:$I$89,3,0)*0.475*44/12</f>
        <v>9.9367240930605991</v>
      </c>
      <c r="EX53" s="21">
        <f>EXP(-LN(2)/2)*EX52+(1-EXP(-LN(2)/2))/(LN(2)/2)*ER53*EU53*VLOOKUP('Données projet'!$B$15,Paramètres!$A$1:$I$89,3,0)*0.475*44/12</f>
        <v>1.9793169287464829E-2</v>
      </c>
      <c r="EY53" s="22">
        <f t="shared" si="21"/>
        <v>11.807903084355056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8.8736263736263741</v>
      </c>
      <c r="FE53" s="12">
        <f>IF('Données projet'!$A$218&gt;35,FE52+FD53-FM52,IF(A53&lt;'Données projet'!$A$218,$FB$205^A53,IF(A53='Données projet'!$A$218,'Données projet'!$B$218,FE52+FD53-FM52)))</f>
        <v>154.07417582417585</v>
      </c>
      <c r="FF53" s="17">
        <f>FE53*VLOOKUP('Données projet'!$B$16,Paramètres!$A$1:$I$89,3,0)*VLOOKUP('Données projet'!$B$16,Paramètres!$A$1:$I$89,5,0)</f>
        <v>165.8454428571429</v>
      </c>
      <c r="FG53" s="13">
        <f t="shared" si="47"/>
        <v>42.158205346797551</v>
      </c>
      <c r="FH53" s="20">
        <f t="shared" si="22"/>
        <v>362.27302062186294</v>
      </c>
      <c r="FI53" s="59">
        <f t="shared" si="23"/>
        <v>655.60635395519625</v>
      </c>
      <c r="FJ53" s="59">
        <f ca="1">AVERAGE(OFFSET($FI$3,0,0,'Données projet'!$E$16+1,1))-AVERAGE(OFFSET($H$3,0,0,'Données projet'!$E$16+1,1))</f>
        <v>286.77702855541287</v>
      </c>
      <c r="FK53" s="59">
        <f t="shared" si="48"/>
        <v>227.12211541860779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0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0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11.443589743589742</v>
      </c>
      <c r="FZ53" s="12">
        <f>IF('Données projet'!$A$244&gt;35,FZ52+FY53-GH52,IF(A53&lt;'Données projet'!$A$244,$FW$205^A53,IF(A53='Données projet'!$A$244,'Données projet'!$B$244,FZ52+FY53-GH52)))</f>
        <v>376.12564102564124</v>
      </c>
      <c r="GA53" s="17">
        <f>FZ53*VLOOKUP('Données projet'!$B$17,Paramètres!$A$1:$I$89,3,0)*VLOOKUP('Données projet'!$B$17,Paramètres!$A$1:$I$89,5,0)</f>
        <v>176.02680000000012</v>
      </c>
      <c r="GB53" s="13">
        <f t="shared" si="49"/>
        <v>44.437077329889675</v>
      </c>
      <c r="GC53" s="20">
        <f t="shared" si="25"/>
        <v>383.97458634955802</v>
      </c>
      <c r="GD53" s="59">
        <f t="shared" si="26"/>
        <v>677.30791968289134</v>
      </c>
      <c r="GE53" s="59">
        <f ca="1">AVERAGE(OFFSET($GD$3,0,0,'Données projet'!$E$17+1,1))-AVERAGE(OFFSET($H$3,0,0,'Données projet'!$E$17+1,1))</f>
        <v>123.2823358462245</v>
      </c>
      <c r="GF53" s="59">
        <f t="shared" si="50"/>
        <v>92.75115399786057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0</v>
      </c>
      <c r="GM53" s="21">
        <f>EXP(-LN(2)/25)*GM52+(1-EXP(-LN(2)/25))/(LN(2)/25)*Calculateur!GH53*Calculateur!GJ53*VLOOKUP('Données projet'!$B$17,Paramètres!$A$1:$I$89,3,0)*0.475*44/12</f>
        <v>0</v>
      </c>
      <c r="GN53" s="21">
        <f>EXP(-LN(2)/2)*GN52+(1-EXP(-LN(2)/2))/(LN(2)/2)*GH53*GK53*VLOOKUP('Données projet'!$B$17,Paramètres!$A$1:$I$89,3,0)*0.475*44/12</f>
        <v>0</v>
      </c>
      <c r="GO53" s="21">
        <f t="shared" si="27"/>
        <v>0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11.642307692307689</v>
      </c>
      <c r="GU53" s="12">
        <f>IF('Données projet'!$A$270&gt;35,GU52+GT53-HC52,IF(A53&lt;'Données projet'!$A$270,$GR$205^A53,IF(A53='Données projet'!$A$270,'Données projet'!$B$270,GU52+GT53-HC52)))</f>
        <v>308.53076923076901</v>
      </c>
      <c r="GV53" s="17">
        <f>GU53*VLOOKUP('Données projet'!$B$18,Paramètres!$A$1:$I$89,3,0)*VLOOKUP('Données projet'!$B$18,Paramètres!$A$1:$I$89,5,0)</f>
        <v>184.5013999999999</v>
      </c>
      <c r="GW53" s="13">
        <f t="shared" si="51"/>
        <v>46.322220516606542</v>
      </c>
      <c r="GX53" s="20">
        <f t="shared" si="28"/>
        <v>402.01780573308952</v>
      </c>
      <c r="GY53" s="59">
        <f t="shared" si="29"/>
        <v>695.35113906642277</v>
      </c>
      <c r="GZ53" s="59">
        <f ca="1">AVERAGE(OFFSET($GY$3,0,0,'Données projet'!$E$18+1,1))-AVERAGE(OFFSET($H$3,0,0,'Données projet'!$E$18+1,1))</f>
        <v>171.96009656745713</v>
      </c>
      <c r="HA53" s="59">
        <f t="shared" si="52"/>
        <v>172.37574906747716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>
        <f>EXP(-LN(2)/35)*HG52+(1-EXP(-LN(2)/35))/(LN(2)/35)*HC53*HD53*VLOOKUP('Données projet'!$B$18,Paramètres!$A$1:$I$89,3,0)*0.475*44/12</f>
        <v>1.1225148977945996</v>
      </c>
      <c r="HH53" s="21">
        <f>EXP(-LN(2)/25)*HH52+(1-EXP(-LN(2)/25))/(LN(2)/25)*Calculateur!HC53*Calculateur!HE53*VLOOKUP('Données projet'!$B$18,Paramètres!$A$1:$I$89,3,0)*0.475*44/12</f>
        <v>11.806879110412803</v>
      </c>
      <c r="HI53" s="21">
        <f>EXP(-LN(2)/2)*HI52+(1-EXP(-LN(2)/2))/(LN(2)/2)*HC53*HF53*VLOOKUP('Données projet'!$B$18,Paramètres!$A$1:$I$89,3,0)*0.475*44/12</f>
        <v>1.176232546848259E-2</v>
      </c>
      <c r="HJ53" s="22">
        <f t="shared" si="30"/>
        <v>12.941156333675886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20.507692307692299</v>
      </c>
      <c r="N54" s="13">
        <f>IF('Données projet'!$A$36&gt;35,N53+M54-V53,IF(A54&lt;'Données projet'!$A$36,$K$205^A54,IF(A54='Données projet'!$A$36,'Données projet'!$B$36,N53+M54-V53)))</f>
        <v>505.27692307692286</v>
      </c>
      <c r="O54" s="13">
        <f>N54*VLOOKUP('Données projet'!$B$9,Paramètres!$A$1:$I$89,3,0)*VLOOKUP('Données projet'!$B$9,Paramètres!$A$1:$I$89,5,0)</f>
        <v>282.44979999999987</v>
      </c>
      <c r="P54" s="13">
        <f t="shared" si="33"/>
        <v>67.484459274997945</v>
      </c>
      <c r="Q54" s="20">
        <f t="shared" si="53"/>
        <v>609.46883490395442</v>
      </c>
      <c r="R54" s="59">
        <f t="shared" si="0"/>
        <v>902.80216823728779</v>
      </c>
      <c r="S54" s="59">
        <f ca="1">AVERAGE(OFFSET($R$3,0,0,'Données projet'!$E$9+1,1))-AVERAGE(OFFSET($H$3,0,0,'Données projet'!$E$9+1,1))</f>
        <v>255.5374979188561</v>
      </c>
      <c r="T54" s="59">
        <f t="shared" si="34"/>
        <v>343.10418468620901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2.038666670819961</v>
      </c>
      <c r="AA54" s="21">
        <f>EXP(-LN(2)/25)*AA53+(1-EXP(-LN(2)/25))/(LN(2)/25)*Calculateur!V54*Calculateur!X54*VLOOKUP('Données projet'!$B$9,Paramètres!$A$1:$I$89,3,0)*0.475*44/12</f>
        <v>8.9160961232740839</v>
      </c>
      <c r="AB54" s="21">
        <f>EXP(-LN(2)/2)*AB53+(1-EXP(-LN(2)/2))/(LN(2)/2)*V54*Y54*VLOOKUP('Données projet'!$B$9,Paramètres!$A$1:$I$89,3,0)*0.475*44/12</f>
        <v>1.1688337534877743E-3</v>
      </c>
      <c r="AC54" s="22">
        <f t="shared" si="3"/>
        <v>10.955931627847532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14.668131868131875</v>
      </c>
      <c r="AI54" s="13">
        <f>IF('Données projet'!$A$62&gt;35,AI53+AH54-AQ53,IF(A54&lt;'Données projet'!$A$62,$AF$205^A54,IF(A54='Données projet'!$A$62,'Données projet'!$B$62,AI53+AH54-AQ53)))</f>
        <v>274.71318681318684</v>
      </c>
      <c r="AJ54" s="13">
        <f>AI54*VLOOKUP('Données projet'!$B$10,Paramètres!$A$1:$I$89,3,0)*VLOOKUP('Données projet'!$B$10,Paramètres!$A$1:$I$89,5,0)</f>
        <v>128.56577142857145</v>
      </c>
      <c r="AK54" s="13">
        <f t="shared" si="35"/>
        <v>33.664737545838108</v>
      </c>
      <c r="AL54" s="20">
        <f t="shared" si="4"/>
        <v>282.55146979709662</v>
      </c>
      <c r="AM54" s="59">
        <f t="shared" si="5"/>
        <v>575.88480313042987</v>
      </c>
      <c r="AN54" s="59">
        <f ca="1">AVERAGE(OFFSET($AM$3,0,0,'Données projet'!$E$10+1,1))-AVERAGE(OFFSET($H$3,0,0,'Données projet'!$E$10+1,1))</f>
        <v>158.58786357608489</v>
      </c>
      <c r="AO54" s="59">
        <f t="shared" si="36"/>
        <v>163.20074068819849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12.837499999999991</v>
      </c>
      <c r="BD54" s="12">
        <f>IF('Données projet'!$A$88&gt;35,BD53+BC54-BL53,IF(A54&lt;'Données projet'!$A$88,$BA$205^A54,IF(A54='Données projet'!$A$88,'Données projet'!$B$88,BD53+BC54-BL53)))</f>
        <v>382.28942307692296</v>
      </c>
      <c r="BE54" s="13">
        <f>BD54*VLOOKUP('Données projet'!$B$11,Paramètres!$A$1:$I$89,3,0)*VLOOKUP('Données projet'!$B$11,Paramètres!$A$1:$I$89,5,0)</f>
        <v>228.60907499999993</v>
      </c>
      <c r="BF54" s="13">
        <f t="shared" si="37"/>
        <v>55.981824933821947</v>
      </c>
      <c r="BG54" s="20">
        <f t="shared" si="7"/>
        <v>495.66248405140641</v>
      </c>
      <c r="BH54" s="59">
        <f t="shared" si="8"/>
        <v>788.99581738473967</v>
      </c>
      <c r="BI54" s="59">
        <f ca="1">AVERAGE(OFFSET($BH$3,0,0,'Données projet'!$E$11+1,1))-AVERAGE(OFFSET($H$3,0,0,'Données projet'!$E$11+1,1))</f>
        <v>243.85350804244348</v>
      </c>
      <c r="BJ54" s="59">
        <f t="shared" si="38"/>
        <v>304.60992308960545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2.9859382970904744</v>
      </c>
      <c r="BQ54" s="21">
        <f>EXP(-LN(2)/25)*BQ53+(1-EXP(-LN(2)/25))/(LN(2)/25)*Calculateur!BL54*Calculateur!BN54*VLOOKUP('Données projet'!$B$11,Paramètres!$A$1:$I$89,3,0)*0.475*44/12</f>
        <v>9.9041363942358362</v>
      </c>
      <c r="BR54" s="21">
        <f>EXP(-LN(2)/2)*BR53+(1-EXP(-LN(2)/2))/(LN(2)/2)*BL54*BO54*VLOOKUP('Données projet'!$B$11,Paramètres!$A$1:$I$89,3,0)*0.475*44/12</f>
        <v>2.5813723896926342E-3</v>
      </c>
      <c r="BS54" s="22">
        <f t="shared" si="9"/>
        <v>12.892656063716004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15.6</v>
      </c>
      <c r="BY54" s="12">
        <f>IF('Données projet'!$A$114&gt;35,BY53+BX54-CG53,IF(A54&lt;'Données projet'!$A$114,$BV$205^A54,IF(A54='Données projet'!$A$114,'Données projet'!$B$114,BY53+BX54-CG53)))</f>
        <v>306.59999999999985</v>
      </c>
      <c r="BZ54" s="13">
        <f>BY54*VLOOKUP('Données projet'!$B$12,Paramètres!$A$1:$I$89,3,0)*VLOOKUP('Données projet'!$B$12,Paramètres!$A$1:$I$89,5,0)</f>
        <v>183.34679999999994</v>
      </c>
      <c r="CA54" s="13">
        <f t="shared" si="39"/>
        <v>46.06598726946973</v>
      </c>
      <c r="CB54" s="20">
        <f t="shared" si="10"/>
        <v>399.56060449432636</v>
      </c>
      <c r="CC54" s="59">
        <f t="shared" si="11"/>
        <v>692.89393782765967</v>
      </c>
      <c r="CD54" s="59">
        <f ca="1">AVERAGE(OFFSET($CC$3,0,0,'Données projet'!$E$12+1,1))-AVERAGE(OFFSET($H$3,0,0,'Données projet'!$E$12+1,1))</f>
        <v>270.30888762640245</v>
      </c>
      <c r="CE54" s="59">
        <f t="shared" si="40"/>
        <v>202.23783851977691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1.413107844221736</v>
      </c>
      <c r="CL54" s="21">
        <f>EXP(-LN(2)/25)*CL53+(1-EXP(-LN(2)/25))/(LN(2)/25)*Calculateur!CG54*Calculateur!CI54*VLOOKUP('Données projet'!$B$12,Paramètres!$A$1:$I$89,3,0)*0.475*44/12</f>
        <v>6.8686389753825123</v>
      </c>
      <c r="CM54" s="21">
        <f>EXP(-LN(2)/2)*CM53+(1-EXP(-LN(2)/2))/(LN(2)/2)*CG54*CJ54*VLOOKUP('Données projet'!$B$12,Paramètres!$A$1:$I$89,3,0)*0.475*44/12</f>
        <v>1.2769774348941668E-2</v>
      </c>
      <c r="CN54" s="22">
        <f t="shared" si="12"/>
        <v>8.2945165939531886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6.8</v>
      </c>
      <c r="CT54" s="12">
        <f>IF('Données projet'!$A$140&gt;35,CT53+CS54-DB53,IF(A54&lt;'Données projet'!$A$140,$CQ$205^A54,IF(A54='Données projet'!$A$140,'Données projet'!$B$140,CT53+CS54-DB53)))</f>
        <v>248.79999999999984</v>
      </c>
      <c r="CU54" s="17">
        <f>CT54*VLOOKUP('Données projet'!$B$13,Paramètres!$A$1:$I$89,3,0)*VLOOKUP('Données projet'!$B$13,Paramètres!$A$1:$I$89,5,0)</f>
        <v>197.94527999999988</v>
      </c>
      <c r="CV54" s="13">
        <f t="shared" si="41"/>
        <v>49.29233142017484</v>
      </c>
      <c r="CW54" s="20">
        <f t="shared" si="13"/>
        <v>430.6055065568043</v>
      </c>
      <c r="CX54" s="59">
        <f t="shared" si="14"/>
        <v>723.93883989013761</v>
      </c>
      <c r="CY54" s="59">
        <f ca="1">AVERAGE(OFFSET($CX$3,0,0,'Données projet'!$E$13+1,1))-AVERAGE(OFFSET($H$3,0,0,'Données projet'!$E$13+1,1))</f>
        <v>260.20517190557814</v>
      </c>
      <c r="CZ54" s="59">
        <f t="shared" si="42"/>
        <v>307.22009971147133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2.1527708148566407</v>
      </c>
      <c r="DG54" s="21">
        <f>EXP(-LN(2)/25)*DG53+(1-EXP(-LN(2)/25))/(LN(2)/25)*Calculateur!DB54*Calculateur!DD54*VLOOKUP('Données projet'!$B$13,Paramètres!$A$1:$I$89,3,0)*0.475*44/12</f>
        <v>11.463144101383683</v>
      </c>
      <c r="DH54" s="21">
        <f>EXP(-LN(2)/2)*DH53+(1-EXP(-LN(2)/2))/(LN(2)/2)*DB54*DE54*VLOOKUP('Données projet'!$B$13,Paramètres!$A$1:$I$89,3,0)*0.475*44/12</f>
        <v>1.659976966142614E-2</v>
      </c>
      <c r="DI54" s="22">
        <f t="shared" si="15"/>
        <v>13.63251468590175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8.8736263736263741</v>
      </c>
      <c r="DO54" s="12">
        <f>IF('Données projet'!$A$166&gt;35,DO53+DN54-DW53,IF(A54&lt;'Données projet'!$A$166,$DL$205^A54,IF(A54='Données projet'!$A$166,'Données projet'!$B$166,DO53+DN54-DW53)))</f>
        <v>162.94780219780222</v>
      </c>
      <c r="DP54" s="17">
        <f>DO54*VLOOKUP('Données projet'!$B$14,Paramètres!$A$1:$I$89,3,0)*VLOOKUP('Données projet'!$B$14,Paramètres!$A$1:$I$89,5,0)</f>
        <v>165.22907142857144</v>
      </c>
      <c r="DQ54" s="13">
        <f t="shared" si="43"/>
        <v>42.019730517668535</v>
      </c>
      <c r="DR54" s="20">
        <f t="shared" si="16"/>
        <v>360.95833005636797</v>
      </c>
      <c r="DS54" s="59">
        <f t="shared" si="17"/>
        <v>654.29166338970128</v>
      </c>
      <c r="DT54" s="59">
        <f ca="1">AVERAGE(OFFSET($DS$3,0,0,'Données projet'!$E$14+1,1))-AVERAGE(OFFSET($H$3,0,0,'Données projet'!$E$14+1,1))</f>
        <v>263.15518481854753</v>
      </c>
      <c r="DU54" s="59">
        <f t="shared" si="44"/>
        <v>210.80755370263819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0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6.8</v>
      </c>
      <c r="EJ54" s="12">
        <f>IF('Données projet'!$A$192&gt;35,EJ53+EI54-ER53,IF(A54&lt;'Données projet'!$A$192,$EG$205^A54,IF(A54='Données projet'!$A$192,'Données projet'!$B$192,EJ53+EI54-ER53)))</f>
        <v>248.79999999999984</v>
      </c>
      <c r="EK54" s="17">
        <f>EJ54*VLOOKUP('Données projet'!$B$15,Paramètres!$A$1:$I$89,3,0)*VLOOKUP('Données projet'!$B$15,Paramètres!$A$1:$I$89,5,0)</f>
        <v>166.89503999999988</v>
      </c>
      <c r="EL54" s="13">
        <f t="shared" si="45"/>
        <v>42.393871547398746</v>
      </c>
      <c r="EM54" s="20">
        <f t="shared" si="19"/>
        <v>364.51152094505261</v>
      </c>
      <c r="EN54" s="59">
        <f t="shared" si="20"/>
        <v>657.84485427838592</v>
      </c>
      <c r="EO54" s="59">
        <f ca="1">AVERAGE(OFFSET($EN$3,0,0,'Données projet'!$E$15+1,1))-AVERAGE(OFFSET($H$3,0,0,'Données projet'!$E$15+1,1))</f>
        <v>207.93042467236967</v>
      </c>
      <c r="EP54" s="59">
        <f t="shared" si="46"/>
        <v>250.70954318710835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1.8150812752712848</v>
      </c>
      <c r="EW54" s="21">
        <f>EXP(-LN(2)/25)*EW53+(1-EXP(-LN(2)/25))/(LN(2)/25)*Calculateur!ER54*Calculateur!ET54*VLOOKUP('Données projet'!$B$15,Paramètres!$A$1:$I$89,3,0)*0.475*44/12</f>
        <v>9.6650038501862472</v>
      </c>
      <c r="EX54" s="21">
        <f>EXP(-LN(2)/2)*EX53+(1-EXP(-LN(2)/2))/(LN(2)/2)*ER54*EU54*VLOOKUP('Données projet'!$B$15,Paramètres!$A$1:$I$89,3,0)*0.475*44/12</f>
        <v>1.3995884224339686E-2</v>
      </c>
      <c r="EY54" s="22">
        <f t="shared" si="21"/>
        <v>11.494081009681871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8.8736263736263741</v>
      </c>
      <c r="FE54" s="12">
        <f>IF('Données projet'!$A$218&gt;35,FE53+FD54-FM53,IF(A54&lt;'Données projet'!$A$218,$FB$205^A54,IF(A54='Données projet'!$A$218,'Données projet'!$B$218,FE53+FD54-FM53)))</f>
        <v>162.94780219780222</v>
      </c>
      <c r="FF54" s="17">
        <f>FE54*VLOOKUP('Données projet'!$B$16,Paramètres!$A$1:$I$89,3,0)*VLOOKUP('Données projet'!$B$16,Paramètres!$A$1:$I$89,5,0)</f>
        <v>175.39701428571431</v>
      </c>
      <c r="FG54" s="13">
        <f t="shared" si="47"/>
        <v>44.296567810404312</v>
      </c>
      <c r="FH54" s="20">
        <f t="shared" si="22"/>
        <v>382.63298881740661</v>
      </c>
      <c r="FI54" s="59">
        <f t="shared" si="23"/>
        <v>675.96632215073987</v>
      </c>
      <c r="FJ54" s="59">
        <f ca="1">AVERAGE(OFFSET($FI$3,0,0,'Données projet'!$E$16+1,1))-AVERAGE(OFFSET($H$3,0,0,'Données projet'!$E$16+1,1))</f>
        <v>286.77702855541287</v>
      </c>
      <c r="FK54" s="59">
        <f t="shared" si="48"/>
        <v>227.12211541860779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0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0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>
        <f>VLOOKUP(A54,'Données projet'!$A$243:$I$263,2,0)</f>
        <v>387.56923076923073</v>
      </c>
      <c r="FX54" s="12">
        <f>VLOOKUP(A54,'Données projet'!$A$243:$I$263,9,0)</f>
        <v>11.443589743589742</v>
      </c>
      <c r="FY54" s="12">
        <f t="array" ref="FY54">INDEX(FX:FX,MIN(IF(ISNUMBER(FX54:FX250),ROW(FX54:FX250),"")))</f>
        <v>11.443589743589742</v>
      </c>
      <c r="FZ54" s="12">
        <f>IF('Données projet'!$A$244&gt;35,FZ53+FY54-GH53,IF(A54&lt;'Données projet'!$A$244,$FW$205^A54,IF(A54='Données projet'!$A$244,'Données projet'!$B$244,FZ53+FY54-GH53)))</f>
        <v>387.56923076923101</v>
      </c>
      <c r="GA54" s="17">
        <f>FZ54*VLOOKUP('Données projet'!$B$17,Paramètres!$A$1:$I$89,3,0)*VLOOKUP('Données projet'!$B$17,Paramètres!$A$1:$I$89,5,0)</f>
        <v>181.3824000000001</v>
      </c>
      <c r="GB54" s="13">
        <f t="shared" si="49"/>
        <v>45.629607617375228</v>
      </c>
      <c r="GC54" s="20">
        <f t="shared" si="25"/>
        <v>395.37924660026198</v>
      </c>
      <c r="GD54" s="59">
        <f t="shared" si="26"/>
        <v>688.71257993359529</v>
      </c>
      <c r="GE54" s="59">
        <f ca="1">AVERAGE(OFFSET($GD$3,0,0,'Données projet'!$E$17+1,1))-AVERAGE(OFFSET($H$3,0,0,'Données projet'!$E$17+1,1))</f>
        <v>123.2823358462245</v>
      </c>
      <c r="GF54" s="59">
        <f t="shared" si="50"/>
        <v>92.75115399786057</v>
      </c>
      <c r="GG54" s="15">
        <f>IF(ISNA(VLOOKUP(A54,'Données projet'!$A$243:$I$263,3,0)),0,VLOOKUP(A54,'Données projet'!$A$243:$I$263,3,0))</f>
        <v>1</v>
      </c>
      <c r="GH54" s="15">
        <f>IF(ISNA(VLOOKUP(A54,'Données projet'!$A$243:$I$263,4,0)),0,VLOOKUP(A54,'Données projet'!$A$243:$I$263,4,0))</f>
        <v>170.16153846153847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0</v>
      </c>
      <c r="GM54" s="21">
        <f>EXP(-LN(2)/25)*GM53+(1-EXP(-LN(2)/25))/(LN(2)/25)*Calculateur!GH54*Calculateur!GJ54*VLOOKUP('Données projet'!$B$17,Paramètres!$A$1:$I$89,3,0)*0.475*44/12</f>
        <v>0</v>
      </c>
      <c r="GN54" s="21">
        <f>EXP(-LN(2)/2)*GN53+(1-EXP(-LN(2)/2))/(LN(2)/2)*GH54*GK54*VLOOKUP('Données projet'!$B$17,Paramètres!$A$1:$I$89,3,0)*0.475*44/12</f>
        <v>0</v>
      </c>
      <c r="GO54" s="21">
        <f t="shared" si="27"/>
        <v>0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11.642307692307689</v>
      </c>
      <c r="GU54" s="12">
        <f>IF('Données projet'!$A$270&gt;35,GU53+GT54-HC53,IF(A54&lt;'Données projet'!$A$270,$GR$205^A54,IF(A54='Données projet'!$A$270,'Données projet'!$B$270,GU53+GT54-HC53)))</f>
        <v>320.17307692307668</v>
      </c>
      <c r="GV54" s="17">
        <f>GU54*VLOOKUP('Données projet'!$B$18,Paramètres!$A$1:$I$89,3,0)*VLOOKUP('Données projet'!$B$18,Paramètres!$A$1:$I$89,5,0)</f>
        <v>191.46349999999987</v>
      </c>
      <c r="GW54" s="13">
        <f t="shared" si="51"/>
        <v>47.863367286908087</v>
      </c>
      <c r="GX54" s="20">
        <f t="shared" si="28"/>
        <v>416.82762719136463</v>
      </c>
      <c r="GY54" s="59">
        <f t="shared" si="29"/>
        <v>710.16096052469788</v>
      </c>
      <c r="GZ54" s="59">
        <f ca="1">AVERAGE(OFFSET($GY$3,0,0,'Données projet'!$E$18+1,1))-AVERAGE(OFFSET($H$3,0,0,'Données projet'!$E$18+1,1))</f>
        <v>171.96009656745713</v>
      </c>
      <c r="HA54" s="59">
        <f t="shared" si="52"/>
        <v>172.37574906747716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>
        <f>EXP(-LN(2)/35)*HG53+(1-EXP(-LN(2)/35))/(LN(2)/35)*HC54*HD54*VLOOKUP('Données projet'!$B$18,Paramètres!$A$1:$I$89,3,0)*0.475*44/12</f>
        <v>1.1005030653153298</v>
      </c>
      <c r="HH54" s="21">
        <f>EXP(-LN(2)/25)*HH53+(1-EXP(-LN(2)/25))/(LN(2)/25)*Calculateur!HC54*Calculateur!HE54*VLOOKUP('Données projet'!$B$18,Paramètres!$A$1:$I$89,3,0)*0.475*44/12</f>
        <v>11.484019380241778</v>
      </c>
      <c r="HI54" s="21">
        <f>EXP(-LN(2)/2)*HI53+(1-EXP(-LN(2)/2))/(LN(2)/2)*HC54*HF54*VLOOKUP('Données projet'!$B$18,Paramètres!$A$1:$I$89,3,0)*0.475*44/12</f>
        <v>8.3172201012872739E-3</v>
      </c>
      <c r="HJ54" s="22">
        <f t="shared" si="30"/>
        <v>12.592839665658394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20.507692307692299</v>
      </c>
      <c r="N55" s="13">
        <f>IF('Données projet'!$A$36&gt;35,N54+M55-V54,IF(A55&lt;'Données projet'!$A$36,$K$205^A55,IF(A55='Données projet'!$A$36,'Données projet'!$B$36,N54+M55-V54)))</f>
        <v>525.78461538461511</v>
      </c>
      <c r="O55" s="13">
        <f>N55*VLOOKUP('Données projet'!$B$9,Paramètres!$A$1:$I$89,3,0)*VLOOKUP('Données projet'!$B$9,Paramètres!$A$1:$I$89,5,0)</f>
        <v>293.91359999999986</v>
      </c>
      <c r="P55" s="13">
        <f t="shared" si="33"/>
        <v>69.899002171586702</v>
      </c>
      <c r="Q55" s="20">
        <f t="shared" si="53"/>
        <v>633.64028211551329</v>
      </c>
      <c r="R55" s="59">
        <f t="shared" si="0"/>
        <v>926.97361544884666</v>
      </c>
      <c r="S55" s="59">
        <f ca="1">AVERAGE(OFFSET($R$3,0,0,'Données projet'!$E$9+1,1))-AVERAGE(OFFSET($H$3,0,0,'Données projet'!$E$9+1,1))</f>
        <v>255.5374979188561</v>
      </c>
      <c r="T55" s="59">
        <f t="shared" si="34"/>
        <v>343.10418468620901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1.998689660869069</v>
      </c>
      <c r="AA55" s="21">
        <f>EXP(-LN(2)/25)*AA54+(1-EXP(-LN(2)/25))/(LN(2)/25)*Calculateur!V55*Calculateur!X55*VLOOKUP('Données projet'!$B$9,Paramètres!$A$1:$I$89,3,0)*0.475*44/12</f>
        <v>8.672285005906037</v>
      </c>
      <c r="AB55" s="21">
        <f>EXP(-LN(2)/2)*AB54+(1-EXP(-LN(2)/2))/(LN(2)/2)*V55*Y55*VLOOKUP('Données projet'!$B$9,Paramètres!$A$1:$I$89,3,0)*0.475*44/12</f>
        <v>8.2649027317093068E-4</v>
      </c>
      <c r="AC55" s="22">
        <f t="shared" si="3"/>
        <v>10.671801157048277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14.668131868131875</v>
      </c>
      <c r="AI55" s="13">
        <f>IF('Données projet'!$A$62&gt;35,AI54+AH55-AQ54,IF(A55&lt;'Données projet'!$A$62,$AF$205^A55,IF(A55='Données projet'!$A$62,'Données projet'!$B$62,AI54+AH55-AQ54)))</f>
        <v>289.3813186813187</v>
      </c>
      <c r="AJ55" s="13">
        <f>AI55*VLOOKUP('Données projet'!$B$10,Paramètres!$A$1:$I$89,3,0)*VLOOKUP('Données projet'!$B$10,Paramètres!$A$1:$I$89,5,0)</f>
        <v>135.43045714285716</v>
      </c>
      <c r="AK55" s="13">
        <f t="shared" si="35"/>
        <v>35.248174253598229</v>
      </c>
      <c r="AL55" s="20">
        <f t="shared" si="4"/>
        <v>297.26528301549314</v>
      </c>
      <c r="AM55" s="59">
        <f t="shared" si="5"/>
        <v>590.59861634882645</v>
      </c>
      <c r="AN55" s="59">
        <f ca="1">AVERAGE(OFFSET($AM$3,0,0,'Données projet'!$E$10+1,1))-AVERAGE(OFFSET($H$3,0,0,'Données projet'!$E$10+1,1))</f>
        <v>158.58786357608489</v>
      </c>
      <c r="AO55" s="59">
        <f t="shared" si="36"/>
        <v>163.20074068819849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12.837499999999991</v>
      </c>
      <c r="BD55" s="12">
        <f>IF('Données projet'!$A$88&gt;35,BD54+BC55-BL54,IF(A55&lt;'Données projet'!$A$88,$BA$205^A55,IF(A55='Données projet'!$A$88,'Données projet'!$B$88,BD54+BC55-BL54)))</f>
        <v>395.12692307692294</v>
      </c>
      <c r="BE55" s="13">
        <f>BD55*VLOOKUP('Données projet'!$B$11,Paramètres!$A$1:$I$89,3,0)*VLOOKUP('Données projet'!$B$11,Paramètres!$A$1:$I$89,5,0)</f>
        <v>236.28589999999994</v>
      </c>
      <c r="BF55" s="13">
        <f t="shared" si="37"/>
        <v>57.639699864397812</v>
      </c>
      <c r="BG55" s="20">
        <f t="shared" si="7"/>
        <v>511.92041976382615</v>
      </c>
      <c r="BH55" s="59">
        <f t="shared" si="8"/>
        <v>805.25375309715946</v>
      </c>
      <c r="BI55" s="59">
        <f ca="1">AVERAGE(OFFSET($BH$3,0,0,'Données projet'!$E$11+1,1))-AVERAGE(OFFSET($H$3,0,0,'Données projet'!$E$11+1,1))</f>
        <v>243.85350804244348</v>
      </c>
      <c r="BJ55" s="59">
        <f t="shared" si="38"/>
        <v>304.60992308960545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2.9273858683270588</v>
      </c>
      <c r="BQ55" s="21">
        <f>EXP(-LN(2)/25)*BQ54+(1-EXP(-LN(2)/25))/(LN(2)/25)*Calculateur!BL55*Calculateur!BN55*VLOOKUP('Données projet'!$B$11,Paramètres!$A$1:$I$89,3,0)*0.475*44/12</f>
        <v>9.6333072636995603</v>
      </c>
      <c r="BR55" s="21">
        <f>EXP(-LN(2)/2)*BR54+(1-EXP(-LN(2)/2))/(LN(2)/2)*BL55*BO55*VLOOKUP('Données projet'!$B$11,Paramètres!$A$1:$I$89,3,0)*0.475*44/12</f>
        <v>1.8253059215193848E-3</v>
      </c>
      <c r="BS55" s="22">
        <f t="shared" si="9"/>
        <v>12.562518437948139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15.6</v>
      </c>
      <c r="BY55" s="12">
        <f>IF('Données projet'!$A$114&gt;35,BY54+BX55-CG54,IF(A55&lt;'Données projet'!$A$114,$BV$205^A55,IF(A55='Données projet'!$A$114,'Données projet'!$B$114,BY54+BX55-CG54)))</f>
        <v>322.19999999999987</v>
      </c>
      <c r="BZ55" s="13">
        <f>BY55*VLOOKUP('Données projet'!$B$12,Paramètres!$A$1:$I$89,3,0)*VLOOKUP('Données projet'!$B$12,Paramètres!$A$1:$I$89,5,0)</f>
        <v>192.67559999999995</v>
      </c>
      <c r="CA55" s="13">
        <f t="shared" si="39"/>
        <v>48.131007733172943</v>
      </c>
      <c r="CB55" s="20">
        <f t="shared" si="10"/>
        <v>419.40484180194272</v>
      </c>
      <c r="CC55" s="59">
        <f t="shared" si="11"/>
        <v>712.73817513527604</v>
      </c>
      <c r="CD55" s="59">
        <f ca="1">AVERAGE(OFFSET($CC$3,0,0,'Données projet'!$E$12+1,1))-AVERAGE(OFFSET($H$3,0,0,'Données projet'!$E$12+1,1))</f>
        <v>270.30888762640245</v>
      </c>
      <c r="CE55" s="59">
        <f t="shared" si="40"/>
        <v>202.23783851977691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1.3853976613072261</v>
      </c>
      <c r="CL55" s="21">
        <f>EXP(-LN(2)/25)*CL54+(1-EXP(-LN(2)/25))/(LN(2)/25)*Calculateur!CG55*Calculateur!CI55*VLOOKUP('Données projet'!$B$12,Paramètres!$A$1:$I$89,3,0)*0.475*44/12</f>
        <v>6.6808156813946526</v>
      </c>
      <c r="CM55" s="21">
        <f>EXP(-LN(2)/2)*CM54+(1-EXP(-LN(2)/2))/(LN(2)/2)*CG55*CJ55*VLOOKUP('Données projet'!$B$12,Paramètres!$A$1:$I$89,3,0)*0.475*44/12</f>
        <v>9.0295940363586836E-3</v>
      </c>
      <c r="CN55" s="22">
        <f t="shared" si="12"/>
        <v>8.0752429367382366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6.8</v>
      </c>
      <c r="CT55" s="12">
        <f>IF('Données projet'!$A$140&gt;35,CT54+CS55-DB54,IF(A55&lt;'Données projet'!$A$140,$CQ$205^A55,IF(A55='Données projet'!$A$140,'Données projet'!$B$140,CT54+CS55-DB54)))</f>
        <v>255.59999999999985</v>
      </c>
      <c r="CU55" s="17">
        <f>CT55*VLOOKUP('Données projet'!$B$13,Paramètres!$A$1:$I$89,3,0)*VLOOKUP('Données projet'!$B$13,Paramètres!$A$1:$I$89,5,0)</f>
        <v>203.35535999999991</v>
      </c>
      <c r="CV55" s="13">
        <f t="shared" si="41"/>
        <v>50.480858741452501</v>
      </c>
      <c r="CW55" s="20">
        <f t="shared" si="13"/>
        <v>442.09808097469619</v>
      </c>
      <c r="CX55" s="59">
        <f t="shared" si="14"/>
        <v>735.4314143080295</v>
      </c>
      <c r="CY55" s="59">
        <f ca="1">AVERAGE(OFFSET($CX$3,0,0,'Données projet'!$E$13+1,1))-AVERAGE(OFFSET($H$3,0,0,'Données projet'!$E$13+1,1))</f>
        <v>260.20517190557814</v>
      </c>
      <c r="CZ55" s="59">
        <f t="shared" si="42"/>
        <v>307.22009971147133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2.1105562922378449</v>
      </c>
      <c r="DG55" s="21">
        <f>EXP(-LN(2)/25)*DG54+(1-EXP(-LN(2)/25))/(LN(2)/25)*Calculateur!DB55*Calculateur!DD55*VLOOKUP('Données projet'!$B$13,Paramètres!$A$1:$I$89,3,0)*0.475*44/12</f>
        <v>11.149683823110797</v>
      </c>
      <c r="DH55" s="21">
        <f>EXP(-LN(2)/2)*DH54+(1-EXP(-LN(2)/2))/(LN(2)/2)*DB55*DE55*VLOOKUP('Données projet'!$B$13,Paramètres!$A$1:$I$89,3,0)*0.475*44/12</f>
        <v>1.1737809693729144E-2</v>
      </c>
      <c r="DI55" s="22">
        <f t="shared" si="15"/>
        <v>13.271977925042371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8.8736263736263741</v>
      </c>
      <c r="DO55" s="12">
        <f>IF('Données projet'!$A$166&gt;35,DO54+DN55-DW54,IF(A55&lt;'Données projet'!$A$166,$DL$205^A55,IF(A55='Données projet'!$A$166,'Données projet'!$B$166,DO54+DN55-DW54)))</f>
        <v>171.82142857142858</v>
      </c>
      <c r="DP55" s="17">
        <f>DO55*VLOOKUP('Données projet'!$B$14,Paramètres!$A$1:$I$89,3,0)*VLOOKUP('Données projet'!$B$14,Paramètres!$A$1:$I$89,5,0)</f>
        <v>174.2269285714286</v>
      </c>
      <c r="DQ55" s="13">
        <f t="shared" si="43"/>
        <v>44.035357527108694</v>
      </c>
      <c r="DR55" s="20">
        <f t="shared" si="16"/>
        <v>380.14014828828573</v>
      </c>
      <c r="DS55" s="59">
        <f t="shared" si="17"/>
        <v>673.47348162161904</v>
      </c>
      <c r="DT55" s="59">
        <f ca="1">AVERAGE(OFFSET($DS$3,0,0,'Données projet'!$E$14+1,1))-AVERAGE(OFFSET($H$3,0,0,'Données projet'!$E$14+1,1))</f>
        <v>263.15518481854753</v>
      </c>
      <c r="DU55" s="59">
        <f t="shared" si="44"/>
        <v>210.80755370263819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0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6.8</v>
      </c>
      <c r="EJ55" s="12">
        <f>IF('Données projet'!$A$192&gt;35,EJ54+EI55-ER54,IF(A55&lt;'Données projet'!$A$192,$EG$205^A55,IF(A55='Données projet'!$A$192,'Données projet'!$B$192,EJ54+EI55-ER54)))</f>
        <v>255.59999999999985</v>
      </c>
      <c r="EK55" s="17">
        <f>EJ55*VLOOKUP('Données projet'!$B$15,Paramètres!$A$1:$I$89,3,0)*VLOOKUP('Données projet'!$B$15,Paramètres!$A$1:$I$89,5,0)</f>
        <v>171.45647999999989</v>
      </c>
      <c r="EL55" s="13">
        <f t="shared" si="45"/>
        <v>43.416064516104512</v>
      </c>
      <c r="EM55" s="20">
        <f t="shared" si="19"/>
        <v>374.23634836554851</v>
      </c>
      <c r="EN55" s="59">
        <f t="shared" si="20"/>
        <v>667.56968169888182</v>
      </c>
      <c r="EO55" s="59">
        <f ca="1">AVERAGE(OFFSET($EN$3,0,0,'Données projet'!$E$15+1,1))-AVERAGE(OFFSET($H$3,0,0,'Données projet'!$E$15+1,1))</f>
        <v>207.93042467236967</v>
      </c>
      <c r="EP55" s="59">
        <f t="shared" si="46"/>
        <v>250.70954318710835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1.7794886385534767</v>
      </c>
      <c r="EW55" s="21">
        <f>EXP(-LN(2)/25)*EW54+(1-EXP(-LN(2)/25))/(LN(2)/25)*Calculateur!ER55*Calculateur!ET55*VLOOKUP('Données projet'!$B$15,Paramètres!$A$1:$I$89,3,0)*0.475*44/12</f>
        <v>9.4007138116424418</v>
      </c>
      <c r="EX55" s="21">
        <f>EXP(-LN(2)/2)*EX54+(1-EXP(-LN(2)/2))/(LN(2)/2)*ER55*EU55*VLOOKUP('Données projet'!$B$15,Paramètres!$A$1:$I$89,3,0)*0.475*44/12</f>
        <v>9.8965846437324145E-3</v>
      </c>
      <c r="EY55" s="22">
        <f t="shared" si="21"/>
        <v>11.190099034839651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8.8736263736263741</v>
      </c>
      <c r="FE55" s="12">
        <f>IF('Données projet'!$A$218&gt;35,FE54+FD55-FM54,IF(A55&lt;'Données projet'!$A$218,$FB$205^A55,IF(A55='Données projet'!$A$218,'Données projet'!$B$218,FE54+FD55-FM54)))</f>
        <v>171.82142857142858</v>
      </c>
      <c r="FF55" s="17">
        <f>FE55*VLOOKUP('Données projet'!$B$16,Paramètres!$A$1:$I$89,3,0)*VLOOKUP('Données projet'!$B$16,Paramètres!$A$1:$I$89,5,0)</f>
        <v>184.94858571428571</v>
      </c>
      <c r="FG55" s="13">
        <f t="shared" si="47"/>
        <v>46.42141148275023</v>
      </c>
      <c r="FH55" s="20">
        <f t="shared" si="22"/>
        <v>402.96941178483758</v>
      </c>
      <c r="FI55" s="59">
        <f t="shared" si="23"/>
        <v>696.30274511817083</v>
      </c>
      <c r="FJ55" s="59">
        <f ca="1">AVERAGE(OFFSET($FI$3,0,0,'Données projet'!$E$16+1,1))-AVERAGE(OFFSET($H$3,0,0,'Données projet'!$E$16+1,1))</f>
        <v>286.77702855541287</v>
      </c>
      <c r="FK55" s="59">
        <f t="shared" si="48"/>
        <v>227.12211541860779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0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0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11.170769230769238</v>
      </c>
      <c r="FZ55" s="12">
        <f>IF('Données projet'!$A$244&gt;35,FZ54+FY55-GH54,IF(A55&lt;'Données projet'!$A$244,$FW$205^A55,IF(A55='Données projet'!$A$244,'Données projet'!$B$244,FZ54+FY55-GH54)))</f>
        <v>228.57846153846177</v>
      </c>
      <c r="GA55" s="17">
        <f>FZ55*VLOOKUP('Données projet'!$B$17,Paramètres!$A$1:$I$89,3,0)*VLOOKUP('Données projet'!$B$17,Paramètres!$A$1:$I$89,5,0)</f>
        <v>106.9747200000001</v>
      </c>
      <c r="GB55" s="13">
        <f t="shared" si="49"/>
        <v>28.617052249308387</v>
      </c>
      <c r="GC55" s="20">
        <f t="shared" si="25"/>
        <v>236.15567000087893</v>
      </c>
      <c r="GD55" s="59">
        <f t="shared" si="26"/>
        <v>529.48900333421227</v>
      </c>
      <c r="GE55" s="59">
        <f ca="1">AVERAGE(OFFSET($GD$3,0,0,'Données projet'!$E$17+1,1))-AVERAGE(OFFSET($H$3,0,0,'Données projet'!$E$17+1,1))</f>
        <v>123.2823358462245</v>
      </c>
      <c r="GF55" s="59">
        <f t="shared" si="50"/>
        <v>92.75115399786057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0</v>
      </c>
      <c r="GM55" s="21">
        <f>EXP(-LN(2)/25)*GM54+(1-EXP(-LN(2)/25))/(LN(2)/25)*Calculateur!GH55*Calculateur!GJ55*VLOOKUP('Données projet'!$B$17,Paramètres!$A$1:$I$89,3,0)*0.475*44/12</f>
        <v>0</v>
      </c>
      <c r="GN55" s="21">
        <f>EXP(-LN(2)/2)*GN54+(1-EXP(-LN(2)/2))/(LN(2)/2)*GH55*GK55*VLOOKUP('Données projet'!$B$17,Paramètres!$A$1:$I$89,3,0)*0.475*44/12</f>
        <v>0</v>
      </c>
      <c r="GO55" s="21">
        <f t="shared" si="27"/>
        <v>0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>
        <f>VLOOKUP(A55,'Données projet'!$A$269:$I$289,2,0)</f>
        <v>331.81538461538463</v>
      </c>
      <c r="GS55" s="12">
        <f>VLOOKUP(A55,'Données projet'!$A$269:$I$289,9,0)</f>
        <v>11.642307692307689</v>
      </c>
      <c r="GT55" s="12">
        <f t="array" ref="GT55">INDEX(GS:GS,MIN(IF(ISNUMBER(GS55:GS251),ROW(GS55:GS251),"")))</f>
        <v>11.642307692307689</v>
      </c>
      <c r="GU55" s="12">
        <f>IF('Données projet'!$A$270&gt;35,GU54+GT55-HC54,IF(A55&lt;'Données projet'!$A$270,$GR$205^A55,IF(A55='Données projet'!$A$270,'Données projet'!$B$270,GU54+GT55-HC54)))</f>
        <v>331.81538461538435</v>
      </c>
      <c r="GV55" s="17">
        <f>GU55*VLOOKUP('Données projet'!$B$18,Paramètres!$A$1:$I$89,3,0)*VLOOKUP('Données projet'!$B$18,Paramètres!$A$1:$I$89,5,0)</f>
        <v>198.42559999999986</v>
      </c>
      <c r="GW55" s="13">
        <f t="shared" si="51"/>
        <v>49.398003268862659</v>
      </c>
      <c r="GX55" s="20">
        <f t="shared" si="28"/>
        <v>431.62610902660225</v>
      </c>
      <c r="GY55" s="59">
        <f t="shared" si="29"/>
        <v>724.95944235993557</v>
      </c>
      <c r="GZ55" s="59">
        <f ca="1">AVERAGE(OFFSET($GY$3,0,0,'Données projet'!$E$18+1,1))-AVERAGE(OFFSET($H$3,0,0,'Données projet'!$E$18+1,1))</f>
        <v>171.96009656745713</v>
      </c>
      <c r="HA55" s="59">
        <f t="shared" si="52"/>
        <v>172.37574906747716</v>
      </c>
      <c r="HB55" s="15">
        <f>IF(ISNA(VLOOKUP(A55,'Données projet'!$A$269:$I$289,3,0)),0,VLOOKUP(A55,'Données projet'!$A$269:$I$289,3,0))</f>
        <v>6</v>
      </c>
      <c r="HC55" s="15">
        <f>IF(ISNA(VLOOKUP(A55,'Données projet'!$A$269:$I$289,4,0)),0,VLOOKUP(A55,'Données projet'!$A$269:$I$289,4,0))</f>
        <v>61.784615384615378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>
        <f>EXP(-LN(2)/35)*HG54+(1-EXP(-LN(2)/35))/(LN(2)/35)*HC55*HD55*VLOOKUP('Données projet'!$B$18,Paramètres!$A$1:$I$89,3,0)*0.475*44/12</f>
        <v>1.0789228714450865</v>
      </c>
      <c r="HH55" s="21">
        <f>EXP(-LN(2)/25)*HH54+(1-EXP(-LN(2)/25))/(LN(2)/25)*Calculateur!HC55*Calculateur!HE55*VLOOKUP('Données projet'!$B$18,Paramètres!$A$1:$I$89,3,0)*0.475*44/12</f>
        <v>11.169988266370733</v>
      </c>
      <c r="HI55" s="21">
        <f>EXP(-LN(2)/2)*HI54+(1-EXP(-LN(2)/2))/(LN(2)/2)*HC55*HF55*VLOOKUP('Données projet'!$B$18,Paramètres!$A$1:$I$89,3,0)*0.475*44/12</f>
        <v>5.881162734241295E-3</v>
      </c>
      <c r="HJ55" s="22">
        <f t="shared" si="30"/>
        <v>12.254792300550061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20.507692307692299</v>
      </c>
      <c r="N56" s="13">
        <f>IF('Données projet'!$A$36&gt;35,N55+M56-V55,IF(A56&lt;'Données projet'!$A$36,$K$205^A56,IF(A56='Données projet'!$A$36,'Données projet'!$B$36,N55+M56-V55)))</f>
        <v>546.29230769230742</v>
      </c>
      <c r="O56" s="13">
        <f>N56*VLOOKUP('Données projet'!$B$9,Paramètres!$A$1:$I$89,3,0)*VLOOKUP('Données projet'!$B$9,Paramètres!$A$1:$I$89,5,0)</f>
        <v>305.37739999999985</v>
      </c>
      <c r="P56" s="13">
        <f t="shared" si="33"/>
        <v>72.302604807906476</v>
      </c>
      <c r="Q56" s="20">
        <f t="shared" si="53"/>
        <v>657.79267504043685</v>
      </c>
      <c r="R56" s="59">
        <f t="shared" si="0"/>
        <v>951.12600837377022</v>
      </c>
      <c r="S56" s="59">
        <f ca="1">AVERAGE(OFFSET($R$3,0,0,'Données projet'!$E$9+1,1))-AVERAGE(OFFSET($H$3,0,0,'Données projet'!$E$9+1,1))</f>
        <v>255.5374979188561</v>
      </c>
      <c r="T56" s="59">
        <f t="shared" si="34"/>
        <v>343.10418468620901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1.9594965756997456</v>
      </c>
      <c r="AA56" s="21">
        <f>EXP(-LN(2)/25)*AA55+(1-EXP(-LN(2)/25))/(LN(2)/25)*Calculateur!V56*Calculateur!X56*VLOOKUP('Données projet'!$B$9,Paramètres!$A$1:$I$89,3,0)*0.475*44/12</f>
        <v>8.4351409163638884</v>
      </c>
      <c r="AB56" s="21">
        <f>EXP(-LN(2)/2)*AB55+(1-EXP(-LN(2)/2))/(LN(2)/2)*V56*Y56*VLOOKUP('Données projet'!$B$9,Paramètres!$A$1:$I$89,3,0)*0.475*44/12</f>
        <v>5.8441687674388716E-4</v>
      </c>
      <c r="AC56" s="22">
        <f t="shared" si="3"/>
        <v>10.395221908940378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14.668131868131875</v>
      </c>
      <c r="AI56" s="13">
        <f>IF('Données projet'!$A$62&gt;35,AI55+AH56-AQ55,IF(A56&lt;'Données projet'!$A$62,$AF$205^A56,IF(A56='Données projet'!$A$62,'Données projet'!$B$62,AI55+AH56-AQ55)))</f>
        <v>304.04945054945057</v>
      </c>
      <c r="AJ56" s="13">
        <f>AI56*VLOOKUP('Données projet'!$B$10,Paramètres!$A$1:$I$89,3,0)*VLOOKUP('Données projet'!$B$10,Paramètres!$A$1:$I$89,5,0)</f>
        <v>142.29514285714285</v>
      </c>
      <c r="AK56" s="13">
        <f t="shared" si="35"/>
        <v>36.822291864436032</v>
      </c>
      <c r="AL56" s="20">
        <f t="shared" si="4"/>
        <v>311.96286547341651</v>
      </c>
      <c r="AM56" s="59">
        <f t="shared" si="5"/>
        <v>605.29619880674977</v>
      </c>
      <c r="AN56" s="59">
        <f ca="1">AVERAGE(OFFSET($AM$3,0,0,'Données projet'!$E$10+1,1))-AVERAGE(OFFSET($H$3,0,0,'Données projet'!$E$10+1,1))</f>
        <v>158.58786357608489</v>
      </c>
      <c r="AO56" s="59">
        <f t="shared" si="36"/>
        <v>163.20074068819849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12.837499999999991</v>
      </c>
      <c r="BD56" s="12">
        <f>IF('Données projet'!$A$88&gt;35,BD55+BC56-BL55,IF(A56&lt;'Données projet'!$A$88,$BA$205^A56,IF(A56='Données projet'!$A$88,'Données projet'!$B$88,BD55+BC56-BL55)))</f>
        <v>407.96442307692291</v>
      </c>
      <c r="BE56" s="13">
        <f>BD56*VLOOKUP('Données projet'!$B$11,Paramètres!$A$1:$I$89,3,0)*VLOOKUP('Données projet'!$B$11,Paramètres!$A$1:$I$89,5,0)</f>
        <v>243.96272499999992</v>
      </c>
      <c r="BF56" s="13">
        <f t="shared" si="37"/>
        <v>59.291315745845196</v>
      </c>
      <c r="BG56" s="20">
        <f t="shared" si="7"/>
        <v>528.16745429901368</v>
      </c>
      <c r="BH56" s="59">
        <f t="shared" si="8"/>
        <v>821.50078763234706</v>
      </c>
      <c r="BI56" s="59">
        <f ca="1">AVERAGE(OFFSET($BH$3,0,0,'Données projet'!$E$11+1,1))-AVERAGE(OFFSET($H$3,0,0,'Données projet'!$E$11+1,1))</f>
        <v>243.85350804244348</v>
      </c>
      <c r="BJ56" s="59">
        <f t="shared" si="38"/>
        <v>304.60992308960545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2.8699816169782384</v>
      </c>
      <c r="BQ56" s="21">
        <f>EXP(-LN(2)/25)*BQ55+(1-EXP(-LN(2)/25))/(LN(2)/25)*Calculateur!BL56*Calculateur!BN56*VLOOKUP('Données projet'!$B$11,Paramètres!$A$1:$I$89,3,0)*0.475*44/12</f>
        <v>9.3698839699800835</v>
      </c>
      <c r="BR56" s="21">
        <f>EXP(-LN(2)/2)*BR55+(1-EXP(-LN(2)/2))/(LN(2)/2)*BL56*BO56*VLOOKUP('Données projet'!$B$11,Paramètres!$A$1:$I$89,3,0)*0.475*44/12</f>
        <v>1.2906861948463171E-3</v>
      </c>
      <c r="BS56" s="22">
        <f t="shared" si="9"/>
        <v>12.241156273153168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15.6</v>
      </c>
      <c r="BY56" s="12">
        <f>IF('Données projet'!$A$114&gt;35,BY55+BX56-CG55,IF(A56&lt;'Données projet'!$A$114,$BV$205^A56,IF(A56='Données projet'!$A$114,'Données projet'!$B$114,BY55+BX56-CG55)))</f>
        <v>337.7999999999999</v>
      </c>
      <c r="BZ56" s="13">
        <f>BY56*VLOOKUP('Données projet'!$B$12,Paramètres!$A$1:$I$89,3,0)*VLOOKUP('Données projet'!$B$12,Paramètres!$A$1:$I$89,5,0)</f>
        <v>202.00439999999995</v>
      </c>
      <c r="CA56" s="13">
        <f t="shared" si="39"/>
        <v>50.184418192658491</v>
      </c>
      <c r="CB56" s="20">
        <f t="shared" si="10"/>
        <v>439.22885835221342</v>
      </c>
      <c r="CC56" s="59">
        <f t="shared" si="11"/>
        <v>732.56219168554674</v>
      </c>
      <c r="CD56" s="59">
        <f ca="1">AVERAGE(OFFSET($CC$3,0,0,'Données projet'!$E$12+1,1))-AVERAGE(OFFSET($H$3,0,0,'Données projet'!$E$12+1,1))</f>
        <v>270.30888762640245</v>
      </c>
      <c r="CE56" s="59">
        <f t="shared" si="40"/>
        <v>202.23783851977691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1.3582308581781271</v>
      </c>
      <c r="CL56" s="21">
        <f>EXP(-LN(2)/25)*CL55+(1-EXP(-LN(2)/25))/(LN(2)/25)*Calculateur!CG56*Calculateur!CI56*VLOOKUP('Données projet'!$B$12,Paramètres!$A$1:$I$89,3,0)*0.475*44/12</f>
        <v>6.4981284252580886</v>
      </c>
      <c r="CM56" s="21">
        <f>EXP(-LN(2)/2)*CM55+(1-EXP(-LN(2)/2))/(LN(2)/2)*CG56*CJ56*VLOOKUP('Données projet'!$B$12,Paramètres!$A$1:$I$89,3,0)*0.475*44/12</f>
        <v>6.3848871744708342E-3</v>
      </c>
      <c r="CN56" s="22">
        <f t="shared" si="12"/>
        <v>7.8627441706106866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6.8</v>
      </c>
      <c r="CT56" s="12">
        <f>IF('Données projet'!$A$140&gt;35,CT55+CS56-DB55,IF(A56&lt;'Données projet'!$A$140,$CQ$205^A56,IF(A56='Données projet'!$A$140,'Données projet'!$B$140,CT55+CS56-DB55)))</f>
        <v>262.39999999999986</v>
      </c>
      <c r="CU56" s="17">
        <f>CT56*VLOOKUP('Données projet'!$B$13,Paramètres!$A$1:$I$89,3,0)*VLOOKUP('Données projet'!$B$13,Paramètres!$A$1:$I$89,5,0)</f>
        <v>208.7654399999999</v>
      </c>
      <c r="CV56" s="13">
        <f t="shared" si="41"/>
        <v>51.665710768737398</v>
      </c>
      <c r="CW56" s="20">
        <f t="shared" si="13"/>
        <v>453.58425425555083</v>
      </c>
      <c r="CX56" s="59">
        <f t="shared" si="14"/>
        <v>746.91758758888409</v>
      </c>
      <c r="CY56" s="59">
        <f ca="1">AVERAGE(OFFSET($CX$3,0,0,'Données projet'!$E$13+1,1))-AVERAGE(OFFSET($H$3,0,0,'Données projet'!$E$13+1,1))</f>
        <v>260.20517190557814</v>
      </c>
      <c r="CZ56" s="59">
        <f t="shared" si="42"/>
        <v>307.22009971147133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2.0691695706592874</v>
      </c>
      <c r="DG56" s="21">
        <f>EXP(-LN(2)/25)*DG55+(1-EXP(-LN(2)/25))/(LN(2)/25)*Calculateur!DB56*Calculateur!DD56*VLOOKUP('Données projet'!$B$13,Paramètres!$A$1:$I$89,3,0)*0.475*44/12</f>
        <v>10.844795132631443</v>
      </c>
      <c r="DH56" s="21">
        <f>EXP(-LN(2)/2)*DH55+(1-EXP(-LN(2)/2))/(LN(2)/2)*DB56*DE56*VLOOKUP('Données projet'!$B$13,Paramètres!$A$1:$I$89,3,0)*0.475*44/12</f>
        <v>8.2998848307130699E-3</v>
      </c>
      <c r="DI56" s="22">
        <f t="shared" si="15"/>
        <v>12.922264588121443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8.8736263736263741</v>
      </c>
      <c r="DO56" s="12">
        <f>IF('Données projet'!$A$166&gt;35,DO55+DN56-DW55,IF(A56&lt;'Données projet'!$A$166,$DL$205^A56,IF(A56='Données projet'!$A$166,'Données projet'!$B$166,DO55+DN56-DW55)))</f>
        <v>180.69505494505495</v>
      </c>
      <c r="DP56" s="17">
        <f>DO56*VLOOKUP('Données projet'!$B$14,Paramètres!$A$1:$I$89,3,0)*VLOOKUP('Données projet'!$B$14,Paramètres!$A$1:$I$89,5,0)</f>
        <v>183.22478571428573</v>
      </c>
      <c r="DQ56" s="13">
        <f t="shared" si="43"/>
        <v>46.038898438557553</v>
      </c>
      <c r="DR56" s="20">
        <f t="shared" si="16"/>
        <v>399.30091656620198</v>
      </c>
      <c r="DS56" s="59">
        <f t="shared" si="17"/>
        <v>692.63424989953523</v>
      </c>
      <c r="DT56" s="59">
        <f ca="1">AVERAGE(OFFSET($DS$3,0,0,'Données projet'!$E$14+1,1))-AVERAGE(OFFSET($H$3,0,0,'Données projet'!$E$14+1,1))</f>
        <v>263.15518481854753</v>
      </c>
      <c r="DU56" s="59">
        <f t="shared" si="44"/>
        <v>210.80755370263819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0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6.8</v>
      </c>
      <c r="EJ56" s="12">
        <f>IF('Données projet'!$A$192&gt;35,EJ55+EI56-ER55,IF(A56&lt;'Données projet'!$A$192,$EG$205^A56,IF(A56='Données projet'!$A$192,'Données projet'!$B$192,EJ55+EI56-ER55)))</f>
        <v>262.39999999999986</v>
      </c>
      <c r="EK56" s="17">
        <f>EJ56*VLOOKUP('Données projet'!$B$15,Paramètres!$A$1:$I$89,3,0)*VLOOKUP('Données projet'!$B$15,Paramètres!$A$1:$I$89,5,0)</f>
        <v>176.01791999999992</v>
      </c>
      <c r="EL56" s="13">
        <f t="shared" si="45"/>
        <v>44.435096548069509</v>
      </c>
      <c r="EM56" s="20">
        <f t="shared" si="19"/>
        <v>383.95567048788757</v>
      </c>
      <c r="EN56" s="59">
        <f t="shared" si="20"/>
        <v>677.28900382122083</v>
      </c>
      <c r="EO56" s="59">
        <f ca="1">AVERAGE(OFFSET($EN$3,0,0,'Données projet'!$E$15+1,1))-AVERAGE(OFFSET($H$3,0,0,'Données projet'!$E$15+1,1))</f>
        <v>207.93042467236967</v>
      </c>
      <c r="EP56" s="59">
        <f t="shared" si="46"/>
        <v>250.70954318710835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1.7445939517323401</v>
      </c>
      <c r="EW56" s="21">
        <f>EXP(-LN(2)/25)*EW55+(1-EXP(-LN(2)/25))/(LN(2)/25)*Calculateur!ER56*Calculateur!ET56*VLOOKUP('Données projet'!$B$15,Paramètres!$A$1:$I$89,3,0)*0.475*44/12</f>
        <v>9.1436507981010262</v>
      </c>
      <c r="EX56" s="21">
        <f>EXP(-LN(2)/2)*EX55+(1-EXP(-LN(2)/2))/(LN(2)/2)*ER56*EU56*VLOOKUP('Données projet'!$B$15,Paramètres!$A$1:$I$89,3,0)*0.475*44/12</f>
        <v>6.9979421121698429E-3</v>
      </c>
      <c r="EY56" s="22">
        <f t="shared" si="21"/>
        <v>10.895242691945535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8.8736263736263741</v>
      </c>
      <c r="FE56" s="12">
        <f>IF('Données projet'!$A$218&gt;35,FE55+FD56-FM55,IF(A56&lt;'Données projet'!$A$218,$FB$205^A56,IF(A56='Données projet'!$A$218,'Données projet'!$B$218,FE55+FD56-FM55)))</f>
        <v>180.69505494505495</v>
      </c>
      <c r="FF56" s="17">
        <f>FE56*VLOOKUP('Données projet'!$B$16,Paramètres!$A$1:$I$89,3,0)*VLOOKUP('Données projet'!$B$16,Paramètres!$A$1:$I$89,5,0)</f>
        <v>194.50015714285715</v>
      </c>
      <c r="FG56" s="13">
        <f t="shared" si="47"/>
        <v>48.533514172404466</v>
      </c>
      <c r="FH56" s="20">
        <f t="shared" si="22"/>
        <v>423.283644207414</v>
      </c>
      <c r="FI56" s="59">
        <f t="shared" si="23"/>
        <v>716.61697754074726</v>
      </c>
      <c r="FJ56" s="59">
        <f ca="1">AVERAGE(OFFSET($FI$3,0,0,'Données projet'!$E$16+1,1))-AVERAGE(OFFSET($H$3,0,0,'Données projet'!$E$16+1,1))</f>
        <v>286.77702855541287</v>
      </c>
      <c r="FK56" s="59">
        <f t="shared" si="48"/>
        <v>227.12211541860779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0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0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11.170769230769238</v>
      </c>
      <c r="FZ56" s="12">
        <f>IF('Données projet'!$A$244&gt;35,FZ55+FY56-GH55,IF(A56&lt;'Données projet'!$A$244,$FW$205^A56,IF(A56='Données projet'!$A$244,'Données projet'!$B$244,FZ55+FY56-GH55)))</f>
        <v>239.74923076923102</v>
      </c>
      <c r="GA56" s="17">
        <f>FZ56*VLOOKUP('Données projet'!$B$17,Paramètres!$A$1:$I$89,3,0)*VLOOKUP('Données projet'!$B$17,Paramètres!$A$1:$I$89,5,0)</f>
        <v>112.20264000000012</v>
      </c>
      <c r="GB56" s="13">
        <f t="shared" si="49"/>
        <v>29.84934340268536</v>
      </c>
      <c r="GC56" s="20">
        <f t="shared" si="25"/>
        <v>247.40720442634384</v>
      </c>
      <c r="GD56" s="59">
        <f t="shared" si="26"/>
        <v>540.74053775967718</v>
      </c>
      <c r="GE56" s="59">
        <f ca="1">AVERAGE(OFFSET($GD$3,0,0,'Données projet'!$E$17+1,1))-AVERAGE(OFFSET($H$3,0,0,'Données projet'!$E$17+1,1))</f>
        <v>123.2823358462245</v>
      </c>
      <c r="GF56" s="59">
        <f t="shared" si="50"/>
        <v>92.75115399786057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0</v>
      </c>
      <c r="GM56" s="21">
        <f>EXP(-LN(2)/25)*GM55+(1-EXP(-LN(2)/25))/(LN(2)/25)*Calculateur!GH56*Calculateur!GJ56*VLOOKUP('Données projet'!$B$17,Paramètres!$A$1:$I$89,3,0)*0.475*44/12</f>
        <v>0</v>
      </c>
      <c r="GN56" s="21">
        <f>EXP(-LN(2)/2)*GN55+(1-EXP(-LN(2)/2))/(LN(2)/2)*GH56*GK56*VLOOKUP('Données projet'!$B$17,Paramètres!$A$1:$I$89,3,0)*0.475*44/12</f>
        <v>0</v>
      </c>
      <c r="GO56" s="21">
        <f t="shared" si="27"/>
        <v>0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10.433653846153845</v>
      </c>
      <c r="GU56" s="12">
        <f>IF('Données projet'!$A$270&gt;35,GU55+GT56-HC55,IF(A56&lt;'Données projet'!$A$270,$GR$205^A56,IF(A56='Données projet'!$A$270,'Données projet'!$B$270,GU55+GT56-HC55)))</f>
        <v>280.4644230769228</v>
      </c>
      <c r="GV56" s="17">
        <f>GU56*VLOOKUP('Données projet'!$B$18,Paramètres!$A$1:$I$89,3,0)*VLOOKUP('Données projet'!$B$18,Paramètres!$A$1:$I$89,5,0)</f>
        <v>167.71772499999983</v>
      </c>
      <c r="GW56" s="13">
        <f t="shared" si="51"/>
        <v>42.578468510426148</v>
      </c>
      <c r="GX56" s="20">
        <f t="shared" si="28"/>
        <v>366.26587036399184</v>
      </c>
      <c r="GY56" s="59">
        <f t="shared" si="29"/>
        <v>659.59920369732515</v>
      </c>
      <c r="GZ56" s="59">
        <f ca="1">AVERAGE(OFFSET($GY$3,0,0,'Données projet'!$E$18+1,1))-AVERAGE(OFFSET($H$3,0,0,'Données projet'!$E$18+1,1))</f>
        <v>171.96009656745713</v>
      </c>
      <c r="HA56" s="59">
        <f t="shared" si="52"/>
        <v>172.37574906747716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>
        <f>EXP(-LN(2)/35)*HG55+(1-EXP(-LN(2)/35))/(LN(2)/35)*HC56*HD56*VLOOKUP('Données projet'!$B$18,Paramètres!$A$1:$I$89,3,0)*0.475*44/12</f>
        <v>1.0577658520140201</v>
      </c>
      <c r="HH56" s="21">
        <f>EXP(-LN(2)/25)*HH55+(1-EXP(-LN(2)/25))/(LN(2)/25)*Calculateur!HC56*Calculateur!HE56*VLOOKUP('Données projet'!$B$18,Paramètres!$A$1:$I$89,3,0)*0.475*44/12</f>
        <v>10.864544349822673</v>
      </c>
      <c r="HI56" s="21">
        <f>EXP(-LN(2)/2)*HI55+(1-EXP(-LN(2)/2))/(LN(2)/2)*HC56*HF56*VLOOKUP('Données projet'!$B$18,Paramètres!$A$1:$I$89,3,0)*0.475*44/12</f>
        <v>4.1586100506436369E-3</v>
      </c>
      <c r="HJ56" s="22">
        <f t="shared" si="30"/>
        <v>11.926468811887336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566.79999999999995</v>
      </c>
      <c r="L57" s="12">
        <f>VLOOKUP(A57,'Données projet'!$A$35:$I$55,9,0)</f>
        <v>20.507692307692299</v>
      </c>
      <c r="M57" s="12">
        <f t="array" ref="M57">INDEX(L:L,MIN(IF(ISNUMBER(L57:L253),ROW(L57:L253),"")))</f>
        <v>20.507692307692299</v>
      </c>
      <c r="N57" s="13">
        <f>IF('Données projet'!$A$36&gt;35,N56+M57-V56,IF(A57&lt;'Données projet'!$A$36,$K$205^A57,IF(A57='Données projet'!$A$36,'Données projet'!$B$36,N56+M57-V56)))</f>
        <v>566.79999999999973</v>
      </c>
      <c r="O57" s="13">
        <f>N57*VLOOKUP('Données projet'!$B$9,Paramètres!$A$1:$I$89,3,0)*VLOOKUP('Données projet'!$B$9,Paramètres!$A$1:$I$89,5,0)</f>
        <v>316.84119999999984</v>
      </c>
      <c r="P57" s="13">
        <f t="shared" si="33"/>
        <v>74.695724902330795</v>
      </c>
      <c r="Q57" s="20">
        <f t="shared" si="53"/>
        <v>681.92681087155916</v>
      </c>
      <c r="R57" s="59">
        <f t="shared" si="0"/>
        <v>975.26014420489241</v>
      </c>
      <c r="S57" s="59">
        <f ca="1">AVERAGE(OFFSET($R$3,0,0,'Données projet'!$E$9+1,1))-AVERAGE(OFFSET($H$3,0,0,'Données projet'!$E$9+1,1))</f>
        <v>255.5374979188561</v>
      </c>
      <c r="T57" s="59">
        <f t="shared" si="34"/>
        <v>343.10418468620901</v>
      </c>
      <c r="U57" s="15">
        <f>IF(ISNA(VLOOKUP(A57,'Données projet'!$A$35:$I$55,3,0)),0,VLOOKUP(A57,'Données projet'!$A$35:$I$55,3,0))</f>
        <v>7</v>
      </c>
      <c r="V57" s="15">
        <f>IF(ISNA(VLOOKUP(A57,'Données projet'!$A$35:$I$55,4,0)),0,VLOOKUP(A57,'Données projet'!$A$35:$I$55,4,0))</f>
        <v>566.79999999999995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1.9210720430251711</v>
      </c>
      <c r="AA57" s="21">
        <f>EXP(-LN(2)/25)*AA56+(1-EXP(-LN(2)/25))/(LN(2)/25)*Calculateur!V57*Calculateur!X57*VLOOKUP('Données projet'!$B$9,Paramètres!$A$1:$I$89,3,0)*0.475*44/12</f>
        <v>8.2044815444211352</v>
      </c>
      <c r="AB57" s="21">
        <f>EXP(-LN(2)/2)*AB56+(1-EXP(-LN(2)/2))/(LN(2)/2)*V57*Y57*VLOOKUP('Données projet'!$B$9,Paramètres!$A$1:$I$89,3,0)*0.475*44/12</f>
        <v>4.1324513658546534E-4</v>
      </c>
      <c r="AC57" s="22">
        <f t="shared" si="3"/>
        <v>10.125966832582892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14.668131868131875</v>
      </c>
      <c r="AI57" s="13">
        <f>IF('Données projet'!$A$62&gt;35,AI56+AH57-AQ56,IF(A57&lt;'Données projet'!$A$62,$AF$205^A57,IF(A57='Données projet'!$A$62,'Données projet'!$B$62,AI56+AH57-AQ56)))</f>
        <v>318.71758241758243</v>
      </c>
      <c r="AJ57" s="13">
        <f>AI57*VLOOKUP('Données projet'!$B$10,Paramètres!$A$1:$I$89,3,0)*VLOOKUP('Données projet'!$B$10,Paramètres!$A$1:$I$89,5,0)</f>
        <v>149.15982857142859</v>
      </c>
      <c r="AK57" s="13">
        <f t="shared" si="35"/>
        <v>38.387591277502224</v>
      </c>
      <c r="AL57" s="20">
        <f t="shared" si="4"/>
        <v>326.64508957022116</v>
      </c>
      <c r="AM57" s="59">
        <f t="shared" si="5"/>
        <v>619.97842290355447</v>
      </c>
      <c r="AN57" s="59">
        <f ca="1">AVERAGE(OFFSET($AM$3,0,0,'Données projet'!$E$10+1,1))-AVERAGE(OFFSET($H$3,0,0,'Données projet'!$E$10+1,1))</f>
        <v>158.58786357608489</v>
      </c>
      <c r="AO57" s="59">
        <f t="shared" si="36"/>
        <v>163.20074068819849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12.837499999999991</v>
      </c>
      <c r="BD57" s="12">
        <f>IF('Données projet'!$A$88&gt;35,BD56+BC57-BL56,IF(A57&lt;'Données projet'!$A$88,$BA$205^A57,IF(A57='Données projet'!$A$88,'Données projet'!$B$88,BD56+BC57-BL56)))</f>
        <v>420.80192307692289</v>
      </c>
      <c r="BE57" s="13">
        <f>BD57*VLOOKUP('Données projet'!$B$11,Paramètres!$A$1:$I$89,3,0)*VLOOKUP('Données projet'!$B$11,Paramètres!$A$1:$I$89,5,0)</f>
        <v>251.63954999999993</v>
      </c>
      <c r="BF57" s="13">
        <f t="shared" si="37"/>
        <v>60.936892129812684</v>
      </c>
      <c r="BG57" s="20">
        <f t="shared" si="7"/>
        <v>544.4039700427569</v>
      </c>
      <c r="BH57" s="59">
        <f t="shared" si="8"/>
        <v>837.73730337609027</v>
      </c>
      <c r="BI57" s="59">
        <f ca="1">AVERAGE(OFFSET($BH$3,0,0,'Données projet'!$E$11+1,1))-AVERAGE(OFFSET($H$3,0,0,'Données projet'!$E$11+1,1))</f>
        <v>243.85350804244348</v>
      </c>
      <c r="BJ57" s="59">
        <f t="shared" si="38"/>
        <v>304.60992308960545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2.8137030279852322</v>
      </c>
      <c r="BQ57" s="21">
        <f>EXP(-LN(2)/25)*BQ56+(1-EXP(-LN(2)/25))/(LN(2)/25)*Calculateur!BL57*Calculateur!BN57*VLOOKUP('Données projet'!$B$11,Paramètres!$A$1:$I$89,3,0)*0.475*44/12</f>
        <v>9.1136640000801954</v>
      </c>
      <c r="BR57" s="21">
        <f>EXP(-LN(2)/2)*BR56+(1-EXP(-LN(2)/2))/(LN(2)/2)*BL57*BO57*VLOOKUP('Données projet'!$B$11,Paramètres!$A$1:$I$89,3,0)*0.475*44/12</f>
        <v>9.1265296075969241E-4</v>
      </c>
      <c r="BS57" s="22">
        <f t="shared" si="9"/>
        <v>11.928279681026186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15.6</v>
      </c>
      <c r="BY57" s="12">
        <f>IF('Données projet'!$A$114&gt;35,BY56+BX57-CG56,IF(A57&lt;'Données projet'!$A$114,$BV$205^A57,IF(A57='Données projet'!$A$114,'Données projet'!$B$114,BY56+BX57-CG56)))</f>
        <v>353.39999999999992</v>
      </c>
      <c r="BZ57" s="13">
        <f>BY57*VLOOKUP('Données projet'!$B$12,Paramètres!$A$1:$I$89,3,0)*VLOOKUP('Données projet'!$B$12,Paramètres!$A$1:$I$89,5,0)</f>
        <v>211.33319999999995</v>
      </c>
      <c r="CA57" s="13">
        <f t="shared" si="39"/>
        <v>52.226816049120416</v>
      </c>
      <c r="CB57" s="20">
        <f t="shared" si="10"/>
        <v>459.03369461888457</v>
      </c>
      <c r="CC57" s="59">
        <f t="shared" si="11"/>
        <v>752.36702795221788</v>
      </c>
      <c r="CD57" s="59">
        <f ca="1">AVERAGE(OFFSET($CC$3,0,0,'Données projet'!$E$12+1,1))-AVERAGE(OFFSET($H$3,0,0,'Données projet'!$E$12+1,1))</f>
        <v>270.30888762640245</v>
      </c>
      <c r="CE57" s="59">
        <f t="shared" si="40"/>
        <v>202.23783851977691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1.3315967794882759</v>
      </c>
      <c r="CL57" s="21">
        <f>EXP(-LN(2)/25)*CL56+(1-EXP(-LN(2)/25))/(LN(2)/25)*Calculateur!CG57*Calculateur!CI57*VLOOKUP('Données projet'!$B$12,Paramètres!$A$1:$I$89,3,0)*0.475*44/12</f>
        <v>6.3204367617476844</v>
      </c>
      <c r="CM57" s="21">
        <f>EXP(-LN(2)/2)*CM56+(1-EXP(-LN(2)/2))/(LN(2)/2)*CG57*CJ57*VLOOKUP('Données projet'!$B$12,Paramètres!$A$1:$I$89,3,0)*0.475*44/12</f>
        <v>4.5147970181793418E-3</v>
      </c>
      <c r="CN57" s="22">
        <f t="shared" si="12"/>
        <v>7.6565483382541393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6.8</v>
      </c>
      <c r="CT57" s="12">
        <f>IF('Données projet'!$A$140&gt;35,CT56+CS57-DB56,IF(A57&lt;'Données projet'!$A$140,$CQ$205^A57,IF(A57='Données projet'!$A$140,'Données projet'!$B$140,CT56+CS57-DB56)))</f>
        <v>269.19999999999987</v>
      </c>
      <c r="CU57" s="17">
        <f>CT57*VLOOKUP('Données projet'!$B$13,Paramètres!$A$1:$I$89,3,0)*VLOOKUP('Données projet'!$B$13,Paramètres!$A$1:$I$89,5,0)</f>
        <v>214.17551999999992</v>
      </c>
      <c r="CV57" s="13">
        <f t="shared" si="41"/>
        <v>52.846993696165399</v>
      </c>
      <c r="CW57" s="20">
        <f t="shared" si="13"/>
        <v>465.06421135415462</v>
      </c>
      <c r="CX57" s="59">
        <f t="shared" si="14"/>
        <v>758.39754468748788</v>
      </c>
      <c r="CY57" s="59">
        <f ca="1">AVERAGE(OFFSET($CX$3,0,0,'Données projet'!$E$13+1,1))-AVERAGE(OFFSET($H$3,0,0,'Données projet'!$E$13+1,1))</f>
        <v>260.20517190557814</v>
      </c>
      <c r="CZ57" s="59">
        <f t="shared" si="42"/>
        <v>307.22009971147133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2.0285944174474779</v>
      </c>
      <c r="DG57" s="21">
        <f>EXP(-LN(2)/25)*DG56+(1-EXP(-LN(2)/25))/(LN(2)/25)*Calculateur!DB57*Calculateur!DD57*VLOOKUP('Données projet'!$B$13,Paramètres!$A$1:$I$89,3,0)*0.475*44/12</f>
        <v>10.548243639426646</v>
      </c>
      <c r="DH57" s="21">
        <f>EXP(-LN(2)/2)*DH56+(1-EXP(-LN(2)/2))/(LN(2)/2)*DB57*DE57*VLOOKUP('Données projet'!$B$13,Paramètres!$A$1:$I$89,3,0)*0.475*44/12</f>
        <v>5.8689048468645718E-3</v>
      </c>
      <c r="DI57" s="22">
        <f t="shared" si="15"/>
        <v>12.582706961720989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8.8736263736263741</v>
      </c>
      <c r="DO57" s="12">
        <f>IF('Données projet'!$A$166&gt;35,DO56+DN57-DW56,IF(A57&lt;'Données projet'!$A$166,$DL$205^A57,IF(A57='Données projet'!$A$166,'Données projet'!$B$166,DO56+DN57-DW56)))</f>
        <v>189.56868131868131</v>
      </c>
      <c r="DP57" s="17">
        <f>DO57*VLOOKUP('Données projet'!$B$14,Paramètres!$A$1:$I$89,3,0)*VLOOKUP('Données projet'!$B$14,Paramètres!$A$1:$I$89,5,0)</f>
        <v>192.22264285714286</v>
      </c>
      <c r="DQ57" s="13">
        <f t="shared" si="43"/>
        <v>48.031014520243872</v>
      </c>
      <c r="DR57" s="20">
        <f t="shared" si="16"/>
        <v>418.44178659894851</v>
      </c>
      <c r="DS57" s="59">
        <f t="shared" si="17"/>
        <v>711.77511993228177</v>
      </c>
      <c r="DT57" s="59">
        <f ca="1">AVERAGE(OFFSET($DS$3,0,0,'Données projet'!$E$14+1,1))-AVERAGE(OFFSET($H$3,0,0,'Données projet'!$E$14+1,1))</f>
        <v>263.15518481854753</v>
      </c>
      <c r="DU57" s="59">
        <f t="shared" si="44"/>
        <v>210.80755370263819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0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6.8</v>
      </c>
      <c r="EJ57" s="12">
        <f>IF('Données projet'!$A$192&gt;35,EJ56+EI57-ER56,IF(A57&lt;'Données projet'!$A$192,$EG$205^A57,IF(A57='Données projet'!$A$192,'Données projet'!$B$192,EJ56+EI57-ER56)))</f>
        <v>269.19999999999987</v>
      </c>
      <c r="EK57" s="17">
        <f>EJ57*VLOOKUP('Données projet'!$B$15,Paramètres!$A$1:$I$89,3,0)*VLOOKUP('Données projet'!$B$15,Paramètres!$A$1:$I$89,5,0)</f>
        <v>180.57935999999992</v>
      </c>
      <c r="EL57" s="13">
        <f t="shared" si="45"/>
        <v>45.451058975564287</v>
      </c>
      <c r="EM57" s="20">
        <f t="shared" si="19"/>
        <v>393.66964638244093</v>
      </c>
      <c r="EN57" s="59">
        <f t="shared" si="20"/>
        <v>687.00297971577425</v>
      </c>
      <c r="EO57" s="59">
        <f ca="1">AVERAGE(OFFSET($EN$3,0,0,'Données projet'!$E$15+1,1))-AVERAGE(OFFSET($H$3,0,0,'Données projet'!$E$15+1,1))</f>
        <v>207.93042467236967</v>
      </c>
      <c r="EP57" s="59">
        <f t="shared" si="46"/>
        <v>250.70954318710835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1.7103835284361086</v>
      </c>
      <c r="EW57" s="21">
        <f>EXP(-LN(2)/25)*EW56+(1-EXP(-LN(2)/25))/(LN(2)/25)*Calculateur!ER57*Calculateur!ET57*VLOOKUP('Données projet'!$B$15,Paramètres!$A$1:$I$89,3,0)*0.475*44/12</f>
        <v>8.8936171861832563</v>
      </c>
      <c r="EX57" s="21">
        <f>EXP(-LN(2)/2)*EX56+(1-EXP(-LN(2)/2))/(LN(2)/2)*ER57*EU57*VLOOKUP('Données projet'!$B$15,Paramètres!$A$1:$I$89,3,0)*0.475*44/12</f>
        <v>4.9482923218662073E-3</v>
      </c>
      <c r="EY57" s="22">
        <f t="shared" si="21"/>
        <v>10.608949006941232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8.8736263736263741</v>
      </c>
      <c r="FE57" s="12">
        <f>IF('Données projet'!$A$218&gt;35,FE56+FD57-FM56,IF(A57&lt;'Données projet'!$A$218,$FB$205^A57,IF(A57='Données projet'!$A$218,'Données projet'!$B$218,FE56+FD57-FM56)))</f>
        <v>189.56868131868131</v>
      </c>
      <c r="FF57" s="17">
        <f>FE57*VLOOKUP('Données projet'!$B$16,Paramètres!$A$1:$I$89,3,0)*VLOOKUP('Données projet'!$B$16,Paramètres!$A$1:$I$89,5,0)</f>
        <v>204.05172857142855</v>
      </c>
      <c r="FG57" s="13">
        <f t="shared" si="47"/>
        <v>50.633572978386333</v>
      </c>
      <c r="FH57" s="20">
        <f t="shared" si="22"/>
        <v>443.57690019926093</v>
      </c>
      <c r="FI57" s="59">
        <f t="shared" si="23"/>
        <v>736.91023353259425</v>
      </c>
      <c r="FJ57" s="59">
        <f ca="1">AVERAGE(OFFSET($FI$3,0,0,'Données projet'!$E$16+1,1))-AVERAGE(OFFSET($H$3,0,0,'Données projet'!$E$16+1,1))</f>
        <v>286.77702855541287</v>
      </c>
      <c r="FK57" s="59">
        <f t="shared" si="48"/>
        <v>227.12211541860779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0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0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11.170769230769238</v>
      </c>
      <c r="FZ57" s="12">
        <f>IF('Données projet'!$A$244&gt;35,FZ56+FY57-GH56,IF(A57&lt;'Données projet'!$A$244,$FW$205^A57,IF(A57='Données projet'!$A$244,'Données projet'!$B$244,FZ56+FY57-GH56)))</f>
        <v>250.92000000000024</v>
      </c>
      <c r="GA57" s="17">
        <f>FZ57*VLOOKUP('Données projet'!$B$17,Paramètres!$A$1:$I$89,3,0)*VLOOKUP('Données projet'!$B$17,Paramètres!$A$1:$I$89,5,0)</f>
        <v>117.43056000000011</v>
      </c>
      <c r="GB57" s="13">
        <f t="shared" si="49"/>
        <v>31.074966780724139</v>
      </c>
      <c r="GC57" s="20">
        <f t="shared" si="25"/>
        <v>258.64712580976141</v>
      </c>
      <c r="GD57" s="59">
        <f t="shared" si="26"/>
        <v>551.98045914309478</v>
      </c>
      <c r="GE57" s="59">
        <f ca="1">AVERAGE(OFFSET($GD$3,0,0,'Données projet'!$E$17+1,1))-AVERAGE(OFFSET($H$3,0,0,'Données projet'!$E$17+1,1))</f>
        <v>123.2823358462245</v>
      </c>
      <c r="GF57" s="59">
        <f t="shared" si="50"/>
        <v>92.75115399786057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0</v>
      </c>
      <c r="GM57" s="21">
        <f>EXP(-LN(2)/25)*GM56+(1-EXP(-LN(2)/25))/(LN(2)/25)*Calculateur!GH57*Calculateur!GJ57*VLOOKUP('Données projet'!$B$17,Paramètres!$A$1:$I$89,3,0)*0.475*44/12</f>
        <v>0</v>
      </c>
      <c r="GN57" s="21">
        <f>EXP(-LN(2)/2)*GN56+(1-EXP(-LN(2)/2))/(LN(2)/2)*GH57*GK57*VLOOKUP('Données projet'!$B$17,Paramètres!$A$1:$I$89,3,0)*0.475*44/12</f>
        <v>0</v>
      </c>
      <c r="GO57" s="21">
        <f t="shared" si="27"/>
        <v>0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10.433653846153845</v>
      </c>
      <c r="GU57" s="12">
        <f>IF('Données projet'!$A$270&gt;35,GU56+GT57-HC56,IF(A57&lt;'Données projet'!$A$270,$GR$205^A57,IF(A57='Données projet'!$A$270,'Données projet'!$B$270,GU56+GT57-HC56)))</f>
        <v>290.89807692307664</v>
      </c>
      <c r="GV57" s="17">
        <f>GU57*VLOOKUP('Données projet'!$B$18,Paramètres!$A$1:$I$89,3,0)*VLOOKUP('Données projet'!$B$18,Paramètres!$A$1:$I$89,5,0)</f>
        <v>173.95704999999984</v>
      </c>
      <c r="GW57" s="13">
        <f t="shared" si="51"/>
        <v>43.975080818549294</v>
      </c>
      <c r="GX57" s="20">
        <f t="shared" si="28"/>
        <v>379.56512784230637</v>
      </c>
      <c r="GY57" s="59">
        <f t="shared" si="29"/>
        <v>672.89846117563968</v>
      </c>
      <c r="GZ57" s="59">
        <f ca="1">AVERAGE(OFFSET($GY$3,0,0,'Données projet'!$E$18+1,1))-AVERAGE(OFFSET($H$3,0,0,'Données projet'!$E$18+1,1))</f>
        <v>171.96009656745713</v>
      </c>
      <c r="HA57" s="59">
        <f t="shared" si="52"/>
        <v>172.37574906747716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>
        <f>EXP(-LN(2)/35)*HG56+(1-EXP(-LN(2)/35))/(LN(2)/35)*HC57*HD57*VLOOKUP('Données projet'!$B$18,Paramètres!$A$1:$I$89,3,0)*0.475*44/12</f>
        <v>1.0370237088294894</v>
      </c>
      <c r="HH57" s="21">
        <f>EXP(-LN(2)/25)*HH56+(1-EXP(-LN(2)/25))/(LN(2)/25)*Calculateur!HC57*Calculateur!HE57*VLOOKUP('Données projet'!$B$18,Paramètres!$A$1:$I$89,3,0)*0.475*44/12</f>
        <v>10.567452813235215</v>
      </c>
      <c r="HI57" s="21">
        <f>EXP(-LN(2)/2)*HI56+(1-EXP(-LN(2)/2))/(LN(2)/2)*HC57*HF57*VLOOKUP('Données projet'!$B$18,Paramètres!$A$1:$I$89,3,0)*0.475*44/12</f>
        <v>2.9405813671206475E-3</v>
      </c>
      <c r="HJ57" s="22">
        <f t="shared" si="30"/>
        <v>11.607417103431825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-2.2737367544323206E-13</v>
      </c>
      <c r="O58" s="13">
        <f>N58*VLOOKUP('Données projet'!$B$9,Paramètres!$A$1:$I$89,3,0)*VLOOKUP('Données projet'!$B$9,Paramètres!$A$1:$I$89,5,0)</f>
        <v>-1.2710188457276673E-13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255.5374979188561</v>
      </c>
      <c r="T58" s="59">
        <f t="shared" si="34"/>
        <v>343.10418468620901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1.8834009919996941</v>
      </c>
      <c r="AA58" s="21">
        <f>EXP(-LN(2)/25)*AA57+(1-EXP(-LN(2)/25))/(LN(2)/25)*Calculateur!V58*Calculateur!X58*VLOOKUP('Données projet'!$B$9,Paramètres!$A$1:$I$89,3,0)*0.475*44/12</f>
        <v>7.9801295651340061</v>
      </c>
      <c r="AB58" s="21">
        <f>EXP(-LN(2)/2)*AB57+(1-EXP(-LN(2)/2))/(LN(2)/2)*V58*Y58*VLOOKUP('Données projet'!$B$9,Paramètres!$A$1:$I$89,3,0)*0.475*44/12</f>
        <v>2.9220843837194358E-4</v>
      </c>
      <c r="AC58" s="22">
        <f t="shared" si="3"/>
        <v>9.8638227655720723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14.668131868131875</v>
      </c>
      <c r="AI58" s="13">
        <f>IF('Données projet'!$A$62&gt;35,AI57+AH58-AQ57,IF(A58&lt;'Données projet'!$A$62,$AF$205^A58,IF(A58='Données projet'!$A$62,'Données projet'!$B$62,AI57+AH58-AQ57)))</f>
        <v>333.3857142857143</v>
      </c>
      <c r="AJ58" s="13">
        <f>AI58*VLOOKUP('Données projet'!$B$10,Paramètres!$A$1:$I$89,3,0)*VLOOKUP('Données projet'!$B$10,Paramètres!$A$1:$I$89,5,0)</f>
        <v>156.0245142857143</v>
      </c>
      <c r="AK58" s="13">
        <f t="shared" si="35"/>
        <v>39.944524680961258</v>
      </c>
      <c r="AL58" s="20">
        <f t="shared" si="4"/>
        <v>341.31274286695992</v>
      </c>
      <c r="AM58" s="59">
        <f t="shared" si="5"/>
        <v>634.64607620029324</v>
      </c>
      <c r="AN58" s="59">
        <f ca="1">AVERAGE(OFFSET($AM$3,0,0,'Données projet'!$E$10+1,1))-AVERAGE(OFFSET($H$3,0,0,'Données projet'!$E$10+1,1))</f>
        <v>158.58786357608489</v>
      </c>
      <c r="AO58" s="59">
        <f t="shared" si="36"/>
        <v>163.20074068819849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12.837499999999991</v>
      </c>
      <c r="BD58" s="12">
        <f>IF('Données projet'!$A$88&gt;35,BD57+BC58-BL57,IF(A58&lt;'Données projet'!$A$88,$BA$205^A58,IF(A58='Données projet'!$A$88,'Données projet'!$B$88,BD57+BC58-BL57)))</f>
        <v>433.63942307692287</v>
      </c>
      <c r="BE58" s="13">
        <f>BD58*VLOOKUP('Données projet'!$B$11,Paramètres!$A$1:$I$89,3,0)*VLOOKUP('Données projet'!$B$11,Paramètres!$A$1:$I$89,5,0)</f>
        <v>259.31637499999988</v>
      </c>
      <c r="BF58" s="13">
        <f t="shared" si="37"/>
        <v>62.576634410968637</v>
      </c>
      <c r="BG58" s="20">
        <f t="shared" si="7"/>
        <v>560.63032472410339</v>
      </c>
      <c r="BH58" s="59">
        <f t="shared" si="8"/>
        <v>853.96365805743676</v>
      </c>
      <c r="BI58" s="59">
        <f ca="1">AVERAGE(OFFSET($BH$3,0,0,'Données projet'!$E$11+1,1))-AVERAGE(OFFSET($H$3,0,0,'Données projet'!$E$11+1,1))</f>
        <v>243.85350804244348</v>
      </c>
      <c r="BJ58" s="59">
        <f t="shared" si="38"/>
        <v>304.60992308960545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2.7585280277958293</v>
      </c>
      <c r="BQ58" s="21">
        <f>EXP(-LN(2)/25)*BQ57+(1-EXP(-LN(2)/25))/(LN(2)/25)*Calculateur!BL58*Calculateur!BN58*VLOOKUP('Données projet'!$B$11,Paramètres!$A$1:$I$89,3,0)*0.475*44/12</f>
        <v>8.8644503787312416</v>
      </c>
      <c r="BR58" s="21">
        <f>EXP(-LN(2)/2)*BR57+(1-EXP(-LN(2)/2))/(LN(2)/2)*BL58*BO58*VLOOKUP('Données projet'!$B$11,Paramètres!$A$1:$I$89,3,0)*0.475*44/12</f>
        <v>6.4534309742315856E-4</v>
      </c>
      <c r="BS58" s="22">
        <f t="shared" si="9"/>
        <v>11.623623749624494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15.6</v>
      </c>
      <c r="BY58" s="12">
        <f>IF('Données projet'!$A$114&gt;35,BY57+BX58-CG57,IF(A58&lt;'Données projet'!$A$114,$BV$205^A58,IF(A58='Données projet'!$A$114,'Données projet'!$B$114,BY57+BX58-CG57)))</f>
        <v>368.99999999999994</v>
      </c>
      <c r="BZ58" s="13">
        <f>BY58*VLOOKUP('Données projet'!$B$12,Paramètres!$A$1:$I$89,3,0)*VLOOKUP('Données projet'!$B$12,Paramètres!$A$1:$I$89,5,0)</f>
        <v>220.66199999999998</v>
      </c>
      <c r="CA58" s="13">
        <f t="shared" si="39"/>
        <v>54.258742979954953</v>
      </c>
      <c r="CB58" s="20">
        <f t="shared" si="10"/>
        <v>478.82029402342147</v>
      </c>
      <c r="CC58" s="59">
        <f t="shared" si="11"/>
        <v>772.15362735675478</v>
      </c>
      <c r="CD58" s="59">
        <f ca="1">AVERAGE(OFFSET($CC$3,0,0,'Données projet'!$E$12+1,1))-AVERAGE(OFFSET($H$3,0,0,'Données projet'!$E$12+1,1))</f>
        <v>270.30888762640245</v>
      </c>
      <c r="CE58" s="59">
        <f t="shared" si="40"/>
        <v>202.23783851977691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1.305484978836349</v>
      </c>
      <c r="CL58" s="21">
        <f>EXP(-LN(2)/25)*CL57+(1-EXP(-LN(2)/25))/(LN(2)/25)*Calculateur!CG58*Calculateur!CI58*VLOOKUP('Données projet'!$B$12,Paramètres!$A$1:$I$89,3,0)*0.475*44/12</f>
        <v>6.1476040861203707</v>
      </c>
      <c r="CM58" s="21">
        <f>EXP(-LN(2)/2)*CM57+(1-EXP(-LN(2)/2))/(LN(2)/2)*CG58*CJ58*VLOOKUP('Données projet'!$B$12,Paramètres!$A$1:$I$89,3,0)*0.475*44/12</f>
        <v>3.1924435872354171E-3</v>
      </c>
      <c r="CN58" s="22">
        <f t="shared" si="12"/>
        <v>7.4562815085439551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6.8</v>
      </c>
      <c r="CT58" s="12">
        <f>IF('Données projet'!$A$140&gt;35,CT57+CS58-DB57,IF(A58&lt;'Données projet'!$A$140,$CQ$205^A58,IF(A58='Données projet'!$A$140,'Données projet'!$B$140,CT57+CS58-DB57)))</f>
        <v>275.99999999999989</v>
      </c>
      <c r="CU58" s="17">
        <f>CT58*VLOOKUP('Données projet'!$B$13,Paramètres!$A$1:$I$89,3,0)*VLOOKUP('Données projet'!$B$13,Paramètres!$A$1:$I$89,5,0)</f>
        <v>219.58559999999991</v>
      </c>
      <c r="CV58" s="13">
        <f t="shared" si="41"/>
        <v>54.024808047218549</v>
      </c>
      <c r="CW58" s="20">
        <f t="shared" si="13"/>
        <v>476.53812734890556</v>
      </c>
      <c r="CX58" s="59">
        <f t="shared" si="14"/>
        <v>769.87146068223888</v>
      </c>
      <c r="CY58" s="59">
        <f ca="1">AVERAGE(OFFSET($CX$3,0,0,'Données projet'!$E$13+1,1))-AVERAGE(OFFSET($H$3,0,0,'Données projet'!$E$13+1,1))</f>
        <v>260.20517190557814</v>
      </c>
      <c r="CZ58" s="59">
        <f t="shared" si="42"/>
        <v>307.22009971147133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1.9888149182417523</v>
      </c>
      <c r="DG58" s="21">
        <f>EXP(-LN(2)/25)*DG57+(1-EXP(-LN(2)/25))/(LN(2)/25)*Calculateur!DB58*Calculateur!DD58*VLOOKUP('Données projet'!$B$13,Paramètres!$A$1:$I$89,3,0)*0.475*44/12</f>
        <v>10.2598013623985</v>
      </c>
      <c r="DH58" s="21">
        <f>EXP(-LN(2)/2)*DH57+(1-EXP(-LN(2)/2))/(LN(2)/2)*DB58*DE58*VLOOKUP('Données projet'!$B$13,Paramètres!$A$1:$I$89,3,0)*0.475*44/12</f>
        <v>4.149942415356535E-3</v>
      </c>
      <c r="DI58" s="22">
        <f t="shared" si="15"/>
        <v>12.252766223055609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198.44230769230768</v>
      </c>
      <c r="DM58" s="12">
        <f>VLOOKUP(A58,'Données projet'!$A$165:$I$185,9,0)</f>
        <v>8.8736263736263741</v>
      </c>
      <c r="DN58" s="12">
        <f t="array" ref="DN58">INDEX(DM:DM,MIN(IF(ISNUMBER(DM58:DM254),ROW(DM58:DM254),"")))</f>
        <v>8.8736263736263741</v>
      </c>
      <c r="DO58" s="12">
        <f>IF('Données projet'!$A$166&gt;35,DO57+DN58-DW57,IF(A58&lt;'Données projet'!$A$166,$DL$205^A58,IF(A58='Données projet'!$A$166,'Données projet'!$B$166,DO57+DN58-DW57)))</f>
        <v>198.44230769230768</v>
      </c>
      <c r="DP58" s="17">
        <f>DO58*VLOOKUP('Données projet'!$B$14,Paramètres!$A$1:$I$89,3,0)*VLOOKUP('Données projet'!$B$14,Paramètres!$A$1:$I$89,5,0)</f>
        <v>201.22049999999999</v>
      </c>
      <c r="DQ58" s="13">
        <f t="shared" si="43"/>
        <v>50.012301634497518</v>
      </c>
      <c r="DR58" s="20">
        <f t="shared" si="16"/>
        <v>437.5637961800831</v>
      </c>
      <c r="DS58" s="59">
        <f t="shared" si="17"/>
        <v>730.89712951341642</v>
      </c>
      <c r="DT58" s="59">
        <f ca="1">AVERAGE(OFFSET($DS$3,0,0,'Données projet'!$E$14+1,1))-AVERAGE(OFFSET($H$3,0,0,'Données projet'!$E$14+1,1))</f>
        <v>263.15518481854753</v>
      </c>
      <c r="DU58" s="59">
        <f t="shared" si="44"/>
        <v>210.80755370263819</v>
      </c>
      <c r="DV58" s="15">
        <f>IF(ISNA(VLOOKUP(A58,'Données projet'!$A$165:$I$185,3,0)),0,VLOOKUP(A58,'Données projet'!$A$165:$I$185,3,0))</f>
        <v>4</v>
      </c>
      <c r="DW58" s="15">
        <f>IF(ISNA(VLOOKUP(A58,'Données projet'!$A$165:$I$185,4,0)),0,VLOOKUP(A58,'Données projet'!$A$165:$I$185,4,0))</f>
        <v>45.147435897435898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0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6.8</v>
      </c>
      <c r="EJ58" s="12">
        <f>IF('Données projet'!$A$192&gt;35,EJ57+EI58-ER57,IF(A58&lt;'Données projet'!$A$192,$EG$205^A58,IF(A58='Données projet'!$A$192,'Données projet'!$B$192,EJ57+EI58-ER57)))</f>
        <v>275.99999999999989</v>
      </c>
      <c r="EK58" s="17">
        <f>EJ58*VLOOKUP('Données projet'!$B$15,Paramètres!$A$1:$I$89,3,0)*VLOOKUP('Données projet'!$B$15,Paramètres!$A$1:$I$89,5,0)</f>
        <v>185.14079999999993</v>
      </c>
      <c r="EL58" s="13">
        <f t="shared" si="45"/>
        <v>46.464038253813463</v>
      </c>
      <c r="EM58" s="20">
        <f t="shared" si="19"/>
        <v>403.37842662539168</v>
      </c>
      <c r="EN58" s="59">
        <f t="shared" si="20"/>
        <v>696.711759958725</v>
      </c>
      <c r="EO58" s="59">
        <f ca="1">AVERAGE(OFFSET($EN$3,0,0,'Données projet'!$E$15+1,1))-AVERAGE(OFFSET($H$3,0,0,'Données projet'!$E$15+1,1))</f>
        <v>207.93042467236967</v>
      </c>
      <c r="EP58" s="59">
        <f t="shared" si="46"/>
        <v>250.70954318710835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1.6768439506744184</v>
      </c>
      <c r="EW58" s="21">
        <f>EXP(-LN(2)/25)*EW57+(1-EXP(-LN(2)/25))/(LN(2)/25)*Calculateur!ER58*Calculateur!ET58*VLOOKUP('Données projet'!$B$15,Paramètres!$A$1:$I$89,3,0)*0.475*44/12</f>
        <v>8.6504207565320748</v>
      </c>
      <c r="EX58" s="21">
        <f>EXP(-LN(2)/2)*EX57+(1-EXP(-LN(2)/2))/(LN(2)/2)*ER58*EU58*VLOOKUP('Données projet'!$B$15,Paramètres!$A$1:$I$89,3,0)*0.475*44/12</f>
        <v>3.4989710560849215E-3</v>
      </c>
      <c r="EY58" s="22">
        <f t="shared" si="21"/>
        <v>10.33076367826258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198.44230769230768</v>
      </c>
      <c r="FC58" s="12">
        <f>VLOOKUP(A58,'Données projet'!$A$217:$I$237,9,0)</f>
        <v>8.8736263736263741</v>
      </c>
      <c r="FD58" s="12">
        <f t="array" ref="FD58">INDEX(FC:FC,MIN(IF(ISNUMBER(FC58:FC254),ROW(FC58:FC254),"")))</f>
        <v>8.8736263736263741</v>
      </c>
      <c r="FE58" s="12">
        <f>IF('Données projet'!$A$218&gt;35,FE57+FD58-FM57,IF(A58&lt;'Données projet'!$A$218,$FB$205^A58,IF(A58='Données projet'!$A$218,'Données projet'!$B$218,FE57+FD58-FM57)))</f>
        <v>198.44230769230768</v>
      </c>
      <c r="FF58" s="17">
        <f>FE58*VLOOKUP('Données projet'!$B$16,Paramètres!$A$1:$I$89,3,0)*VLOOKUP('Données projet'!$B$16,Paramètres!$A$1:$I$89,5,0)</f>
        <v>213.60329999999999</v>
      </c>
      <c r="FG58" s="13">
        <f t="shared" si="47"/>
        <v>52.722216049800402</v>
      </c>
      <c r="FH58" s="20">
        <f t="shared" si="22"/>
        <v>463.85027378673567</v>
      </c>
      <c r="FI58" s="59">
        <f t="shared" si="23"/>
        <v>757.18360712006893</v>
      </c>
      <c r="FJ58" s="59">
        <f ca="1">AVERAGE(OFFSET($FI$3,0,0,'Données projet'!$E$16+1,1))-AVERAGE(OFFSET($H$3,0,0,'Données projet'!$E$16+1,1))</f>
        <v>286.77702855541287</v>
      </c>
      <c r="FK58" s="59">
        <f t="shared" si="48"/>
        <v>227.12211541860779</v>
      </c>
      <c r="FL58" s="15">
        <f>IF(ISNA(VLOOKUP(A58,'Données projet'!$A$217:$I$237,3,0)),0,VLOOKUP(A58,'Données projet'!$A$217:$I$237,3,0))</f>
        <v>4</v>
      </c>
      <c r="FM58" s="15">
        <f>IF(ISNA(VLOOKUP(A58,'Données projet'!$A$217:$I$237,4,0)),0,VLOOKUP(A58,'Données projet'!$A$217:$I$237,4,0))</f>
        <v>45.147435897435898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0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0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11.170769230769238</v>
      </c>
      <c r="FZ58" s="12">
        <f>IF('Données projet'!$A$244&gt;35,FZ57+FY58-GH57,IF(A58&lt;'Données projet'!$A$244,$FW$205^A58,IF(A58='Données projet'!$A$244,'Données projet'!$B$244,FZ57+FY58-GH57)))</f>
        <v>262.09076923076947</v>
      </c>
      <c r="GA58" s="17">
        <f>FZ58*VLOOKUP('Données projet'!$B$17,Paramètres!$A$1:$I$89,3,0)*VLOOKUP('Données projet'!$B$17,Paramètres!$A$1:$I$89,5,0)</f>
        <v>122.6584800000001</v>
      </c>
      <c r="GB58" s="13">
        <f t="shared" si="49"/>
        <v>32.294253146422101</v>
      </c>
      <c r="GC58" s="20">
        <f t="shared" si="25"/>
        <v>269.87601023001861</v>
      </c>
      <c r="GD58" s="59">
        <f t="shared" si="26"/>
        <v>563.20934356335192</v>
      </c>
      <c r="GE58" s="59">
        <f ca="1">AVERAGE(OFFSET($GD$3,0,0,'Données projet'!$E$17+1,1))-AVERAGE(OFFSET($H$3,0,0,'Données projet'!$E$17+1,1))</f>
        <v>123.2823358462245</v>
      </c>
      <c r="GF58" s="59">
        <f t="shared" si="50"/>
        <v>92.75115399786057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0</v>
      </c>
      <c r="GM58" s="21">
        <f>EXP(-LN(2)/25)*GM57+(1-EXP(-LN(2)/25))/(LN(2)/25)*Calculateur!GH58*Calculateur!GJ58*VLOOKUP('Données projet'!$B$17,Paramètres!$A$1:$I$89,3,0)*0.475*44/12</f>
        <v>0</v>
      </c>
      <c r="GN58" s="21">
        <f>EXP(-LN(2)/2)*GN57+(1-EXP(-LN(2)/2))/(LN(2)/2)*GH58*GK58*VLOOKUP('Données projet'!$B$17,Paramètres!$A$1:$I$89,3,0)*0.475*44/12</f>
        <v>0</v>
      </c>
      <c r="GO58" s="21">
        <f t="shared" si="27"/>
        <v>0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10.433653846153845</v>
      </c>
      <c r="GU58" s="12">
        <f>IF('Données projet'!$A$270&gt;35,GU57+GT58-HC57,IF(A58&lt;'Données projet'!$A$270,$GR$205^A58,IF(A58='Données projet'!$A$270,'Données projet'!$B$270,GU57+GT58-HC57)))</f>
        <v>301.33173076923049</v>
      </c>
      <c r="GV58" s="17">
        <f>GU58*VLOOKUP('Données projet'!$B$18,Paramètres!$A$1:$I$89,3,0)*VLOOKUP('Données projet'!$B$18,Paramètres!$A$1:$I$89,5,0)</f>
        <v>180.19637499999985</v>
      </c>
      <c r="GW58" s="13">
        <f t="shared" si="51"/>
        <v>45.365873213127998</v>
      </c>
      <c r="GX58" s="20">
        <f t="shared" si="28"/>
        <v>392.85424897119765</v>
      </c>
      <c r="GY58" s="59">
        <f t="shared" si="29"/>
        <v>686.18758230453091</v>
      </c>
      <c r="GZ58" s="59">
        <f ca="1">AVERAGE(OFFSET($GY$3,0,0,'Données projet'!$E$18+1,1))-AVERAGE(OFFSET($H$3,0,0,'Données projet'!$E$18+1,1))</f>
        <v>171.96009656745713</v>
      </c>
      <c r="HA58" s="59">
        <f t="shared" si="52"/>
        <v>172.37574906747716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>
        <f>EXP(-LN(2)/35)*HG57+(1-EXP(-LN(2)/35))/(LN(2)/35)*HC58*HD58*VLOOKUP('Données projet'!$B$18,Paramètres!$A$1:$I$89,3,0)*0.475*44/12</f>
        <v>1.016688306421349</v>
      </c>
      <c r="HH58" s="21">
        <f>EXP(-LN(2)/25)*HH57+(1-EXP(-LN(2)/25))/(LN(2)/25)*Calculateur!HC58*Calculateur!HE58*VLOOKUP('Données projet'!$B$18,Paramètres!$A$1:$I$89,3,0)*0.475*44/12</f>
        <v>10.278485260339107</v>
      </c>
      <c r="HI58" s="21">
        <f>EXP(-LN(2)/2)*HI57+(1-EXP(-LN(2)/2))/(LN(2)/2)*HC58*HF58*VLOOKUP('Données projet'!$B$18,Paramètres!$A$1:$I$89,3,0)*0.475*44/12</f>
        <v>2.0793050253218185E-3</v>
      </c>
      <c r="HJ58" s="22">
        <f t="shared" si="30"/>
        <v>11.297252871785778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-2.2737367544323206E-13</v>
      </c>
      <c r="O59" s="13">
        <f>N59*VLOOKUP('Données projet'!$B$9,Paramètres!$A$1:$I$89,3,0)*VLOOKUP('Données projet'!$B$9,Paramètres!$A$1:$I$89,5,0)</f>
        <v>-1.2710188457276673E-13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255.5374979188561</v>
      </c>
      <c r="T59" s="59">
        <f t="shared" si="34"/>
        <v>343.10418468620901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1.8464686473077545</v>
      </c>
      <c r="AA59" s="21">
        <f>EXP(-LN(2)/25)*AA58+(1-EXP(-LN(2)/25))/(LN(2)/25)*Calculateur!V59*Calculateur!X59*VLOOKUP('Données projet'!$B$9,Paramètres!$A$1:$I$89,3,0)*0.475*44/12</f>
        <v>7.7619125025186415</v>
      </c>
      <c r="AB59" s="21">
        <f>EXP(-LN(2)/2)*AB58+(1-EXP(-LN(2)/2))/(LN(2)/2)*V59*Y59*VLOOKUP('Données projet'!$B$9,Paramètres!$A$1:$I$89,3,0)*0.475*44/12</f>
        <v>2.0662256829273267E-4</v>
      </c>
      <c r="AC59" s="22">
        <f t="shared" si="3"/>
        <v>9.6085877723946886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>
        <f>VLOOKUP(A59,'Données projet'!$A$61:$I$81,2,0)</f>
        <v>348.05384615384617</v>
      </c>
      <c r="AG59" s="12">
        <f>VLOOKUP(A59,'Données projet'!$A$61:$I$81,9,0)</f>
        <v>14.668131868131875</v>
      </c>
      <c r="AH59" s="12">
        <f t="array" ref="AH59">INDEX(AG:AG,MIN(IF(ISNUMBER(AG59:AG255),ROW(AG59:AG255),"")))</f>
        <v>14.668131868131875</v>
      </c>
      <c r="AI59" s="13">
        <f>IF('Données projet'!$A$62&gt;35,AI58+AH59-AQ58,IF(A59&lt;'Données projet'!$A$62,$AF$205^A59,IF(A59='Données projet'!$A$62,'Données projet'!$B$62,AI58+AH59-AQ58)))</f>
        <v>348.05384615384617</v>
      </c>
      <c r="AJ59" s="13">
        <f>AI59*VLOOKUP('Données projet'!$B$10,Paramètres!$A$1:$I$89,3,0)*VLOOKUP('Données projet'!$B$10,Paramètres!$A$1:$I$89,5,0)</f>
        <v>162.88919999999999</v>
      </c>
      <c r="AK59" s="13">
        <f t="shared" si="35"/>
        <v>41.493502222820894</v>
      </c>
      <c r="AL59" s="20">
        <f t="shared" si="4"/>
        <v>355.96653970474637</v>
      </c>
      <c r="AM59" s="59">
        <f t="shared" si="5"/>
        <v>649.29987303807968</v>
      </c>
      <c r="AN59" s="59">
        <f ca="1">AVERAGE(OFFSET($AM$3,0,0,'Données projet'!$E$10+1,1))-AVERAGE(OFFSET($H$3,0,0,'Données projet'!$E$10+1,1))</f>
        <v>158.58786357608489</v>
      </c>
      <c r="AO59" s="59">
        <f t="shared" si="36"/>
        <v>163.20074068819849</v>
      </c>
      <c r="AP59" s="15">
        <f>IF(ISNA(VLOOKUP(A59,'Données projet'!$A$61:$I$81,3,0)),0,VLOOKUP(A59,'Données projet'!$A$61:$I$81,3,0))</f>
        <v>3</v>
      </c>
      <c r="AQ59" s="15">
        <f>IF(ISNA(VLOOKUP(A59,'Données projet'!$A$61:$I$81,4,0)),0,VLOOKUP(A59,'Données projet'!$A$61:$I$81,4,0))</f>
        <v>72.769230769230759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>
        <f>VLOOKUP(A59,'Données projet'!$A$87:$I$107,2,0)</f>
        <v>446.47692307692301</v>
      </c>
      <c r="BB59" s="12">
        <f>VLOOKUP(A59,'Données projet'!$A$87:$I$107,9,0)</f>
        <v>12.837499999999991</v>
      </c>
      <c r="BC59" s="12">
        <f t="array" ref="BC59">INDEX(BB:BB,MIN(IF(ISNUMBER(BB59:BB255),ROW(BB59:BB255),"")))</f>
        <v>12.837499999999991</v>
      </c>
      <c r="BD59" s="12">
        <f>IF('Données projet'!$A$88&gt;35,BD58+BC59-BL58,IF(A59&lt;'Données projet'!$A$88,$BA$205^A59,IF(A59='Données projet'!$A$88,'Données projet'!$B$88,BD58+BC59-BL58)))</f>
        <v>446.47692307692284</v>
      </c>
      <c r="BE59" s="13">
        <f>BD59*VLOOKUP('Données projet'!$B$11,Paramètres!$A$1:$I$89,3,0)*VLOOKUP('Données projet'!$B$11,Paramètres!$A$1:$I$89,5,0)</f>
        <v>266.99319999999989</v>
      </c>
      <c r="BF59" s="13">
        <f t="shared" si="37"/>
        <v>64.210735131625498</v>
      </c>
      <c r="BG59" s="20">
        <f t="shared" si="7"/>
        <v>576.84685368758085</v>
      </c>
      <c r="BH59" s="59">
        <f t="shared" si="8"/>
        <v>870.18018702091422</v>
      </c>
      <c r="BI59" s="59">
        <f ca="1">AVERAGE(OFFSET($BH$3,0,0,'Données projet'!$E$11+1,1))-AVERAGE(OFFSET($H$3,0,0,'Données projet'!$E$11+1,1))</f>
        <v>243.85350804244348</v>
      </c>
      <c r="BJ59" s="59">
        <f t="shared" si="38"/>
        <v>304.60992308960545</v>
      </c>
      <c r="BK59" s="15">
        <f>IF(ISNA(VLOOKUP(A59,'Données projet'!$A$87:$I$107,3,0)),0,VLOOKUP(A59,'Données projet'!$A$87:$I$107,3,0))</f>
        <v>7</v>
      </c>
      <c r="BL59" s="15">
        <f>IF(ISNA(VLOOKUP(A59,'Données projet'!$A$87:$I$107,4,0)),0,VLOOKUP(A59,'Données projet'!$A$87:$I$107,4,0))</f>
        <v>446.47692307692301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2.7044349757067132</v>
      </c>
      <c r="BQ59" s="21">
        <f>EXP(-LN(2)/25)*BQ58+(1-EXP(-LN(2)/25))/(LN(2)/25)*Calculateur!BL59*Calculateur!BN59*VLOOKUP('Données projet'!$B$11,Paramètres!$A$1:$I$89,3,0)*0.475*44/12</f>
        <v>8.6220515169636496</v>
      </c>
      <c r="BR59" s="21">
        <f>EXP(-LN(2)/2)*BR58+(1-EXP(-LN(2)/2))/(LN(2)/2)*BL59*BO59*VLOOKUP('Données projet'!$B$11,Paramètres!$A$1:$I$89,3,0)*0.475*44/12</f>
        <v>4.5632648037984621E-4</v>
      </c>
      <c r="BS59" s="22">
        <f t="shared" si="9"/>
        <v>11.326942819150743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15.6</v>
      </c>
      <c r="BY59" s="12">
        <f>IF('Données projet'!$A$114&gt;35,BY58+BX59-CG58,IF(A59&lt;'Données projet'!$A$114,$BV$205^A59,IF(A59='Données projet'!$A$114,'Données projet'!$B$114,BY58+BX59-CG58)))</f>
        <v>384.59999999999997</v>
      </c>
      <c r="BZ59" s="13">
        <f>BY59*VLOOKUP('Données projet'!$B$12,Paramètres!$A$1:$I$89,3,0)*VLOOKUP('Données projet'!$B$12,Paramètres!$A$1:$I$89,5,0)</f>
        <v>229.99080000000001</v>
      </c>
      <c r="CA59" s="13">
        <f t="shared" si="39"/>
        <v>56.280692271413919</v>
      </c>
      <c r="CB59" s="20">
        <f t="shared" si="10"/>
        <v>498.58951570604586</v>
      </c>
      <c r="CC59" s="59">
        <f t="shared" si="11"/>
        <v>791.92284903937912</v>
      </c>
      <c r="CD59" s="59">
        <f ca="1">AVERAGE(OFFSET($CC$3,0,0,'Données projet'!$E$12+1,1))-AVERAGE(OFFSET($H$3,0,0,'Données projet'!$E$12+1,1))</f>
        <v>270.30888762640245</v>
      </c>
      <c r="CE59" s="59">
        <f t="shared" si="40"/>
        <v>202.23783851977691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1.2798852146685804</v>
      </c>
      <c r="CL59" s="21">
        <f>EXP(-LN(2)/25)*CL58+(1-EXP(-LN(2)/25))/(LN(2)/25)*Calculateur!CG59*Calculateur!CI59*VLOOKUP('Données projet'!$B$12,Paramètres!$A$1:$I$89,3,0)*0.475*44/12</f>
        <v>5.9794975290969612</v>
      </c>
      <c r="CM59" s="21">
        <f>EXP(-LN(2)/2)*CM58+(1-EXP(-LN(2)/2))/(LN(2)/2)*CG59*CJ59*VLOOKUP('Données projet'!$B$12,Paramètres!$A$1:$I$89,3,0)*0.475*44/12</f>
        <v>2.2573985090896709E-3</v>
      </c>
      <c r="CN59" s="22">
        <f t="shared" si="12"/>
        <v>7.2616401422746319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6.8</v>
      </c>
      <c r="CT59" s="12">
        <f>IF('Données projet'!$A$140&gt;35,CT58+CS59-DB58,IF(A59&lt;'Données projet'!$A$140,$CQ$205^A59,IF(A59='Données projet'!$A$140,'Données projet'!$B$140,CT58+CS59-DB58)))</f>
        <v>282.7999999999999</v>
      </c>
      <c r="CU59" s="17">
        <f>CT59*VLOOKUP('Données projet'!$B$13,Paramètres!$A$1:$I$89,3,0)*VLOOKUP('Données projet'!$B$13,Paramètres!$A$1:$I$89,5,0)</f>
        <v>224.99567999999994</v>
      </c>
      <c r="CV59" s="13">
        <f t="shared" si="41"/>
        <v>55.199249109676629</v>
      </c>
      <c r="CW59" s="20">
        <f t="shared" si="13"/>
        <v>488.00616819935334</v>
      </c>
      <c r="CX59" s="59">
        <f t="shared" si="14"/>
        <v>781.33950153268665</v>
      </c>
      <c r="CY59" s="59">
        <f ca="1">AVERAGE(OFFSET($CX$3,0,0,'Données projet'!$E$13+1,1))-AVERAGE(OFFSET($H$3,0,0,'Données projet'!$E$13+1,1))</f>
        <v>260.20517190557814</v>
      </c>
      <c r="CZ59" s="59">
        <f t="shared" si="42"/>
        <v>307.22009971147133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1.9498154707523523</v>
      </c>
      <c r="DG59" s="21">
        <f>EXP(-LN(2)/25)*DG58+(1-EXP(-LN(2)/25))/(LN(2)/25)*Calculateur!DB59*Calculateur!DD59*VLOOKUP('Données projet'!$B$13,Paramètres!$A$1:$I$89,3,0)*0.475*44/12</f>
        <v>9.9792465546042077</v>
      </c>
      <c r="DH59" s="21">
        <f>EXP(-LN(2)/2)*DH58+(1-EXP(-LN(2)/2))/(LN(2)/2)*DB59*DE59*VLOOKUP('Données projet'!$B$13,Paramètres!$A$1:$I$89,3,0)*0.475*44/12</f>
        <v>2.9344524234322859E-3</v>
      </c>
      <c r="DI59" s="22">
        <f t="shared" si="15"/>
        <v>11.931996477779991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8.374198717948719</v>
      </c>
      <c r="DO59" s="12">
        <f>IF('Données projet'!$A$166&gt;35,DO58+DN59-DW58,IF(A59&lt;'Données projet'!$A$166,$DL$205^A59,IF(A59='Données projet'!$A$166,'Données projet'!$B$166,DO58+DN59-DW58)))</f>
        <v>161.6690705128205</v>
      </c>
      <c r="DP59" s="17">
        <f>DO59*VLOOKUP('Données projet'!$B$14,Paramètres!$A$1:$I$89,3,0)*VLOOKUP('Données projet'!$B$14,Paramètres!$A$1:$I$89,5,0)</f>
        <v>163.93243749999999</v>
      </c>
      <c r="DQ59" s="13">
        <f t="shared" si="43"/>
        <v>41.728230370613375</v>
      </c>
      <c r="DR59" s="20">
        <f t="shared" si="16"/>
        <v>358.19232987465165</v>
      </c>
      <c r="DS59" s="59">
        <f t="shared" si="17"/>
        <v>651.52566320798496</v>
      </c>
      <c r="DT59" s="59">
        <f ca="1">AVERAGE(OFFSET($DS$3,0,0,'Données projet'!$E$14+1,1))-AVERAGE(OFFSET($H$3,0,0,'Données projet'!$E$14+1,1))</f>
        <v>263.15518481854753</v>
      </c>
      <c r="DU59" s="59">
        <f t="shared" si="44"/>
        <v>210.80755370263819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0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6.8</v>
      </c>
      <c r="EJ59" s="12">
        <f>IF('Données projet'!$A$192&gt;35,EJ58+EI59-ER58,IF(A59&lt;'Données projet'!$A$192,$EG$205^A59,IF(A59='Données projet'!$A$192,'Données projet'!$B$192,EJ58+EI59-ER58)))</f>
        <v>282.7999999999999</v>
      </c>
      <c r="EK59" s="17">
        <f>EJ59*VLOOKUP('Données projet'!$B$15,Paramètres!$A$1:$I$89,3,0)*VLOOKUP('Données projet'!$B$15,Paramètres!$A$1:$I$89,5,0)</f>
        <v>189.70223999999993</v>
      </c>
      <c r="EL59" s="13">
        <f t="shared" si="45"/>
        <v>47.474116335075863</v>
      </c>
      <c r="EM59" s="20">
        <f t="shared" si="19"/>
        <v>413.08215395025701</v>
      </c>
      <c r="EN59" s="59">
        <f t="shared" si="20"/>
        <v>706.41548728359032</v>
      </c>
      <c r="EO59" s="59">
        <f ca="1">AVERAGE(OFFSET($EN$3,0,0,'Données projet'!$E$15+1,1))-AVERAGE(OFFSET($H$3,0,0,'Données projet'!$E$15+1,1))</f>
        <v>207.93042467236967</v>
      </c>
      <c r="EP59" s="59">
        <f t="shared" si="46"/>
        <v>250.70954318710835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1.6439620635755123</v>
      </c>
      <c r="EW59" s="21">
        <f>EXP(-LN(2)/25)*EW58+(1-EXP(-LN(2)/25))/(LN(2)/25)*Calculateur!ER59*Calculateur!ET59*VLOOKUP('Données projet'!$B$15,Paramètres!$A$1:$I$89,3,0)*0.475*44/12</f>
        <v>8.4138745460388478</v>
      </c>
      <c r="EX59" s="21">
        <f>EXP(-LN(2)/2)*EX58+(1-EXP(-LN(2)/2))/(LN(2)/2)*ER59*EU59*VLOOKUP('Données projet'!$B$15,Paramètres!$A$1:$I$89,3,0)*0.475*44/12</f>
        <v>2.4741461609331036E-3</v>
      </c>
      <c r="EY59" s="22">
        <f t="shared" si="21"/>
        <v>10.060310755775294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8.374198717948719</v>
      </c>
      <c r="FE59" s="12">
        <f>IF('Données projet'!$A$218&gt;35,FE58+FD59-FM58,IF(A59&lt;'Données projet'!$A$218,$FB$205^A59,IF(A59='Données projet'!$A$218,'Données projet'!$B$218,FE58+FD59-FM58)))</f>
        <v>161.6690705128205</v>
      </c>
      <c r="FF59" s="17">
        <f>FE59*VLOOKUP('Données projet'!$B$16,Paramètres!$A$1:$I$89,3,0)*VLOOKUP('Données projet'!$B$16,Paramètres!$A$1:$I$89,5,0)</f>
        <v>174.02058749999998</v>
      </c>
      <c r="FG59" s="13">
        <f t="shared" si="47"/>
        <v>43.989272740405184</v>
      </c>
      <c r="FH59" s="20">
        <f t="shared" si="22"/>
        <v>379.7005065853723</v>
      </c>
      <c r="FI59" s="59">
        <f t="shared" si="23"/>
        <v>673.03383991870555</v>
      </c>
      <c r="FJ59" s="59">
        <f ca="1">AVERAGE(OFFSET($FI$3,0,0,'Données projet'!$E$16+1,1))-AVERAGE(OFFSET($H$3,0,0,'Données projet'!$E$16+1,1))</f>
        <v>286.77702855541287</v>
      </c>
      <c r="FK59" s="59">
        <f t="shared" si="48"/>
        <v>227.12211541860779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0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0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11.170769230769238</v>
      </c>
      <c r="FZ59" s="12">
        <f>IF('Données projet'!$A$244&gt;35,FZ58+FY59-GH58,IF(A59&lt;'Données projet'!$A$244,$FW$205^A59,IF(A59='Données projet'!$A$244,'Données projet'!$B$244,FZ58+FY59-GH58)))</f>
        <v>273.26153846153869</v>
      </c>
      <c r="GA59" s="17">
        <f>FZ59*VLOOKUP('Données projet'!$B$17,Paramètres!$A$1:$I$89,3,0)*VLOOKUP('Données projet'!$B$17,Paramètres!$A$1:$I$89,5,0)</f>
        <v>127.88640000000011</v>
      </c>
      <c r="GB59" s="13">
        <f t="shared" si="49"/>
        <v>33.507503472593491</v>
      </c>
      <c r="GC59" s="20">
        <f t="shared" si="25"/>
        <v>281.09438188143378</v>
      </c>
      <c r="GD59" s="59">
        <f t="shared" si="26"/>
        <v>574.42771521476709</v>
      </c>
      <c r="GE59" s="59">
        <f ca="1">AVERAGE(OFFSET($GD$3,0,0,'Données projet'!$E$17+1,1))-AVERAGE(OFFSET($H$3,0,0,'Données projet'!$E$17+1,1))</f>
        <v>123.2823358462245</v>
      </c>
      <c r="GF59" s="59">
        <f t="shared" si="50"/>
        <v>92.75115399786057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0</v>
      </c>
      <c r="GM59" s="21">
        <f>EXP(-LN(2)/25)*GM58+(1-EXP(-LN(2)/25))/(LN(2)/25)*Calculateur!GH59*Calculateur!GJ59*VLOOKUP('Données projet'!$B$17,Paramètres!$A$1:$I$89,3,0)*0.475*44/12</f>
        <v>0</v>
      </c>
      <c r="GN59" s="21">
        <f>EXP(-LN(2)/2)*GN58+(1-EXP(-LN(2)/2))/(LN(2)/2)*GH59*GK59*VLOOKUP('Données projet'!$B$17,Paramètres!$A$1:$I$89,3,0)*0.475*44/12</f>
        <v>0</v>
      </c>
      <c r="GO59" s="21">
        <f t="shared" si="27"/>
        <v>0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10.433653846153845</v>
      </c>
      <c r="GU59" s="12">
        <f>IF('Données projet'!$A$270&gt;35,GU58+GT59-HC58,IF(A59&lt;'Données projet'!$A$270,$GR$205^A59,IF(A59='Données projet'!$A$270,'Données projet'!$B$270,GU58+GT59-HC58)))</f>
        <v>311.76538461538433</v>
      </c>
      <c r="GV59" s="17">
        <f>GU59*VLOOKUP('Données projet'!$B$18,Paramètres!$A$1:$I$89,3,0)*VLOOKUP('Données projet'!$B$18,Paramètres!$A$1:$I$89,5,0)</f>
        <v>186.43569999999985</v>
      </c>
      <c r="GW59" s="13">
        <f t="shared" si="51"/>
        <v>46.751070304344353</v>
      </c>
      <c r="GX59" s="20">
        <f t="shared" si="28"/>
        <v>406.13362494673282</v>
      </c>
      <c r="GY59" s="59">
        <f t="shared" si="29"/>
        <v>699.46695828006614</v>
      </c>
      <c r="GZ59" s="59">
        <f ca="1">AVERAGE(OFFSET($GY$3,0,0,'Données projet'!$E$18+1,1))-AVERAGE(OFFSET($H$3,0,0,'Données projet'!$E$18+1,1))</f>
        <v>171.96009656745713</v>
      </c>
      <c r="HA59" s="59">
        <f t="shared" si="52"/>
        <v>172.37574906747716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>
        <f>EXP(-LN(2)/35)*HG58+(1-EXP(-LN(2)/35))/(LN(2)/35)*HC59*HD59*VLOOKUP('Données projet'!$B$18,Paramètres!$A$1:$I$89,3,0)*0.475*44/12</f>
        <v>0.99675166885106159</v>
      </c>
      <c r="HH59" s="21">
        <f>EXP(-LN(2)/25)*HH58+(1-EXP(-LN(2)/25))/(LN(2)/25)*Calculateur!HC59*Calculateur!HE59*VLOOKUP('Données projet'!$B$18,Paramètres!$A$1:$I$89,3,0)*0.475*44/12</f>
        <v>9.9974195403730857</v>
      </c>
      <c r="HI59" s="21">
        <f>EXP(-LN(2)/2)*HI58+(1-EXP(-LN(2)/2))/(LN(2)/2)*HC59*HF59*VLOOKUP('Données projet'!$B$18,Paramètres!$A$1:$I$89,3,0)*0.475*44/12</f>
        <v>1.4702906835603238E-3</v>
      </c>
      <c r="HJ59" s="22">
        <f t="shared" si="30"/>
        <v>10.995641499907707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-2.2737367544323206E-13</v>
      </c>
      <c r="O60" s="13">
        <f>N60*VLOOKUP('Données projet'!$B$9,Paramètres!$A$1:$I$89,3,0)*VLOOKUP('Données projet'!$B$9,Paramètres!$A$1:$I$89,5,0)</f>
        <v>-1.2710188457276673E-13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255.5374979188561</v>
      </c>
      <c r="T60" s="59">
        <f t="shared" si="34"/>
        <v>343.10418468620901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1.8102605233687179</v>
      </c>
      <c r="AA60" s="21">
        <f>EXP(-LN(2)/25)*AA59+(1-EXP(-LN(2)/25))/(LN(2)/25)*Calculateur!V60*Calculateur!X60*VLOOKUP('Données projet'!$B$9,Paramètres!$A$1:$I$89,3,0)*0.475*44/12</f>
        <v>7.5496625969560309</v>
      </c>
      <c r="AB60" s="21">
        <f>EXP(-LN(2)/2)*AB59+(1-EXP(-LN(2)/2))/(LN(2)/2)*V60*Y60*VLOOKUP('Données projet'!$B$9,Paramètres!$A$1:$I$89,3,0)*0.475*44/12</f>
        <v>1.4610421918597179E-4</v>
      </c>
      <c r="AC60" s="22">
        <f t="shared" si="3"/>
        <v>9.3600692245439348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14.270329670329668</v>
      </c>
      <c r="AI60" s="13">
        <f>IF('Données projet'!$A$62&gt;35,AI59+AH60-AQ59,IF(A60&lt;'Données projet'!$A$62,$AF$205^A60,IF(A60='Données projet'!$A$62,'Données projet'!$B$62,AI59+AH60-AQ59)))</f>
        <v>289.55494505494505</v>
      </c>
      <c r="AJ60" s="13">
        <f>AI60*VLOOKUP('Données projet'!$B$10,Paramètres!$A$1:$I$89,3,0)*VLOOKUP('Données projet'!$B$10,Paramètres!$A$1:$I$89,5,0)</f>
        <v>135.51171428571428</v>
      </c>
      <c r="AK60" s="13">
        <f t="shared" si="35"/>
        <v>35.26686051307076</v>
      </c>
      <c r="AL60" s="20">
        <f t="shared" si="4"/>
        <v>297.43935110788397</v>
      </c>
      <c r="AM60" s="59">
        <f t="shared" si="5"/>
        <v>590.77268444121728</v>
      </c>
      <c r="AN60" s="59">
        <f ca="1">AVERAGE(OFFSET($AM$3,0,0,'Données projet'!$E$10+1,1))-AVERAGE(OFFSET($H$3,0,0,'Données projet'!$E$10+1,1))</f>
        <v>158.58786357608489</v>
      </c>
      <c r="AO60" s="59">
        <f t="shared" si="36"/>
        <v>163.20074068819849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-1.7053025658242404E-13</v>
      </c>
      <c r="BE60" s="13">
        <f>BD60*VLOOKUP('Données projet'!$B$11,Paramètres!$A$1:$I$89,3,0)*VLOOKUP('Données projet'!$B$11,Paramètres!$A$1:$I$89,5,0)</f>
        <v>-1.0197709343628959E-13</v>
      </c>
      <c r="BF60" s="13" t="e">
        <f t="shared" si="37"/>
        <v>#NUM!</v>
      </c>
      <c r="BG60" s="20" t="e">
        <f t="shared" si="7"/>
        <v>#NUM!</v>
      </c>
      <c r="BH60" s="59" t="e">
        <f t="shared" si="8"/>
        <v>#NUM!</v>
      </c>
      <c r="BI60" s="59">
        <f ca="1">AVERAGE(OFFSET($BH$3,0,0,'Données projet'!$E$11+1,1))-AVERAGE(OFFSET($H$3,0,0,'Données projet'!$E$11+1,1))</f>
        <v>243.85350804244348</v>
      </c>
      <c r="BJ60" s="59">
        <f t="shared" si="38"/>
        <v>304.60992308960545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2.651402655375561</v>
      </c>
      <c r="BQ60" s="21">
        <f>EXP(-LN(2)/25)*BQ59+(1-EXP(-LN(2)/25))/(LN(2)/25)*Calculateur!BL60*Calculateur!BN60*VLOOKUP('Données projet'!$B$11,Paramètres!$A$1:$I$89,3,0)*0.475*44/12</f>
        <v>8.3862810648182951</v>
      </c>
      <c r="BR60" s="21">
        <f>EXP(-LN(2)/2)*BR59+(1-EXP(-LN(2)/2))/(LN(2)/2)*BL60*BO60*VLOOKUP('Données projet'!$B$11,Paramètres!$A$1:$I$89,3,0)*0.475*44/12</f>
        <v>3.2267154871157928E-4</v>
      </c>
      <c r="BS60" s="22">
        <f t="shared" si="9"/>
        <v>11.038006391742568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15.6</v>
      </c>
      <c r="BY60" s="12">
        <f>IF('Données projet'!$A$114&gt;35,BY59+BX60-CG59,IF(A60&lt;'Données projet'!$A$114,$BV$205^A60,IF(A60='Données projet'!$A$114,'Données projet'!$B$114,BY59+BX60-CG59)))</f>
        <v>400.2</v>
      </c>
      <c r="BZ60" s="13">
        <f>BY60*VLOOKUP('Données projet'!$B$12,Paramètres!$A$1:$I$89,3,0)*VLOOKUP('Données projet'!$B$12,Paramètres!$A$1:$I$89,5,0)</f>
        <v>239.31960000000004</v>
      </c>
      <c r="CA60" s="13">
        <f t="shared" si="39"/>
        <v>58.293114928060938</v>
      </c>
      <c r="CB60" s="20">
        <f t="shared" si="10"/>
        <v>518.34214516637292</v>
      </c>
      <c r="CC60" s="59">
        <f t="shared" si="11"/>
        <v>811.67547849970629</v>
      </c>
      <c r="CD60" s="59">
        <f ca="1">AVERAGE(OFFSET($CC$3,0,0,'Données projet'!$E$12+1,1))-AVERAGE(OFFSET($H$3,0,0,'Données projet'!$E$12+1,1))</f>
        <v>270.30888762640245</v>
      </c>
      <c r="CE60" s="59">
        <f t="shared" si="40"/>
        <v>202.23783851977691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1.2547874462618274</v>
      </c>
      <c r="CL60" s="21">
        <f>EXP(-LN(2)/25)*CL59+(1-EXP(-LN(2)/25))/(LN(2)/25)*Calculateur!CG60*Calculateur!CI60*VLOOKUP('Données projet'!$B$12,Paramètres!$A$1:$I$89,3,0)*0.475*44/12</f>
        <v>5.8159878547156962</v>
      </c>
      <c r="CM60" s="21">
        <f>EXP(-LN(2)/2)*CM59+(1-EXP(-LN(2)/2))/(LN(2)/2)*CG60*CJ60*VLOOKUP('Données projet'!$B$12,Paramètres!$A$1:$I$89,3,0)*0.475*44/12</f>
        <v>1.5962217936177085E-3</v>
      </c>
      <c r="CN60" s="22">
        <f t="shared" si="12"/>
        <v>7.0723715227711406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6.8</v>
      </c>
      <c r="CT60" s="12">
        <f>IF('Données projet'!$A$140&gt;35,CT59+CS60-DB59,IF(A60&lt;'Données projet'!$A$140,$CQ$205^A60,IF(A60='Données projet'!$A$140,'Données projet'!$B$140,CT59+CS60-DB59)))</f>
        <v>289.59999999999991</v>
      </c>
      <c r="CU60" s="17">
        <f>CT60*VLOOKUP('Données projet'!$B$13,Paramètres!$A$1:$I$89,3,0)*VLOOKUP('Données projet'!$B$13,Paramètres!$A$1:$I$89,5,0)</f>
        <v>230.40575999999996</v>
      </c>
      <c r="CV60" s="13">
        <f t="shared" si="41"/>
        <v>56.370407327556237</v>
      </c>
      <c r="CW60" s="20">
        <f t="shared" si="13"/>
        <v>499.46849142882706</v>
      </c>
      <c r="CX60" s="59">
        <f t="shared" si="14"/>
        <v>792.80182476216032</v>
      </c>
      <c r="CY60" s="59">
        <f ca="1">AVERAGE(OFFSET($CX$3,0,0,'Données projet'!$E$13+1,1))-AVERAGE(OFFSET($H$3,0,0,'Données projet'!$E$13+1,1))</f>
        <v>260.20517190557814</v>
      </c>
      <c r="CZ60" s="59">
        <f t="shared" si="42"/>
        <v>307.22009971147133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1.9115807786409051</v>
      </c>
      <c r="DG60" s="21">
        <f>EXP(-LN(2)/25)*DG59+(1-EXP(-LN(2)/25))/(LN(2)/25)*Calculateur!DB60*Calculateur!DD60*VLOOKUP('Données projet'!$B$13,Paramètres!$A$1:$I$89,3,0)*0.475*44/12</f>
        <v>9.7063635327827864</v>
      </c>
      <c r="DH60" s="21">
        <f>EXP(-LN(2)/2)*DH59+(1-EXP(-LN(2)/2))/(LN(2)/2)*DB60*DE60*VLOOKUP('Données projet'!$B$13,Paramètres!$A$1:$I$89,3,0)*0.475*44/12</f>
        <v>2.0749712076782675E-3</v>
      </c>
      <c r="DI60" s="22">
        <f t="shared" si="15"/>
        <v>11.62001928263137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8.374198717948719</v>
      </c>
      <c r="DO60" s="12">
        <f>IF('Données projet'!$A$166&gt;35,DO59+DN60-DW59,IF(A60&lt;'Données projet'!$A$166,$DL$205^A60,IF(A60='Données projet'!$A$166,'Données projet'!$B$166,DO59+DN60-DW59)))</f>
        <v>170.04326923076923</v>
      </c>
      <c r="DP60" s="17">
        <f>DO60*VLOOKUP('Données projet'!$B$14,Paramètres!$A$1:$I$89,3,0)*VLOOKUP('Données projet'!$B$14,Paramètres!$A$1:$I$89,5,0)</f>
        <v>172.42387500000001</v>
      </c>
      <c r="DQ60" s="13">
        <f t="shared" si="43"/>
        <v>43.632442843289994</v>
      </c>
      <c r="DR60" s="20">
        <f t="shared" si="16"/>
        <v>376.29808691039671</v>
      </c>
      <c r="DS60" s="59">
        <f t="shared" si="17"/>
        <v>669.63142024372996</v>
      </c>
      <c r="DT60" s="59">
        <f ca="1">AVERAGE(OFFSET($DS$3,0,0,'Données projet'!$E$14+1,1))-AVERAGE(OFFSET($H$3,0,0,'Données projet'!$E$14+1,1))</f>
        <v>263.15518481854753</v>
      </c>
      <c r="DU60" s="59">
        <f t="shared" si="44"/>
        <v>210.80755370263819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0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6.8</v>
      </c>
      <c r="EJ60" s="12">
        <f>IF('Données projet'!$A$192&gt;35,EJ59+EI60-ER59,IF(A60&lt;'Données projet'!$A$192,$EG$205^A60,IF(A60='Données projet'!$A$192,'Données projet'!$B$192,EJ59+EI60-ER59)))</f>
        <v>289.59999999999991</v>
      </c>
      <c r="EK60" s="17">
        <f>EJ60*VLOOKUP('Données projet'!$B$15,Paramètres!$A$1:$I$89,3,0)*VLOOKUP('Données projet'!$B$15,Paramètres!$A$1:$I$89,5,0)</f>
        <v>194.26367999999994</v>
      </c>
      <c r="EL60" s="13">
        <f t="shared" si="45"/>
        <v>48.481371005731333</v>
      </c>
      <c r="EM60" s="20">
        <f t="shared" si="19"/>
        <v>422.78096383498195</v>
      </c>
      <c r="EN60" s="59">
        <f t="shared" si="20"/>
        <v>716.11429716831526</v>
      </c>
      <c r="EO60" s="59">
        <f ca="1">AVERAGE(OFFSET($EN$3,0,0,'Données projet'!$E$15+1,1))-AVERAGE(OFFSET($H$3,0,0,'Données projet'!$E$15+1,1))</f>
        <v>207.93042467236967</v>
      </c>
      <c r="EP60" s="59">
        <f t="shared" si="46"/>
        <v>250.70954318710835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1.6117249702266452</v>
      </c>
      <c r="EW60" s="21">
        <f>EXP(-LN(2)/25)*EW59+(1-EXP(-LN(2)/25))/(LN(2)/25)*Calculateur!ER60*Calculateur!ET60*VLOOKUP('Données projet'!$B$15,Paramètres!$A$1:$I$89,3,0)*0.475*44/12</f>
        <v>8.1837967041109838</v>
      </c>
      <c r="EX60" s="21">
        <f>EXP(-LN(2)/2)*EX59+(1-EXP(-LN(2)/2))/(LN(2)/2)*ER60*EU60*VLOOKUP('Données projet'!$B$15,Paramètres!$A$1:$I$89,3,0)*0.475*44/12</f>
        <v>1.7494855280424607E-3</v>
      </c>
      <c r="EY60" s="22">
        <f t="shared" si="21"/>
        <v>9.7972711598656712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8.374198717948719</v>
      </c>
      <c r="FE60" s="12">
        <f>IF('Données projet'!$A$218&gt;35,FE59+FD60-FM59,IF(A60&lt;'Données projet'!$A$218,$FB$205^A60,IF(A60='Données projet'!$A$218,'Données projet'!$B$218,FE59+FD60-FM59)))</f>
        <v>170.04326923076923</v>
      </c>
      <c r="FF60" s="17">
        <f>FE60*VLOOKUP('Données projet'!$B$16,Paramètres!$A$1:$I$89,3,0)*VLOOKUP('Données projet'!$B$16,Paramètres!$A$1:$I$89,5,0)</f>
        <v>183.03457499999999</v>
      </c>
      <c r="FG60" s="13">
        <f t="shared" si="47"/>
        <v>45.996664884099914</v>
      </c>
      <c r="FH60" s="20">
        <f t="shared" si="22"/>
        <v>398.89607613147399</v>
      </c>
      <c r="FI60" s="59">
        <f t="shared" si="23"/>
        <v>692.2294094648073</v>
      </c>
      <c r="FJ60" s="59">
        <f ca="1">AVERAGE(OFFSET($FI$3,0,0,'Données projet'!$E$16+1,1))-AVERAGE(OFFSET($H$3,0,0,'Données projet'!$E$16+1,1))</f>
        <v>286.77702855541287</v>
      </c>
      <c r="FK60" s="59">
        <f t="shared" si="48"/>
        <v>227.12211541860779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0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0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11.170769230769238</v>
      </c>
      <c r="FZ60" s="12">
        <f>IF('Données projet'!$A$244&gt;35,FZ59+FY60-GH59,IF(A60&lt;'Données projet'!$A$244,$FW$205^A60,IF(A60='Données projet'!$A$244,'Données projet'!$B$244,FZ59+FY60-GH59)))</f>
        <v>284.43230769230792</v>
      </c>
      <c r="GA60" s="17">
        <f>FZ60*VLOOKUP('Données projet'!$B$17,Paramètres!$A$1:$I$89,3,0)*VLOOKUP('Données projet'!$B$17,Paramètres!$A$1:$I$89,5,0)</f>
        <v>133.11432000000011</v>
      </c>
      <c r="GB60" s="13">
        <f t="shared" si="49"/>
        <v>34.714992732392233</v>
      </c>
      <c r="GC60" s="20">
        <f t="shared" si="25"/>
        <v>292.30271967558332</v>
      </c>
      <c r="GD60" s="59">
        <f t="shared" si="26"/>
        <v>585.63605300891663</v>
      </c>
      <c r="GE60" s="59">
        <f ca="1">AVERAGE(OFFSET($GD$3,0,0,'Données projet'!$E$17+1,1))-AVERAGE(OFFSET($H$3,0,0,'Données projet'!$E$17+1,1))</f>
        <v>123.2823358462245</v>
      </c>
      <c r="GF60" s="59">
        <f t="shared" si="50"/>
        <v>92.75115399786057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0</v>
      </c>
      <c r="GM60" s="21">
        <f>EXP(-LN(2)/25)*GM59+(1-EXP(-LN(2)/25))/(LN(2)/25)*Calculateur!GH60*Calculateur!GJ60*VLOOKUP('Données projet'!$B$17,Paramètres!$A$1:$I$89,3,0)*0.475*44/12</f>
        <v>0</v>
      </c>
      <c r="GN60" s="21">
        <f>EXP(-LN(2)/2)*GN59+(1-EXP(-LN(2)/2))/(LN(2)/2)*GH60*GK60*VLOOKUP('Données projet'!$B$17,Paramètres!$A$1:$I$89,3,0)*0.475*44/12</f>
        <v>0</v>
      </c>
      <c r="GO60" s="21">
        <f t="shared" si="27"/>
        <v>0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10.433653846153845</v>
      </c>
      <c r="GU60" s="12">
        <f>IF('Données projet'!$A$270&gt;35,GU59+GT60-HC59,IF(A60&lt;'Données projet'!$A$270,$GR$205^A60,IF(A60='Données projet'!$A$270,'Données projet'!$B$270,GU59+GT60-HC59)))</f>
        <v>322.19903846153818</v>
      </c>
      <c r="GV60" s="17">
        <f>GU60*VLOOKUP('Données projet'!$B$18,Paramètres!$A$1:$I$89,3,0)*VLOOKUP('Données projet'!$B$18,Paramètres!$A$1:$I$89,5,0)</f>
        <v>192.67502499999983</v>
      </c>
      <c r="GW60" s="13">
        <f t="shared" si="51"/>
        <v>48.130880815569739</v>
      </c>
      <c r="GX60" s="20">
        <f t="shared" si="28"/>
        <v>419.40361929545037</v>
      </c>
      <c r="GY60" s="59">
        <f t="shared" si="29"/>
        <v>712.73695262878368</v>
      </c>
      <c r="GZ60" s="59">
        <f ca="1">AVERAGE(OFFSET($GY$3,0,0,'Données projet'!$E$18+1,1))-AVERAGE(OFFSET($H$3,0,0,'Données projet'!$E$18+1,1))</f>
        <v>171.96009656745713</v>
      </c>
      <c r="HA60" s="59">
        <f t="shared" si="52"/>
        <v>172.37574906747716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>
        <f>EXP(-LN(2)/35)*HG59+(1-EXP(-LN(2)/35))/(LN(2)/35)*HC60*HD60*VLOOKUP('Données projet'!$B$18,Paramètres!$A$1:$I$89,3,0)*0.475*44/12</f>
        <v>0.97720597658337938</v>
      </c>
      <c r="HH60" s="21">
        <f>EXP(-LN(2)/25)*HH59+(1-EXP(-LN(2)/25))/(LN(2)/25)*Calculateur!HC60*Calculateur!HE60*VLOOKUP('Données projet'!$B$18,Paramètres!$A$1:$I$89,3,0)*0.475*44/12</f>
        <v>9.7240395773001396</v>
      </c>
      <c r="HI60" s="21">
        <f>EXP(-LN(2)/2)*HI59+(1-EXP(-LN(2)/2))/(LN(2)/2)*HC60*HF60*VLOOKUP('Données projet'!$B$18,Paramètres!$A$1:$I$89,3,0)*0.475*44/12</f>
        <v>1.0396525126609092E-3</v>
      </c>
      <c r="HJ60" s="22">
        <f t="shared" si="30"/>
        <v>10.70228520639618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-2.2737367544323206E-13</v>
      </c>
      <c r="O61" s="13">
        <f>N61*VLOOKUP('Données projet'!$B$9,Paramètres!$A$1:$I$89,3,0)*VLOOKUP('Données projet'!$B$9,Paramètres!$A$1:$I$89,5,0)</f>
        <v>-1.2710188457276673E-13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255.5374979188561</v>
      </c>
      <c r="T61" s="59">
        <f t="shared" si="34"/>
        <v>343.10418468620901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1.7747624186553508</v>
      </c>
      <c r="AA61" s="21">
        <f>EXP(-LN(2)/25)*AA60+(1-EXP(-LN(2)/25))/(LN(2)/25)*Calculateur!V61*Calculateur!X61*VLOOKUP('Données projet'!$B$9,Paramètres!$A$1:$I$89,3,0)*0.475*44/12</f>
        <v>7.3432166762227675</v>
      </c>
      <c r="AB61" s="21">
        <f>EXP(-LN(2)/2)*AB60+(1-EXP(-LN(2)/2))/(LN(2)/2)*V61*Y61*VLOOKUP('Données projet'!$B$9,Paramètres!$A$1:$I$89,3,0)*0.475*44/12</f>
        <v>1.0331128414636634E-4</v>
      </c>
      <c r="AC61" s="22">
        <f t="shared" si="3"/>
        <v>9.1180824061622641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14.270329670329668</v>
      </c>
      <c r="AI61" s="13">
        <f>IF('Données projet'!$A$62&gt;35,AI60+AH61-AQ60,IF(A61&lt;'Données projet'!$A$62,$AF$205^A61,IF(A61='Données projet'!$A$62,'Données projet'!$B$62,AI60+AH61-AQ60)))</f>
        <v>303.82527472527471</v>
      </c>
      <c r="AJ61" s="13">
        <f>AI61*VLOOKUP('Données projet'!$B$10,Paramètres!$A$1:$I$89,3,0)*VLOOKUP('Données projet'!$B$10,Paramètres!$A$1:$I$89,5,0)</f>
        <v>142.19022857142855</v>
      </c>
      <c r="AK61" s="13">
        <f t="shared" si="35"/>
        <v>36.798301893816983</v>
      </c>
      <c r="AL61" s="20">
        <f t="shared" si="4"/>
        <v>311.7383572269693</v>
      </c>
      <c r="AM61" s="59">
        <f t="shared" si="5"/>
        <v>605.07169056030261</v>
      </c>
      <c r="AN61" s="59">
        <f ca="1">AVERAGE(OFFSET($AM$3,0,0,'Données projet'!$E$10+1,1))-AVERAGE(OFFSET($H$3,0,0,'Données projet'!$E$10+1,1))</f>
        <v>158.58786357608489</v>
      </c>
      <c r="AO61" s="59">
        <f t="shared" si="36"/>
        <v>163.20074068819849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-1.7053025658242404E-13</v>
      </c>
      <c r="BE61" s="13">
        <f>BD61*VLOOKUP('Données projet'!$B$11,Paramètres!$A$1:$I$89,3,0)*VLOOKUP('Données projet'!$B$11,Paramètres!$A$1:$I$89,5,0)</f>
        <v>-1.0197709343628959E-13</v>
      </c>
      <c r="BF61" s="13" t="e">
        <f t="shared" si="37"/>
        <v>#NUM!</v>
      </c>
      <c r="BG61" s="20" t="e">
        <f t="shared" si="7"/>
        <v>#NUM!</v>
      </c>
      <c r="BH61" s="59" t="e">
        <f t="shared" si="8"/>
        <v>#NUM!</v>
      </c>
      <c r="BI61" s="59">
        <f ca="1">AVERAGE(OFFSET($BH$3,0,0,'Données projet'!$E$11+1,1))-AVERAGE(OFFSET($H$3,0,0,'Données projet'!$E$11+1,1))</f>
        <v>243.85350804244348</v>
      </c>
      <c r="BJ61" s="59">
        <f t="shared" si="38"/>
        <v>304.60992308960545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2.5994102664995813</v>
      </c>
      <c r="BQ61" s="21">
        <f>EXP(-LN(2)/25)*BQ60+(1-EXP(-LN(2)/25))/(LN(2)/25)*Calculateur!BL61*Calculateur!BN61*VLOOKUP('Données projet'!$B$11,Paramètres!$A$1:$I$89,3,0)*0.475*44/12</f>
        <v>8.1569577680854852</v>
      </c>
      <c r="BR61" s="21">
        <f>EXP(-LN(2)/2)*BR60+(1-EXP(-LN(2)/2))/(LN(2)/2)*BL61*BO61*VLOOKUP('Données projet'!$B$11,Paramètres!$A$1:$I$89,3,0)*0.475*44/12</f>
        <v>2.281632401899231E-4</v>
      </c>
      <c r="BS61" s="22">
        <f t="shared" si="9"/>
        <v>10.756596197825255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15.6</v>
      </c>
      <c r="BY61" s="12">
        <f>IF('Données projet'!$A$114&gt;35,BY60+BX61-CG60,IF(A61&lt;'Données projet'!$A$114,$BV$205^A61,IF(A61='Données projet'!$A$114,'Données projet'!$B$114,BY60+BX61-CG60)))</f>
        <v>415.8</v>
      </c>
      <c r="BZ61" s="13">
        <f>BY61*VLOOKUP('Données projet'!$B$12,Paramètres!$A$1:$I$89,3,0)*VLOOKUP('Données projet'!$B$12,Paramètres!$A$1:$I$89,5,0)</f>
        <v>248.64840000000001</v>
      </c>
      <c r="CA61" s="13">
        <f t="shared" si="39"/>
        <v>60.296424802828774</v>
      </c>
      <c r="CB61" s="20">
        <f t="shared" si="10"/>
        <v>538.07890319826015</v>
      </c>
      <c r="CC61" s="59">
        <f t="shared" si="11"/>
        <v>831.41223653159341</v>
      </c>
      <c r="CD61" s="59">
        <f ca="1">AVERAGE(OFFSET($CC$3,0,0,'Données projet'!$E$12+1,1))-AVERAGE(OFFSET($H$3,0,0,'Données projet'!$E$12+1,1))</f>
        <v>270.30888762640245</v>
      </c>
      <c r="CE61" s="59">
        <f t="shared" si="40"/>
        <v>202.23783851977691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1.2301818297854037</v>
      </c>
      <c r="CL61" s="21">
        <f>EXP(-LN(2)/25)*CL60+(1-EXP(-LN(2)/25))/(LN(2)/25)*Calculateur!CG61*Calculateur!CI61*VLOOKUP('Données projet'!$B$12,Paramètres!$A$1:$I$89,3,0)*0.475*44/12</f>
        <v>5.6569493609789872</v>
      </c>
      <c r="CM61" s="21">
        <f>EXP(-LN(2)/2)*CM60+(1-EXP(-LN(2)/2))/(LN(2)/2)*CG61*CJ61*VLOOKUP('Données projet'!$B$12,Paramètres!$A$1:$I$89,3,0)*0.475*44/12</f>
        <v>1.1286992545448354E-3</v>
      </c>
      <c r="CN61" s="22">
        <f t="shared" si="12"/>
        <v>6.8882598900189356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6.8</v>
      </c>
      <c r="CT61" s="12">
        <f>IF('Données projet'!$A$140&gt;35,CT60+CS61-DB60,IF(A61&lt;'Données projet'!$A$140,$CQ$205^A61,IF(A61='Données projet'!$A$140,'Données projet'!$B$140,CT60+CS61-DB60)))</f>
        <v>296.39999999999992</v>
      </c>
      <c r="CU61" s="17">
        <f>CT61*VLOOKUP('Données projet'!$B$13,Paramètres!$A$1:$I$89,3,0)*VLOOKUP('Données projet'!$B$13,Paramètres!$A$1:$I$89,5,0)</f>
        <v>235.81583999999995</v>
      </c>
      <c r="CV61" s="13">
        <f t="shared" si="41"/>
        <v>57.538368655200898</v>
      </c>
      <c r="CW61" s="20">
        <f t="shared" si="13"/>
        <v>510.92524674114156</v>
      </c>
      <c r="CX61" s="59">
        <f t="shared" si="14"/>
        <v>804.25858007447482</v>
      </c>
      <c r="CY61" s="59">
        <f ca="1">AVERAGE(OFFSET($CX$3,0,0,'Données projet'!$E$13+1,1))-AVERAGE(OFFSET($H$3,0,0,'Données projet'!$E$13+1,1))</f>
        <v>260.20517190557814</v>
      </c>
      <c r="CZ61" s="59">
        <f t="shared" si="42"/>
        <v>307.22009971147133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1.874095845520904</v>
      </c>
      <c r="DG61" s="21">
        <f>EXP(-LN(2)/25)*DG60+(1-EXP(-LN(2)/25))/(LN(2)/25)*Calculateur!DB61*Calculateur!DD61*VLOOKUP('Données projet'!$B$13,Paramètres!$A$1:$I$89,3,0)*0.475*44/12</f>
        <v>9.4409425115433674</v>
      </c>
      <c r="DH61" s="21">
        <f>EXP(-LN(2)/2)*DH60+(1-EXP(-LN(2)/2))/(LN(2)/2)*DB61*DE61*VLOOKUP('Données projet'!$B$13,Paramètres!$A$1:$I$89,3,0)*0.475*44/12</f>
        <v>1.467226211716143E-3</v>
      </c>
      <c r="DI61" s="22">
        <f t="shared" si="15"/>
        <v>11.316505583275987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8.374198717948719</v>
      </c>
      <c r="DO61" s="12">
        <f>IF('Données projet'!$A$166&gt;35,DO60+DN61-DW60,IF(A61&lt;'Données projet'!$A$166,$DL$205^A61,IF(A61='Données projet'!$A$166,'Données projet'!$B$166,DO60+DN61-DW60)))</f>
        <v>178.41746794871796</v>
      </c>
      <c r="DP61" s="17">
        <f>DO61*VLOOKUP('Données projet'!$B$14,Paramètres!$A$1:$I$89,3,0)*VLOOKUP('Données projet'!$B$14,Paramètres!$A$1:$I$89,5,0)</f>
        <v>180.91531250000003</v>
      </c>
      <c r="DQ61" s="13">
        <f t="shared" si="43"/>
        <v>45.525766180401902</v>
      </c>
      <c r="DR61" s="20">
        <f t="shared" si="16"/>
        <v>394.38487870169996</v>
      </c>
      <c r="DS61" s="59">
        <f t="shared" si="17"/>
        <v>687.71821203503328</v>
      </c>
      <c r="DT61" s="59">
        <f ca="1">AVERAGE(OFFSET($DS$3,0,0,'Données projet'!$E$14+1,1))-AVERAGE(OFFSET($H$3,0,0,'Données projet'!$E$14+1,1))</f>
        <v>263.15518481854753</v>
      </c>
      <c r="DU61" s="59">
        <f t="shared" si="44"/>
        <v>210.80755370263819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0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6.8</v>
      </c>
      <c r="EJ61" s="12">
        <f>IF('Données projet'!$A$192&gt;35,EJ60+EI61-ER60,IF(A61&lt;'Données projet'!$A$192,$EG$205^A61,IF(A61='Données projet'!$A$192,'Données projet'!$B$192,EJ60+EI61-ER60)))</f>
        <v>296.39999999999992</v>
      </c>
      <c r="EK61" s="17">
        <f>EJ61*VLOOKUP('Données projet'!$B$15,Paramètres!$A$1:$I$89,3,0)*VLOOKUP('Données projet'!$B$15,Paramètres!$A$1:$I$89,5,0)</f>
        <v>198.82511999999997</v>
      </c>
      <c r="EL61" s="13">
        <f t="shared" si="45"/>
        <v>49.485876190816356</v>
      </c>
      <c r="EM61" s="20">
        <f t="shared" si="19"/>
        <v>432.47498503233845</v>
      </c>
      <c r="EN61" s="59">
        <f t="shared" si="20"/>
        <v>725.80831836567177</v>
      </c>
      <c r="EO61" s="59">
        <f ca="1">AVERAGE(OFFSET($EN$3,0,0,'Données projet'!$E$15+1,1))-AVERAGE(OFFSET($H$3,0,0,'Données projet'!$E$15+1,1))</f>
        <v>207.93042467236967</v>
      </c>
      <c r="EP61" s="59">
        <f t="shared" si="46"/>
        <v>250.70954318710835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1.5801200266156639</v>
      </c>
      <c r="EW61" s="21">
        <f>EXP(-LN(2)/25)*EW60+(1-EXP(-LN(2)/25))/(LN(2)/25)*Calculateur!ER61*Calculateur!ET61*VLOOKUP('Données projet'!$B$15,Paramètres!$A$1:$I$89,3,0)*0.475*44/12</f>
        <v>7.9600103528699044</v>
      </c>
      <c r="EX61" s="21">
        <f>EXP(-LN(2)/2)*EX60+(1-EXP(-LN(2)/2))/(LN(2)/2)*ER61*EU61*VLOOKUP('Données projet'!$B$15,Paramètres!$A$1:$I$89,3,0)*0.475*44/12</f>
        <v>1.2370730804665518E-3</v>
      </c>
      <c r="EY61" s="22">
        <f t="shared" si="21"/>
        <v>9.5413674525660337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8.374198717948719</v>
      </c>
      <c r="FE61" s="12">
        <f>IF('Données projet'!$A$218&gt;35,FE60+FD61-FM60,IF(A61&lt;'Données projet'!$A$218,$FB$205^A61,IF(A61='Données projet'!$A$218,'Données projet'!$B$218,FE60+FD61-FM60)))</f>
        <v>178.41746794871796</v>
      </c>
      <c r="FF61" s="17">
        <f>FE61*VLOOKUP('Données projet'!$B$16,Paramètres!$A$1:$I$89,3,0)*VLOOKUP('Données projet'!$B$16,Paramètres!$A$1:$I$89,5,0)</f>
        <v>192.0485625</v>
      </c>
      <c r="FG61" s="13">
        <f t="shared" si="47"/>
        <v>47.99257786488721</v>
      </c>
      <c r="FH61" s="20">
        <f t="shared" si="22"/>
        <v>418.07165280217856</v>
      </c>
      <c r="FI61" s="59">
        <f t="shared" si="23"/>
        <v>711.40498613551188</v>
      </c>
      <c r="FJ61" s="59">
        <f ca="1">AVERAGE(OFFSET($FI$3,0,0,'Données projet'!$E$16+1,1))-AVERAGE(OFFSET($H$3,0,0,'Données projet'!$E$16+1,1))</f>
        <v>286.77702855541287</v>
      </c>
      <c r="FK61" s="59">
        <f t="shared" si="48"/>
        <v>227.12211541860779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0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0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11.170769230769238</v>
      </c>
      <c r="FZ61" s="12">
        <f>IF('Données projet'!$A$244&gt;35,FZ60+FY61-GH60,IF(A61&lt;'Données projet'!$A$244,$FW$205^A61,IF(A61='Données projet'!$A$244,'Données projet'!$B$244,FZ60+FY61-GH60)))</f>
        <v>295.60307692307714</v>
      </c>
      <c r="GA61" s="17">
        <f>FZ61*VLOOKUP('Données projet'!$B$17,Paramètres!$A$1:$I$89,3,0)*VLOOKUP('Données projet'!$B$17,Paramètres!$A$1:$I$89,5,0)</f>
        <v>138.34224000000009</v>
      </c>
      <c r="GB61" s="13">
        <f t="shared" si="49"/>
        <v>35.916973077604602</v>
      </c>
      <c r="GC61" s="20">
        <f t="shared" si="25"/>
        <v>303.50146277682819</v>
      </c>
      <c r="GD61" s="59">
        <f t="shared" si="26"/>
        <v>596.83479611016151</v>
      </c>
      <c r="GE61" s="59">
        <f ca="1">AVERAGE(OFFSET($GD$3,0,0,'Données projet'!$E$17+1,1))-AVERAGE(OFFSET($H$3,0,0,'Données projet'!$E$17+1,1))</f>
        <v>123.2823358462245</v>
      </c>
      <c r="GF61" s="59">
        <f t="shared" si="50"/>
        <v>92.75115399786057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0</v>
      </c>
      <c r="GM61" s="21">
        <f>EXP(-LN(2)/25)*GM60+(1-EXP(-LN(2)/25))/(LN(2)/25)*Calculateur!GH61*Calculateur!GJ61*VLOOKUP('Données projet'!$B$17,Paramètres!$A$1:$I$89,3,0)*0.475*44/12</f>
        <v>0</v>
      </c>
      <c r="GN61" s="21">
        <f>EXP(-LN(2)/2)*GN60+(1-EXP(-LN(2)/2))/(LN(2)/2)*GH61*GK61*VLOOKUP('Données projet'!$B$17,Paramètres!$A$1:$I$89,3,0)*0.475*44/12</f>
        <v>0</v>
      </c>
      <c r="GO61" s="21">
        <f t="shared" si="27"/>
        <v>0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10.433653846153845</v>
      </c>
      <c r="GU61" s="12">
        <f>IF('Données projet'!$A$270&gt;35,GU60+GT61-HC60,IF(A61&lt;'Données projet'!$A$270,$GR$205^A61,IF(A61='Données projet'!$A$270,'Données projet'!$B$270,GU60+GT61-HC60)))</f>
        <v>332.63269230769203</v>
      </c>
      <c r="GV61" s="17">
        <f>GU61*VLOOKUP('Données projet'!$B$18,Paramètres!$A$1:$I$89,3,0)*VLOOKUP('Données projet'!$B$18,Paramètres!$A$1:$I$89,5,0)</f>
        <v>198.91434999999984</v>
      </c>
      <c r="GW61" s="13">
        <f t="shared" si="51"/>
        <v>49.505499184742547</v>
      </c>
      <c r="GX61" s="20">
        <f t="shared" si="28"/>
        <v>432.66457066342628</v>
      </c>
      <c r="GY61" s="59">
        <f t="shared" si="29"/>
        <v>725.99790399675953</v>
      </c>
      <c r="GZ61" s="59">
        <f ca="1">AVERAGE(OFFSET($GY$3,0,0,'Données projet'!$E$18+1,1))-AVERAGE(OFFSET($H$3,0,0,'Données projet'!$E$18+1,1))</f>
        <v>171.96009656745713</v>
      </c>
      <c r="HA61" s="59">
        <f t="shared" si="52"/>
        <v>172.37574906747716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>
        <f>EXP(-LN(2)/35)*HG60+(1-EXP(-LN(2)/35))/(LN(2)/35)*HC61*HD61*VLOOKUP('Données projet'!$B$18,Paramètres!$A$1:$I$89,3,0)*0.475*44/12</f>
        <v>0.95804356341937125</v>
      </c>
      <c r="HH61" s="21">
        <f>EXP(-LN(2)/25)*HH60+(1-EXP(-LN(2)/25))/(LN(2)/25)*Calculateur!HC61*Calculateur!HE61*VLOOKUP('Données projet'!$B$18,Paramètres!$A$1:$I$89,3,0)*0.475*44/12</f>
        <v>9.4581352036938497</v>
      </c>
      <c r="HI61" s="21">
        <f>EXP(-LN(2)/2)*HI60+(1-EXP(-LN(2)/2))/(LN(2)/2)*HC61*HF61*VLOOKUP('Données projet'!$B$18,Paramètres!$A$1:$I$89,3,0)*0.475*44/12</f>
        <v>7.3514534178016188E-4</v>
      </c>
      <c r="HJ61" s="22">
        <f t="shared" si="30"/>
        <v>10.416913912455001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-2.2737367544323206E-13</v>
      </c>
      <c r="O62" s="13">
        <f>N62*VLOOKUP('Données projet'!$B$9,Paramètres!$A$1:$I$89,3,0)*VLOOKUP('Données projet'!$B$9,Paramètres!$A$1:$I$89,5,0)</f>
        <v>-1.2710188457276673E-13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255.5374979188561</v>
      </c>
      <c r="T62" s="59">
        <f t="shared" si="34"/>
        <v>343.10418468620901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1.7399604101237069</v>
      </c>
      <c r="AA62" s="21">
        <f>EXP(-LN(2)/25)*AA61+(1-EXP(-LN(2)/25))/(LN(2)/25)*Calculateur!V62*Calculateur!X62*VLOOKUP('Données projet'!$B$9,Paramètres!$A$1:$I$89,3,0)*0.475*44/12</f>
        <v>7.1424160300484738</v>
      </c>
      <c r="AB62" s="21">
        <f>EXP(-LN(2)/2)*AB61+(1-EXP(-LN(2)/2))/(LN(2)/2)*V62*Y62*VLOOKUP('Données projet'!$B$9,Paramètres!$A$1:$I$89,3,0)*0.475*44/12</f>
        <v>7.3052109592985895E-5</v>
      </c>
      <c r="AC62" s="22">
        <f t="shared" si="3"/>
        <v>8.8824494922817738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14.270329670329668</v>
      </c>
      <c r="AI62" s="13">
        <f>IF('Données projet'!$A$62&gt;35,AI61+AH62-AQ61,IF(A62&lt;'Données projet'!$A$62,$AF$205^A62,IF(A62='Données projet'!$A$62,'Données projet'!$B$62,AI61+AH62-AQ61)))</f>
        <v>318.09560439560437</v>
      </c>
      <c r="AJ62" s="13">
        <f>AI62*VLOOKUP('Données projet'!$B$10,Paramètres!$A$1:$I$89,3,0)*VLOOKUP('Données projet'!$B$10,Paramètres!$A$1:$I$89,5,0)</f>
        <v>148.86874285714285</v>
      </c>
      <c r="AK62" s="13">
        <f t="shared" si="35"/>
        <v>38.321390217280914</v>
      </c>
      <c r="AL62" s="20">
        <f t="shared" si="4"/>
        <v>326.02281510462137</v>
      </c>
      <c r="AM62" s="59">
        <f t="shared" si="5"/>
        <v>619.35614843795474</v>
      </c>
      <c r="AN62" s="59">
        <f ca="1">AVERAGE(OFFSET($AM$3,0,0,'Données projet'!$E$10+1,1))-AVERAGE(OFFSET($H$3,0,0,'Données projet'!$E$10+1,1))</f>
        <v>158.58786357608489</v>
      </c>
      <c r="AO62" s="59">
        <f t="shared" si="36"/>
        <v>163.20074068819849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-1.7053025658242404E-13</v>
      </c>
      <c r="BE62" s="13">
        <f>BD62*VLOOKUP('Données projet'!$B$11,Paramètres!$A$1:$I$89,3,0)*VLOOKUP('Données projet'!$B$11,Paramètres!$A$1:$I$89,5,0)</f>
        <v>-1.0197709343628959E-13</v>
      </c>
      <c r="BF62" s="13" t="e">
        <f t="shared" si="37"/>
        <v>#NUM!</v>
      </c>
      <c r="BG62" s="20" t="e">
        <f t="shared" si="7"/>
        <v>#NUM!</v>
      </c>
      <c r="BH62" s="59" t="e">
        <f t="shared" si="8"/>
        <v>#NUM!</v>
      </c>
      <c r="BI62" s="59">
        <f ca="1">AVERAGE(OFFSET($BH$3,0,0,'Données projet'!$E$11+1,1))-AVERAGE(OFFSET($H$3,0,0,'Données projet'!$E$11+1,1))</f>
        <v>243.85350804244348</v>
      </c>
      <c r="BJ62" s="59">
        <f t="shared" si="38"/>
        <v>304.60992308960545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2.5484374166572334</v>
      </c>
      <c r="BQ62" s="21">
        <f>EXP(-LN(2)/25)*BQ61+(1-EXP(-LN(2)/25))/(LN(2)/25)*Calculateur!BL62*Calculateur!BN62*VLOOKUP('Données projet'!$B$11,Paramètres!$A$1:$I$89,3,0)*0.475*44/12</f>
        <v>7.9339053289614219</v>
      </c>
      <c r="BR62" s="21">
        <f>EXP(-LN(2)/2)*BR61+(1-EXP(-LN(2)/2))/(LN(2)/2)*BL62*BO62*VLOOKUP('Données projet'!$B$11,Paramètres!$A$1:$I$89,3,0)*0.475*44/12</f>
        <v>1.6133577435578964E-4</v>
      </c>
      <c r="BS62" s="22">
        <f t="shared" si="9"/>
        <v>10.482504081393012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15.6</v>
      </c>
      <c r="BY62" s="12">
        <f>IF('Données projet'!$A$114&gt;35,BY61+BX62-CG61,IF(A62&lt;'Données projet'!$A$114,$BV$205^A62,IF(A62='Données projet'!$A$114,'Données projet'!$B$114,BY61+BX62-CG61)))</f>
        <v>431.40000000000003</v>
      </c>
      <c r="BZ62" s="13">
        <f>BY62*VLOOKUP('Données projet'!$B$12,Paramètres!$A$1:$I$89,3,0)*VLOOKUP('Données projet'!$B$12,Paramètres!$A$1:$I$89,5,0)</f>
        <v>257.97720000000004</v>
      </c>
      <c r="CA62" s="13">
        <f t="shared" si="39"/>
        <v>62.291002935551688</v>
      </c>
      <c r="CB62" s="20">
        <f t="shared" si="10"/>
        <v>557.80045344608595</v>
      </c>
      <c r="CC62" s="59">
        <f t="shared" si="11"/>
        <v>851.13378677941932</v>
      </c>
      <c r="CD62" s="59">
        <f ca="1">AVERAGE(OFFSET($CC$3,0,0,'Données projet'!$E$12+1,1))-AVERAGE(OFFSET($H$3,0,0,'Données projet'!$E$12+1,1))</f>
        <v>270.30888762640245</v>
      </c>
      <c r="CE62" s="59">
        <f t="shared" si="40"/>
        <v>202.23783851977691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1.2060587144401385</v>
      </c>
      <c r="CL62" s="21">
        <f>EXP(-LN(2)/25)*CL61+(1-EXP(-LN(2)/25))/(LN(2)/25)*Calculateur!CG62*Calculateur!CI62*VLOOKUP('Données projet'!$B$12,Paramètres!$A$1:$I$89,3,0)*0.475*44/12</f>
        <v>5.5022597832169788</v>
      </c>
      <c r="CM62" s="21">
        <f>EXP(-LN(2)/2)*CM61+(1-EXP(-LN(2)/2))/(LN(2)/2)*CG62*CJ62*VLOOKUP('Données projet'!$B$12,Paramètres!$A$1:$I$89,3,0)*0.475*44/12</f>
        <v>7.9811089680885427E-4</v>
      </c>
      <c r="CN62" s="22">
        <f t="shared" si="12"/>
        <v>6.7091166085539262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6.8</v>
      </c>
      <c r="CT62" s="12">
        <f>IF('Données projet'!$A$140&gt;35,CT61+CS62-DB61,IF(A62&lt;'Données projet'!$A$140,$CQ$205^A62,IF(A62='Données projet'!$A$140,'Données projet'!$B$140,CT61+CS62-DB61)))</f>
        <v>303.19999999999993</v>
      </c>
      <c r="CU62" s="17">
        <f>CT62*VLOOKUP('Données projet'!$B$13,Paramètres!$A$1:$I$89,3,0)*VLOOKUP('Données projet'!$B$13,Paramètres!$A$1:$I$89,5,0)</f>
        <v>241.22591999999997</v>
      </c>
      <c r="CV62" s="13">
        <f t="shared" si="41"/>
        <v>58.703214877960853</v>
      </c>
      <c r="CW62" s="20">
        <f t="shared" si="13"/>
        <v>522.37657657911507</v>
      </c>
      <c r="CX62" s="59">
        <f t="shared" si="14"/>
        <v>815.70990991244844</v>
      </c>
      <c r="CY62" s="59">
        <f ca="1">AVERAGE(OFFSET($CX$3,0,0,'Données projet'!$E$13+1,1))-AVERAGE(OFFSET($H$3,0,0,'Données projet'!$E$13+1,1))</f>
        <v>260.20517190557814</v>
      </c>
      <c r="CZ62" s="59">
        <f t="shared" si="42"/>
        <v>307.22009971147133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1.8373459690758345</v>
      </c>
      <c r="DG62" s="21">
        <f>EXP(-LN(2)/25)*DG61+(1-EXP(-LN(2)/25))/(LN(2)/25)*Calculateur!DB62*Calculateur!DD62*VLOOKUP('Données projet'!$B$13,Paramètres!$A$1:$I$89,3,0)*0.475*44/12</f>
        <v>9.1827794420876252</v>
      </c>
      <c r="DH62" s="21">
        <f>EXP(-LN(2)/2)*DH61+(1-EXP(-LN(2)/2))/(LN(2)/2)*DB62*DE62*VLOOKUP('Données projet'!$B$13,Paramètres!$A$1:$I$89,3,0)*0.475*44/12</f>
        <v>1.0374856038391337E-3</v>
      </c>
      <c r="DI62" s="22">
        <f t="shared" si="15"/>
        <v>11.021162896767299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8.374198717948719</v>
      </c>
      <c r="DO62" s="12">
        <f>IF('Données projet'!$A$166&gt;35,DO61+DN62-DW61,IF(A62&lt;'Données projet'!$A$166,$DL$205^A62,IF(A62='Données projet'!$A$166,'Données projet'!$B$166,DO61+DN62-DW61)))</f>
        <v>186.79166666666669</v>
      </c>
      <c r="DP62" s="17">
        <f>DO62*VLOOKUP('Données projet'!$B$14,Paramètres!$A$1:$I$89,3,0)*VLOOKUP('Données projet'!$B$14,Paramètres!$A$1:$I$89,5,0)</f>
        <v>189.40675000000005</v>
      </c>
      <c r="DQ62" s="13">
        <f t="shared" si="43"/>
        <v>47.408769837095754</v>
      </c>
      <c r="DR62" s="20">
        <f t="shared" si="16"/>
        <v>412.45369704960848</v>
      </c>
      <c r="DS62" s="59">
        <f t="shared" si="17"/>
        <v>705.78703038294179</v>
      </c>
      <c r="DT62" s="59">
        <f ca="1">AVERAGE(OFFSET($DS$3,0,0,'Données projet'!$E$14+1,1))-AVERAGE(OFFSET($H$3,0,0,'Données projet'!$E$14+1,1))</f>
        <v>263.15518481854753</v>
      </c>
      <c r="DU62" s="59">
        <f t="shared" si="44"/>
        <v>210.80755370263819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0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6.8</v>
      </c>
      <c r="EJ62" s="12">
        <f>IF('Données projet'!$A$192&gt;35,EJ61+EI62-ER61,IF(A62&lt;'Données projet'!$A$192,$EG$205^A62,IF(A62='Données projet'!$A$192,'Données projet'!$B$192,EJ61+EI62-ER61)))</f>
        <v>303.19999999999993</v>
      </c>
      <c r="EK62" s="17">
        <f>EJ62*VLOOKUP('Données projet'!$B$15,Paramètres!$A$1:$I$89,3,0)*VLOOKUP('Données projet'!$B$15,Paramètres!$A$1:$I$89,5,0)</f>
        <v>203.38655999999997</v>
      </c>
      <c r="EL62" s="13">
        <f t="shared" si="45"/>
        <v>50.487702229824656</v>
      </c>
      <c r="EM62" s="20">
        <f t="shared" si="19"/>
        <v>442.16434005027787</v>
      </c>
      <c r="EN62" s="59">
        <f t="shared" si="20"/>
        <v>735.49767338361119</v>
      </c>
      <c r="EO62" s="59">
        <f ca="1">AVERAGE(OFFSET($EN$3,0,0,'Données projet'!$E$15+1,1))-AVERAGE(OFFSET($H$3,0,0,'Données projet'!$E$15+1,1))</f>
        <v>207.93042467236967</v>
      </c>
      <c r="EP62" s="59">
        <f t="shared" si="46"/>
        <v>250.70954318710835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1.5491348366717816</v>
      </c>
      <c r="EW62" s="21">
        <f>EXP(-LN(2)/25)*EW61+(1-EXP(-LN(2)/25))/(LN(2)/25)*Calculateur!ER62*Calculateur!ET62*VLOOKUP('Données projet'!$B$15,Paramètres!$A$1:$I$89,3,0)*0.475*44/12</f>
        <v>7.7423434511719256</v>
      </c>
      <c r="EX62" s="21">
        <f>EXP(-LN(2)/2)*EX61+(1-EXP(-LN(2)/2))/(LN(2)/2)*ER62*EU62*VLOOKUP('Données projet'!$B$15,Paramètres!$A$1:$I$89,3,0)*0.475*44/12</f>
        <v>8.7474276402123036E-4</v>
      </c>
      <c r="EY62" s="22">
        <f t="shared" si="21"/>
        <v>9.2923530306077282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8.374198717948719</v>
      </c>
      <c r="FE62" s="12">
        <f>IF('Données projet'!$A$218&gt;35,FE61+FD62-FM61,IF(A62&lt;'Données projet'!$A$218,$FB$205^A62,IF(A62='Données projet'!$A$218,'Données projet'!$B$218,FE61+FD62-FM61)))</f>
        <v>186.79166666666669</v>
      </c>
      <c r="FF62" s="17">
        <f>FE62*VLOOKUP('Données projet'!$B$16,Paramètres!$A$1:$I$89,3,0)*VLOOKUP('Données projet'!$B$16,Paramètres!$A$1:$I$89,5,0)</f>
        <v>201.06254999999999</v>
      </c>
      <c r="FG62" s="13">
        <f t="shared" si="47"/>
        <v>49.977611993816375</v>
      </c>
      <c r="FH62" s="20">
        <f t="shared" si="22"/>
        <v>437.22828213923009</v>
      </c>
      <c r="FI62" s="59">
        <f t="shared" si="23"/>
        <v>730.5616154725634</v>
      </c>
      <c r="FJ62" s="59">
        <f ca="1">AVERAGE(OFFSET($FI$3,0,0,'Données projet'!$E$16+1,1))-AVERAGE(OFFSET($H$3,0,0,'Données projet'!$E$16+1,1))</f>
        <v>286.77702855541287</v>
      </c>
      <c r="FK62" s="59">
        <f t="shared" si="48"/>
        <v>227.12211541860779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0</v>
      </c>
      <c r="FR62" s="21">
        <f>EXP(-LN(2)/25)*FR61+(1-EXP(-LN(2)/25))/(LN(2)/25)*Calculateur!FM62*Calculateur!FO62*VLOOKUP('Données projet'!$B$16,Paramètres!$A$1:$I$89,3,0)*0.475*44/12</f>
        <v>0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0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11.170769230769238</v>
      </c>
      <c r="FZ62" s="12">
        <f>IF('Données projet'!$A$244&gt;35,FZ61+FY62-GH61,IF(A62&lt;'Données projet'!$A$244,$FW$205^A62,IF(A62='Données projet'!$A$244,'Données projet'!$B$244,FZ61+FY62-GH61)))</f>
        <v>306.77384615384636</v>
      </c>
      <c r="GA62" s="17">
        <f>FZ62*VLOOKUP('Données projet'!$B$17,Paramètres!$A$1:$I$89,3,0)*VLOOKUP('Données projet'!$B$17,Paramètres!$A$1:$I$89,5,0)</f>
        <v>143.5701600000001</v>
      </c>
      <c r="GB62" s="13">
        <f t="shared" si="49"/>
        <v>37.113676523004848</v>
      </c>
      <c r="GC62" s="20">
        <f t="shared" si="25"/>
        <v>314.69101527756692</v>
      </c>
      <c r="GD62" s="59">
        <f t="shared" si="26"/>
        <v>608.02434861090023</v>
      </c>
      <c r="GE62" s="59">
        <f ca="1">AVERAGE(OFFSET($GD$3,0,0,'Données projet'!$E$17+1,1))-AVERAGE(OFFSET($H$3,0,0,'Données projet'!$E$17+1,1))</f>
        <v>123.2823358462245</v>
      </c>
      <c r="GF62" s="59">
        <f t="shared" si="50"/>
        <v>92.75115399786057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0</v>
      </c>
      <c r="GM62" s="21">
        <f>EXP(-LN(2)/25)*GM61+(1-EXP(-LN(2)/25))/(LN(2)/25)*Calculateur!GH62*Calculateur!GJ62*VLOOKUP('Données projet'!$B$17,Paramètres!$A$1:$I$89,3,0)*0.475*44/12</f>
        <v>0</v>
      </c>
      <c r="GN62" s="21">
        <f>EXP(-LN(2)/2)*GN61+(1-EXP(-LN(2)/2))/(LN(2)/2)*GH62*GK62*VLOOKUP('Données projet'!$B$17,Paramètres!$A$1:$I$89,3,0)*0.475*44/12</f>
        <v>0</v>
      </c>
      <c r="GO62" s="21">
        <f t="shared" si="27"/>
        <v>0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10.433653846153845</v>
      </c>
      <c r="GU62" s="12">
        <f>IF('Données projet'!$A$270&gt;35,GU61+GT62-HC61,IF(A62&lt;'Données projet'!$A$270,$GR$205^A62,IF(A62='Données projet'!$A$270,'Données projet'!$B$270,GU61+GT62-HC61)))</f>
        <v>343.06634615384587</v>
      </c>
      <c r="GV62" s="17">
        <f>GU62*VLOOKUP('Données projet'!$B$18,Paramètres!$A$1:$I$89,3,0)*VLOOKUP('Données projet'!$B$18,Paramètres!$A$1:$I$89,5,0)</f>
        <v>205.15367499999985</v>
      </c>
      <c r="GW62" s="13">
        <f t="shared" si="51"/>
        <v>50.875106959180371</v>
      </c>
      <c r="GX62" s="20">
        <f t="shared" si="28"/>
        <v>445.91679524557213</v>
      </c>
      <c r="GY62" s="59">
        <f t="shared" si="29"/>
        <v>739.25012857890545</v>
      </c>
      <c r="GZ62" s="59">
        <f ca="1">AVERAGE(OFFSET($GY$3,0,0,'Données projet'!$E$18+1,1))-AVERAGE(OFFSET($H$3,0,0,'Données projet'!$E$18+1,1))</f>
        <v>171.96009656745713</v>
      </c>
      <c r="HA62" s="59">
        <f t="shared" si="52"/>
        <v>172.37574906747716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>
        <f>EXP(-LN(2)/35)*HG61+(1-EXP(-LN(2)/35))/(LN(2)/35)*HC62*HD62*VLOOKUP('Données projet'!$B$18,Paramètres!$A$1:$I$89,3,0)*0.475*44/12</f>
        <v>0.93925691348959139</v>
      </c>
      <c r="HH62" s="21">
        <f>EXP(-LN(2)/25)*HH61+(1-EXP(-LN(2)/25))/(LN(2)/25)*Calculateur!HC62*Calculateur!HE62*VLOOKUP('Données projet'!$B$18,Paramètres!$A$1:$I$89,3,0)*0.475*44/12</f>
        <v>9.1995019991671274</v>
      </c>
      <c r="HI62" s="21">
        <f>EXP(-LN(2)/2)*HI61+(1-EXP(-LN(2)/2))/(LN(2)/2)*HC62*HF62*VLOOKUP('Données projet'!$B$18,Paramètres!$A$1:$I$89,3,0)*0.475*44/12</f>
        <v>5.1982625633045462E-4</v>
      </c>
      <c r="HJ62" s="22">
        <f t="shared" si="30"/>
        <v>10.139278738913049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-2.2737367544323206E-13</v>
      </c>
      <c r="O63" s="13">
        <f>N63*VLOOKUP('Données projet'!$B$9,Paramètres!$A$1:$I$89,3,0)*VLOOKUP('Données projet'!$B$9,Paramètres!$A$1:$I$89,5,0)</f>
        <v>-1.2710188457276673E-13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255.5374979188561</v>
      </c>
      <c r="T63" s="59">
        <f t="shared" si="34"/>
        <v>343.10418468620901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1.7058408477522393</v>
      </c>
      <c r="AA63" s="21">
        <f>EXP(-LN(2)/25)*AA62+(1-EXP(-LN(2)/25))/(LN(2)/25)*Calculateur!V63*Calculateur!X63*VLOOKUP('Données projet'!$B$9,Paramètres!$A$1:$I$89,3,0)*0.475*44/12</f>
        <v>6.9471062881034635</v>
      </c>
      <c r="AB63" s="21">
        <f>EXP(-LN(2)/2)*AB62+(1-EXP(-LN(2)/2))/(LN(2)/2)*V63*Y63*VLOOKUP('Données projet'!$B$9,Paramètres!$A$1:$I$89,3,0)*0.475*44/12</f>
        <v>5.1655642073183168E-5</v>
      </c>
      <c r="AC63" s="22">
        <f t="shared" si="3"/>
        <v>8.652998791497776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14.270329670329668</v>
      </c>
      <c r="AI63" s="13">
        <f>IF('Données projet'!$A$62&gt;35,AI62+AH63-AQ62,IF(A63&lt;'Données projet'!$A$62,$AF$205^A63,IF(A63='Données projet'!$A$62,'Données projet'!$B$62,AI62+AH63-AQ62)))</f>
        <v>332.36593406593403</v>
      </c>
      <c r="AJ63" s="13">
        <f>AI63*VLOOKUP('Données projet'!$B$10,Paramètres!$A$1:$I$89,3,0)*VLOOKUP('Données projet'!$B$10,Paramètres!$A$1:$I$89,5,0)</f>
        <v>155.54725714285712</v>
      </c>
      <c r="AK63" s="13">
        <f t="shared" si="35"/>
        <v>39.836543030962723</v>
      </c>
      <c r="AL63" s="20">
        <f t="shared" si="4"/>
        <v>340.29345196940289</v>
      </c>
      <c r="AM63" s="59">
        <f t="shared" si="5"/>
        <v>633.62678530273615</v>
      </c>
      <c r="AN63" s="59">
        <f ca="1">AVERAGE(OFFSET($AM$3,0,0,'Données projet'!$E$10+1,1))-AVERAGE(OFFSET($H$3,0,0,'Données projet'!$E$10+1,1))</f>
        <v>158.58786357608489</v>
      </c>
      <c r="AO63" s="59">
        <f t="shared" si="36"/>
        <v>163.20074068819849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-1.7053025658242404E-13</v>
      </c>
      <c r="BE63" s="13">
        <f>BD63*VLOOKUP('Données projet'!$B$11,Paramètres!$A$1:$I$89,3,0)*VLOOKUP('Données projet'!$B$11,Paramètres!$A$1:$I$89,5,0)</f>
        <v>-1.0197709343628959E-13</v>
      </c>
      <c r="BF63" s="13" t="e">
        <f t="shared" si="37"/>
        <v>#NUM!</v>
      </c>
      <c r="BG63" s="20" t="e">
        <f t="shared" si="7"/>
        <v>#NUM!</v>
      </c>
      <c r="BH63" s="59" t="e">
        <f t="shared" si="8"/>
        <v>#NUM!</v>
      </c>
      <c r="BI63" s="59">
        <f ca="1">AVERAGE(OFFSET($BH$3,0,0,'Données projet'!$E$11+1,1))-AVERAGE(OFFSET($H$3,0,0,'Données projet'!$E$11+1,1))</f>
        <v>243.85350804244348</v>
      </c>
      <c r="BJ63" s="59">
        <f t="shared" si="38"/>
        <v>304.60992308960545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2.4984641133099257</v>
      </c>
      <c r="BQ63" s="21">
        <f>EXP(-LN(2)/25)*BQ62+(1-EXP(-LN(2)/25))/(LN(2)/25)*Calculateur!BL63*Calculateur!BN63*VLOOKUP('Données projet'!$B$11,Paramètres!$A$1:$I$89,3,0)*0.475*44/12</f>
        <v>7.7169522705150237</v>
      </c>
      <c r="BR63" s="21">
        <f>EXP(-LN(2)/2)*BR62+(1-EXP(-LN(2)/2))/(LN(2)/2)*BL63*BO63*VLOOKUP('Données projet'!$B$11,Paramètres!$A$1:$I$89,3,0)*0.475*44/12</f>
        <v>1.1408162009496155E-4</v>
      </c>
      <c r="BS63" s="22">
        <f t="shared" si="9"/>
        <v>10.215530465445045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447</v>
      </c>
      <c r="BW63" s="12">
        <f>VLOOKUP(A63,'Données projet'!$A$113:$I$133,9,0)</f>
        <v>15.6</v>
      </c>
      <c r="BX63" s="12">
        <f t="array" ref="BX63">INDEX(BW:BW,MIN(IF(ISNUMBER(BW63:BW259),ROW(BW63:BW259),"")))</f>
        <v>15.6</v>
      </c>
      <c r="BY63" s="12">
        <f>IF('Données projet'!$A$114&gt;35,BY62+BX63-CG62,IF(A63&lt;'Données projet'!$A$114,$BV$205^A63,IF(A63='Données projet'!$A$114,'Données projet'!$B$114,BY62+BX63-CG62)))</f>
        <v>447.00000000000006</v>
      </c>
      <c r="BZ63" s="13">
        <f>BY63*VLOOKUP('Données projet'!$B$12,Paramètres!$A$1:$I$89,3,0)*VLOOKUP('Données projet'!$B$12,Paramètres!$A$1:$I$89,5,0)</f>
        <v>267.30600000000004</v>
      </c>
      <c r="CA63" s="13">
        <f t="shared" si="39"/>
        <v>64.27720124631206</v>
      </c>
      <c r="CB63" s="20">
        <f t="shared" si="10"/>
        <v>577.50740883732692</v>
      </c>
      <c r="CC63" s="59">
        <f t="shared" si="11"/>
        <v>870.84074217066018</v>
      </c>
      <c r="CD63" s="59">
        <f ca="1">AVERAGE(OFFSET($CC$3,0,0,'Données projet'!$E$12+1,1))-AVERAGE(OFFSET($H$3,0,0,'Données projet'!$E$12+1,1))</f>
        <v>270.30888762640245</v>
      </c>
      <c r="CE63" s="59">
        <f t="shared" si="40"/>
        <v>202.23783851977691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90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1.1824086386731465</v>
      </c>
      <c r="CL63" s="21">
        <f>EXP(-LN(2)/25)*CL62+(1-EXP(-LN(2)/25))/(LN(2)/25)*Calculateur!CG63*Calculateur!CI63*VLOOKUP('Données projet'!$B$12,Paramètres!$A$1:$I$89,3,0)*0.475*44/12</f>
        <v>5.3518002000936438</v>
      </c>
      <c r="CM63" s="21">
        <f>EXP(-LN(2)/2)*CM62+(1-EXP(-LN(2)/2))/(LN(2)/2)*CG63*CJ63*VLOOKUP('Données projet'!$B$12,Paramètres!$A$1:$I$89,3,0)*0.475*44/12</f>
        <v>5.6434962727241772E-4</v>
      </c>
      <c r="CN63" s="22">
        <f t="shared" si="12"/>
        <v>6.5347731883940634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310</v>
      </c>
      <c r="CR63" s="12">
        <f>VLOOKUP(A63,'Données projet'!$A$139:$I$159,9,0)</f>
        <v>6.8</v>
      </c>
      <c r="CS63" s="12">
        <f t="array" ref="CS63">INDEX(CR:CR,MIN(IF(ISNUMBER(CR63:CR259),ROW(CR63:CR259),"")))</f>
        <v>6.8</v>
      </c>
      <c r="CT63" s="12">
        <f>IF('Données projet'!$A$140&gt;35,CT62+CS63-DB62,IF(A63&lt;'Données projet'!$A$140,$CQ$205^A63,IF(A63='Données projet'!$A$140,'Données projet'!$B$140,CT62+CS63-DB62)))</f>
        <v>309.99999999999994</v>
      </c>
      <c r="CU63" s="17">
        <f>CT63*VLOOKUP('Données projet'!$B$13,Paramètres!$A$1:$I$89,3,0)*VLOOKUP('Données projet'!$B$13,Paramètres!$A$1:$I$89,5,0)</f>
        <v>246.63599999999997</v>
      </c>
      <c r="CV63" s="13">
        <f t="shared" si="41"/>
        <v>59.865023903294535</v>
      </c>
      <c r="CW63" s="20">
        <f t="shared" si="13"/>
        <v>533.82261663157112</v>
      </c>
      <c r="CX63" s="59">
        <f t="shared" si="14"/>
        <v>827.15594996490449</v>
      </c>
      <c r="CY63" s="59">
        <f ca="1">AVERAGE(OFFSET($CX$3,0,0,'Données projet'!$E$13+1,1))-AVERAGE(OFFSET($H$3,0,0,'Données projet'!$E$13+1,1))</f>
        <v>260.20517190557814</v>
      </c>
      <c r="CZ63" s="59">
        <f t="shared" si="42"/>
        <v>307.22009971147133</v>
      </c>
      <c r="DA63" s="15">
        <f>IF(ISNA(VLOOKUP(A63,'Données projet'!$A$139:$I$159,3,0)),0,VLOOKUP(A63,'Données projet'!$A$139:$I$159,3,0))</f>
        <v>5</v>
      </c>
      <c r="DB63" s="15">
        <f>IF(ISNA(VLOOKUP(A63,'Données projet'!$A$139:$I$159,4,0)),0,VLOOKUP(A63,'Données projet'!$A$139:$I$159,4,0))</f>
        <v>30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1.8013167352926416</v>
      </c>
      <c r="DG63" s="21">
        <f>EXP(-LN(2)/25)*DG62+(1-EXP(-LN(2)/25))/(LN(2)/25)*Calculateur!DB63*Calculateur!DD63*VLOOKUP('Données projet'!$B$13,Paramètres!$A$1:$I$89,3,0)*0.475*44/12</f>
        <v>8.9316758553423554</v>
      </c>
      <c r="DH63" s="21">
        <f>EXP(-LN(2)/2)*DH62+(1-EXP(-LN(2)/2))/(LN(2)/2)*DB63*DE63*VLOOKUP('Données projet'!$B$13,Paramètres!$A$1:$I$89,3,0)*0.475*44/12</f>
        <v>7.3361310585807148E-4</v>
      </c>
      <c r="DI63" s="22">
        <f t="shared" si="15"/>
        <v>10.733726203740854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8.374198717948719</v>
      </c>
      <c r="DO63" s="12">
        <f>IF('Données projet'!$A$166&gt;35,DO62+DN63-DW62,IF(A63&lt;'Données projet'!$A$166,$DL$205^A63,IF(A63='Données projet'!$A$166,'Données projet'!$B$166,DO62+DN63-DW62)))</f>
        <v>195.16586538461542</v>
      </c>
      <c r="DP63" s="17">
        <f>DO63*VLOOKUP('Données projet'!$B$14,Paramètres!$A$1:$I$89,3,0)*VLOOKUP('Données projet'!$B$14,Paramètres!$A$1:$I$89,5,0)</f>
        <v>197.89818750000003</v>
      </c>
      <c r="DQ63" s="13">
        <f t="shared" si="43"/>
        <v>49.28196932261676</v>
      </c>
      <c r="DR63" s="20">
        <f t="shared" si="16"/>
        <v>430.5054397993909</v>
      </c>
      <c r="DS63" s="59">
        <f t="shared" si="17"/>
        <v>723.83877313272421</v>
      </c>
      <c r="DT63" s="59">
        <f ca="1">AVERAGE(OFFSET($DS$3,0,0,'Données projet'!$E$14+1,1))-AVERAGE(OFFSET($H$3,0,0,'Données projet'!$E$14+1,1))</f>
        <v>263.15518481854753</v>
      </c>
      <c r="DU63" s="59">
        <f t="shared" si="44"/>
        <v>210.80755370263819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0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310</v>
      </c>
      <c r="EH63" s="12">
        <f>VLOOKUP(A63,'Données projet'!$A$191:$I$211,9,0)</f>
        <v>6.8</v>
      </c>
      <c r="EI63" s="12">
        <f t="array" ref="EI63">INDEX(EH:EH,MIN(IF(ISNUMBER(EH63:EH259),ROW(EH63:EH259),"")))</f>
        <v>6.8</v>
      </c>
      <c r="EJ63" s="12">
        <f>IF('Données projet'!$A$192&gt;35,EJ62+EI63-ER62,IF(A63&lt;'Données projet'!$A$192,$EG$205^A63,IF(A63='Données projet'!$A$192,'Données projet'!$B$192,EJ62+EI63-ER62)))</f>
        <v>309.99999999999994</v>
      </c>
      <c r="EK63" s="17">
        <f>EJ63*VLOOKUP('Données projet'!$B$15,Paramètres!$A$1:$I$89,3,0)*VLOOKUP('Données projet'!$B$15,Paramètres!$A$1:$I$89,5,0)</f>
        <v>207.94799999999998</v>
      </c>
      <c r="EL63" s="13">
        <f t="shared" si="45"/>
        <v>51.486916127068838</v>
      </c>
      <c r="EM63" s="20">
        <f t="shared" si="19"/>
        <v>451.84914558797823</v>
      </c>
      <c r="EN63" s="59">
        <f t="shared" si="20"/>
        <v>745.18247892131149</v>
      </c>
      <c r="EO63" s="59">
        <f ca="1">AVERAGE(OFFSET($EN$3,0,0,'Données projet'!$E$15+1,1))-AVERAGE(OFFSET($H$3,0,0,'Données projet'!$E$15+1,1))</f>
        <v>207.93042467236967</v>
      </c>
      <c r="EP63" s="59">
        <f t="shared" si="46"/>
        <v>250.70954318710835</v>
      </c>
      <c r="EQ63" s="15">
        <f>IF(ISNA(VLOOKUP(A63,'Données projet'!$A$191:$I$211,3,0)),0,VLOOKUP(A63,'Données projet'!$A$191:$I$211,3,0))</f>
        <v>5</v>
      </c>
      <c r="ER63" s="15">
        <f>IF(ISNA(VLOOKUP(A63,'Données projet'!$A$191:$I$211,4,0)),0,VLOOKUP(A63,'Données projet'!$A$191:$I$211,4,0))</f>
        <v>30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1.5187572474035993</v>
      </c>
      <c r="EW63" s="21">
        <f>EXP(-LN(2)/25)*EW62+(1-EXP(-LN(2)/25))/(LN(2)/25)*Calculateur!ER63*Calculateur!ET63*VLOOKUP('Données projet'!$B$15,Paramètres!$A$1:$I$89,3,0)*0.475*44/12</f>
        <v>7.5306286623474827</v>
      </c>
      <c r="EX63" s="21">
        <f>EXP(-LN(2)/2)*EX62+(1-EXP(-LN(2)/2))/(LN(2)/2)*ER63*EU63*VLOOKUP('Données projet'!$B$15,Paramètres!$A$1:$I$89,3,0)*0.475*44/12</f>
        <v>6.1853654023327591E-4</v>
      </c>
      <c r="EY63" s="22">
        <f t="shared" si="21"/>
        <v>9.0500044462913163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8.374198717948719</v>
      </c>
      <c r="FE63" s="12">
        <f>IF('Données projet'!$A$218&gt;35,FE62+FD63-FM62,IF(A63&lt;'Données projet'!$A$218,$FB$205^A63,IF(A63='Données projet'!$A$218,'Données projet'!$B$218,FE62+FD63-FM62)))</f>
        <v>195.16586538461542</v>
      </c>
      <c r="FF63" s="17">
        <f>FE63*VLOOKUP('Données projet'!$B$16,Paramètres!$A$1:$I$89,3,0)*VLOOKUP('Données projet'!$B$16,Paramètres!$A$1:$I$89,5,0)</f>
        <v>210.07653750000003</v>
      </c>
      <c r="FG63" s="13">
        <f t="shared" si="47"/>
        <v>51.952310712978978</v>
      </c>
      <c r="FH63" s="20">
        <f t="shared" si="22"/>
        <v>456.36691063760514</v>
      </c>
      <c r="FI63" s="59">
        <f t="shared" si="23"/>
        <v>749.70024397093846</v>
      </c>
      <c r="FJ63" s="59">
        <f ca="1">AVERAGE(OFFSET($FI$3,0,0,'Données projet'!$E$16+1,1))-AVERAGE(OFFSET($H$3,0,0,'Données projet'!$E$16+1,1))</f>
        <v>286.77702855541287</v>
      </c>
      <c r="FK63" s="59">
        <f t="shared" si="48"/>
        <v>227.12211541860779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0</v>
      </c>
      <c r="FR63" s="21">
        <f>EXP(-LN(2)/25)*FR62+(1-EXP(-LN(2)/25))/(LN(2)/25)*Calculateur!FM63*Calculateur!FO63*VLOOKUP('Données projet'!$B$16,Paramètres!$A$1:$I$89,3,0)*0.475*44/12</f>
        <v>0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0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11.170769230769238</v>
      </c>
      <c r="FZ63" s="12">
        <f>IF('Données projet'!$A$244&gt;35,FZ62+FY63-GH62,IF(A63&lt;'Données projet'!$A$244,$FW$205^A63,IF(A63='Données projet'!$A$244,'Données projet'!$B$244,FZ62+FY63-GH62)))</f>
        <v>317.94461538461559</v>
      </c>
      <c r="GA63" s="17">
        <f>FZ63*VLOOKUP('Données projet'!$B$17,Paramètres!$A$1:$I$89,3,0)*VLOOKUP('Données projet'!$B$17,Paramètres!$A$1:$I$89,5,0)</f>
        <v>148.79808000000008</v>
      </c>
      <c r="GB63" s="13">
        <f t="shared" si="49"/>
        <v>38.305317228732633</v>
      </c>
      <c r="GC63" s="20">
        <f t="shared" si="25"/>
        <v>325.87175017337614</v>
      </c>
      <c r="GD63" s="59">
        <f t="shared" si="26"/>
        <v>619.20508350670946</v>
      </c>
      <c r="GE63" s="59">
        <f ca="1">AVERAGE(OFFSET($GD$3,0,0,'Données projet'!$E$17+1,1))-AVERAGE(OFFSET($H$3,0,0,'Données projet'!$E$17+1,1))</f>
        <v>123.2823358462245</v>
      </c>
      <c r="GF63" s="59">
        <f t="shared" si="50"/>
        <v>92.75115399786057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0</v>
      </c>
      <c r="GM63" s="21">
        <f>EXP(-LN(2)/25)*GM62+(1-EXP(-LN(2)/25))/(LN(2)/25)*Calculateur!GH63*Calculateur!GJ63*VLOOKUP('Données projet'!$B$17,Paramètres!$A$1:$I$89,3,0)*0.475*44/12</f>
        <v>0</v>
      </c>
      <c r="GN63" s="21">
        <f>EXP(-LN(2)/2)*GN62+(1-EXP(-LN(2)/2))/(LN(2)/2)*GH63*GK63*VLOOKUP('Données projet'!$B$17,Paramètres!$A$1:$I$89,3,0)*0.475*44/12</f>
        <v>0</v>
      </c>
      <c r="GO63" s="21">
        <f t="shared" si="27"/>
        <v>0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>
        <f>VLOOKUP(A63,'Données projet'!$A$269:$I$289,2,0)</f>
        <v>353.5</v>
      </c>
      <c r="GS63" s="12">
        <f>VLOOKUP(A63,'Données projet'!$A$269:$I$289,9,0)</f>
        <v>10.433653846153845</v>
      </c>
      <c r="GT63" s="12">
        <f t="array" ref="GT63">INDEX(GS:GS,MIN(IF(ISNUMBER(GS63:GS259),ROW(GS63:GS259),"")))</f>
        <v>10.433653846153845</v>
      </c>
      <c r="GU63" s="12">
        <f>IF('Données projet'!$A$270&gt;35,GU62+GT63-HC62,IF(A63&lt;'Données projet'!$A$270,$GR$205^A63,IF(A63='Données projet'!$A$270,'Données projet'!$B$270,GU62+GT63-HC62)))</f>
        <v>353.49999999999972</v>
      </c>
      <c r="GV63" s="17">
        <f>GU63*VLOOKUP('Données projet'!$B$18,Paramètres!$A$1:$I$89,3,0)*VLOOKUP('Données projet'!$B$18,Paramètres!$A$1:$I$89,5,0)</f>
        <v>211.39299999999983</v>
      </c>
      <c r="GW63" s="13">
        <f t="shared" si="51"/>
        <v>52.239874015944039</v>
      </c>
      <c r="GX63" s="20">
        <f t="shared" si="28"/>
        <v>459.1605889111022</v>
      </c>
      <c r="GY63" s="59">
        <f t="shared" si="29"/>
        <v>752.49392224443545</v>
      </c>
      <c r="GZ63" s="59">
        <f ca="1">AVERAGE(OFFSET($GY$3,0,0,'Données projet'!$E$18+1,1))-AVERAGE(OFFSET($H$3,0,0,'Données projet'!$E$18+1,1))</f>
        <v>171.96009656745713</v>
      </c>
      <c r="HA63" s="59">
        <f t="shared" si="52"/>
        <v>172.37574906747716</v>
      </c>
      <c r="HB63" s="15">
        <f>IF(ISNA(VLOOKUP(A63,'Données projet'!$A$269:$I$289,3,0)),0,VLOOKUP(A63,'Données projet'!$A$269:$I$289,3,0))</f>
        <v>7</v>
      </c>
      <c r="HC63" s="15">
        <f>IF(ISNA(VLOOKUP(A63,'Données projet'!$A$269:$I$289,4,0)),0,VLOOKUP(A63,'Données projet'!$A$269:$I$289,4,0))</f>
        <v>353.5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>
        <f>EXP(-LN(2)/35)*HG62+(1-EXP(-LN(2)/35))/(LN(2)/35)*HC63*HD63*VLOOKUP('Données projet'!$B$18,Paramètres!$A$1:$I$89,3,0)*0.475*44/12</f>
        <v>0.92083865830620948</v>
      </c>
      <c r="HH63" s="21">
        <f>EXP(-LN(2)/25)*HH62+(1-EXP(-LN(2)/25))/(LN(2)/25)*Calculateur!HC63*Calculateur!HE63*VLOOKUP('Données projet'!$B$18,Paramètres!$A$1:$I$89,3,0)*0.475*44/12</f>
        <v>8.9479411332191177</v>
      </c>
      <c r="HI63" s="21">
        <f>EXP(-LN(2)/2)*HI62+(1-EXP(-LN(2)/2))/(LN(2)/2)*HC63*HF63*VLOOKUP('Données projet'!$B$18,Paramètres!$A$1:$I$89,3,0)*0.475*44/12</f>
        <v>3.6757267089008094E-4</v>
      </c>
      <c r="HJ63" s="22">
        <f t="shared" si="30"/>
        <v>9.869147364196218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-2.2737367544323206E-13</v>
      </c>
      <c r="O64" s="13">
        <f>N64*VLOOKUP('Données projet'!$B$9,Paramètres!$A$1:$I$89,3,0)*VLOOKUP('Données projet'!$B$9,Paramètres!$A$1:$I$89,5,0)</f>
        <v>-1.2710188457276673E-13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255.5374979188561</v>
      </c>
      <c r="T64" s="59">
        <f t="shared" si="34"/>
        <v>343.10418468620901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1.6723903491879981</v>
      </c>
      <c r="AA64" s="21">
        <f>EXP(-LN(2)/25)*AA63+(1-EXP(-LN(2)/25))/(LN(2)/25)*Calculateur!V64*Calculateur!X64*VLOOKUP('Données projet'!$B$9,Paramètres!$A$1:$I$89,3,0)*0.475*44/12</f>
        <v>6.7571373013228326</v>
      </c>
      <c r="AB64" s="21">
        <f>EXP(-LN(2)/2)*AB63+(1-EXP(-LN(2)/2))/(LN(2)/2)*V64*Y64*VLOOKUP('Données projet'!$B$9,Paramètres!$A$1:$I$89,3,0)*0.475*44/12</f>
        <v>3.6526054796492948E-5</v>
      </c>
      <c r="AC64" s="22">
        <f t="shared" si="3"/>
        <v>8.4295641765656271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14.270329670329668</v>
      </c>
      <c r="AI64" s="13">
        <f>IF('Données projet'!$A$62&gt;35,AI63+AH64-AQ63,IF(A64&lt;'Données projet'!$A$62,$AF$205^A64,IF(A64='Données projet'!$A$62,'Données projet'!$B$62,AI63+AH64-AQ63)))</f>
        <v>346.63626373626369</v>
      </c>
      <c r="AJ64" s="13">
        <f>AI64*VLOOKUP('Données projet'!$B$10,Paramètres!$A$1:$I$89,3,0)*VLOOKUP('Données projet'!$B$10,Paramètres!$A$1:$I$89,5,0)</f>
        <v>162.22577142857142</v>
      </c>
      <c r="AK64" s="13">
        <f t="shared" si="35"/>
        <v>41.344139999178246</v>
      </c>
      <c r="AL64" s="20">
        <f t="shared" si="4"/>
        <v>354.55092906999738</v>
      </c>
      <c r="AM64" s="59">
        <f t="shared" si="5"/>
        <v>647.88426240333069</v>
      </c>
      <c r="AN64" s="59">
        <f ca="1">AVERAGE(OFFSET($AM$3,0,0,'Données projet'!$E$10+1,1))-AVERAGE(OFFSET($H$3,0,0,'Données projet'!$E$10+1,1))</f>
        <v>158.58786357608489</v>
      </c>
      <c r="AO64" s="59">
        <f t="shared" si="36"/>
        <v>163.20074068819849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-1.7053025658242404E-13</v>
      </c>
      <c r="BE64" s="13">
        <f>BD64*VLOOKUP('Données projet'!$B$11,Paramètres!$A$1:$I$89,3,0)*VLOOKUP('Données projet'!$B$11,Paramètres!$A$1:$I$89,5,0)</f>
        <v>-1.0197709343628959E-13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243.85350804244348</v>
      </c>
      <c r="BJ64" s="59">
        <f t="shared" si="38"/>
        <v>304.60992308960545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2.4494707559605531</v>
      </c>
      <c r="BQ64" s="21">
        <f>EXP(-LN(2)/25)*BQ63+(1-EXP(-LN(2)/25))/(LN(2)/25)*Calculateur!BL64*Calculateur!BN64*VLOOKUP('Données projet'!$B$11,Paramètres!$A$1:$I$89,3,0)*0.475*44/12</f>
        <v>7.5059318048609081</v>
      </c>
      <c r="BR64" s="21">
        <f>EXP(-LN(2)/2)*BR63+(1-EXP(-LN(2)/2))/(LN(2)/2)*BL64*BO64*VLOOKUP('Données projet'!$B$11,Paramètres!$A$1:$I$89,3,0)*0.475*44/12</f>
        <v>8.066788717789482E-5</v>
      </c>
      <c r="BS64" s="22">
        <f t="shared" si="9"/>
        <v>9.9554832287086388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14.1</v>
      </c>
      <c r="BY64" s="12">
        <f>IF('Données projet'!$A$114&gt;35,BY63+BX64-CG63,IF(A64&lt;'Données projet'!$A$114,$BV$205^A64,IF(A64='Données projet'!$A$114,'Données projet'!$B$114,BY63+BX64-CG63)))</f>
        <v>371.10000000000008</v>
      </c>
      <c r="BZ64" s="13">
        <f>BY64*VLOOKUP('Données projet'!$B$12,Paramètres!$A$1:$I$89,3,0)*VLOOKUP('Données projet'!$B$12,Paramètres!$A$1:$I$89,5,0)</f>
        <v>221.91780000000006</v>
      </c>
      <c r="CA64" s="13">
        <f t="shared" si="39"/>
        <v>54.531499284124365</v>
      </c>
      <c r="CB64" s="20">
        <f t="shared" si="10"/>
        <v>481.4825295865167</v>
      </c>
      <c r="CC64" s="59">
        <f t="shared" si="11"/>
        <v>774.81586291985002</v>
      </c>
      <c r="CD64" s="59">
        <f ca="1">AVERAGE(OFFSET($CC$3,0,0,'Données projet'!$E$12+1,1))-AVERAGE(OFFSET($H$3,0,0,'Données projet'!$E$12+1,1))</f>
        <v>270.30888762640245</v>
      </c>
      <c r="CE64" s="59">
        <f t="shared" si="40"/>
        <v>202.23783851977691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1.1592223264668233</v>
      </c>
      <c r="CL64" s="21">
        <f>EXP(-LN(2)/25)*CL63+(1-EXP(-LN(2)/25))/(LN(2)/25)*Calculateur!CG64*Calculateur!CI64*VLOOKUP('Données projet'!$B$12,Paramètres!$A$1:$I$89,3,0)*0.475*44/12</f>
        <v>5.2054549421831426</v>
      </c>
      <c r="CM64" s="21">
        <f>EXP(-LN(2)/2)*CM63+(1-EXP(-LN(2)/2))/(LN(2)/2)*CG64*CJ64*VLOOKUP('Données projet'!$B$12,Paramètres!$A$1:$I$89,3,0)*0.475*44/12</f>
        <v>3.9905544840442714E-4</v>
      </c>
      <c r="CN64" s="22">
        <f t="shared" si="12"/>
        <v>6.3650763240983705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4.9000000000000004</v>
      </c>
      <c r="CT64" s="12">
        <f>IF('Données projet'!$A$140&gt;35,CT63+CS64-DB63,IF(A64&lt;'Données projet'!$A$140,$CQ$205^A64,IF(A64='Données projet'!$A$140,'Données projet'!$B$140,CT63+CS64-DB63)))</f>
        <v>284.89999999999992</v>
      </c>
      <c r="CU64" s="17">
        <f>CT64*VLOOKUP('Données projet'!$B$13,Paramètres!$A$1:$I$89,3,0)*VLOOKUP('Données projet'!$B$13,Paramètres!$A$1:$I$89,5,0)</f>
        <v>226.66643999999994</v>
      </c>
      <c r="CV64" s="13">
        <f t="shared" si="41"/>
        <v>55.561276600641385</v>
      </c>
      <c r="CW64" s="20">
        <f t="shared" si="13"/>
        <v>491.5466064127836</v>
      </c>
      <c r="CX64" s="59">
        <f t="shared" si="14"/>
        <v>784.87993974611686</v>
      </c>
      <c r="CY64" s="59">
        <f ca="1">AVERAGE(OFFSET($CX$3,0,0,'Données projet'!$E$13+1,1))-AVERAGE(OFFSET($H$3,0,0,'Données projet'!$E$13+1,1))</f>
        <v>260.20517190557814</v>
      </c>
      <c r="CZ64" s="59">
        <f t="shared" si="42"/>
        <v>307.22009971147133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1.7659940128082743</v>
      </c>
      <c r="DG64" s="21">
        <f>EXP(-LN(2)/25)*DG63+(1-EXP(-LN(2)/25))/(LN(2)/25)*Calculateur!DB64*Calculateur!DD64*VLOOKUP('Données projet'!$B$13,Paramètres!$A$1:$I$89,3,0)*0.475*44/12</f>
        <v>8.687438709381599</v>
      </c>
      <c r="DH64" s="21">
        <f>EXP(-LN(2)/2)*DH63+(1-EXP(-LN(2)/2))/(LN(2)/2)*DB64*DE64*VLOOKUP('Données projet'!$B$13,Paramètres!$A$1:$I$89,3,0)*0.475*44/12</f>
        <v>5.1874280191956687E-4</v>
      </c>
      <c r="DI64" s="22">
        <f t="shared" si="15"/>
        <v>10.453951464991793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8.374198717948719</v>
      </c>
      <c r="DO64" s="12">
        <f>IF('Données projet'!$A$166&gt;35,DO63+DN64-DW63,IF(A64&lt;'Données projet'!$A$166,$DL$205^A64,IF(A64='Données projet'!$A$166,'Données projet'!$B$166,DO63+DN64-DW63)))</f>
        <v>203.54006410256414</v>
      </c>
      <c r="DP64" s="17">
        <f>DO64*VLOOKUP('Données projet'!$B$14,Paramètres!$A$1:$I$89,3,0)*VLOOKUP('Données projet'!$B$14,Paramètres!$A$1:$I$89,5,0)</f>
        <v>206.38962500000005</v>
      </c>
      <c r="DQ64" s="13">
        <f t="shared" si="43"/>
        <v>51.145833405091331</v>
      </c>
      <c r="DR64" s="20">
        <f t="shared" si="16"/>
        <v>448.5409233888675</v>
      </c>
      <c r="DS64" s="59">
        <f t="shared" si="17"/>
        <v>741.87425672220081</v>
      </c>
      <c r="DT64" s="59">
        <f ca="1">AVERAGE(OFFSET($DS$3,0,0,'Données projet'!$E$14+1,1))-AVERAGE(OFFSET($H$3,0,0,'Données projet'!$E$14+1,1))</f>
        <v>263.15518481854753</v>
      </c>
      <c r="DU64" s="59">
        <f t="shared" si="44"/>
        <v>210.80755370263819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0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4.9000000000000004</v>
      </c>
      <c r="EJ64" s="12">
        <f>IF('Données projet'!$A$192&gt;35,EJ63+EI64-ER63,IF(A64&lt;'Données projet'!$A$192,$EG$205^A64,IF(A64='Données projet'!$A$192,'Données projet'!$B$192,EJ63+EI64-ER63)))</f>
        <v>284.89999999999992</v>
      </c>
      <c r="EK64" s="17">
        <f>EJ64*VLOOKUP('Données projet'!$B$15,Paramètres!$A$1:$I$89,3,0)*VLOOKUP('Données projet'!$B$15,Paramètres!$A$1:$I$89,5,0)</f>
        <v>191.11091999999994</v>
      </c>
      <c r="EL64" s="13">
        <f t="shared" si="45"/>
        <v>47.785478092704217</v>
      </c>
      <c r="EM64" s="20">
        <f t="shared" si="19"/>
        <v>416.07789334479304</v>
      </c>
      <c r="EN64" s="59">
        <f t="shared" si="20"/>
        <v>709.41122667812635</v>
      </c>
      <c r="EO64" s="59">
        <f ca="1">AVERAGE(OFFSET($EN$3,0,0,'Données projet'!$E$15+1,1))-AVERAGE(OFFSET($H$3,0,0,'Données projet'!$E$15+1,1))</f>
        <v>207.93042467236967</v>
      </c>
      <c r="EP64" s="59">
        <f t="shared" si="46"/>
        <v>250.70954318710835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1.488975344132466</v>
      </c>
      <c r="EW64" s="21">
        <f>EXP(-LN(2)/25)*EW63+(1-EXP(-LN(2)/25))/(LN(2)/25)*Calculateur!ER64*Calculateur!ET64*VLOOKUP('Données projet'!$B$15,Paramètres!$A$1:$I$89,3,0)*0.475*44/12</f>
        <v>7.324703225557041</v>
      </c>
      <c r="EX64" s="21">
        <f>EXP(-LN(2)/2)*EX63+(1-EXP(-LN(2)/2))/(LN(2)/2)*ER64*EU64*VLOOKUP('Données projet'!$B$15,Paramètres!$A$1:$I$89,3,0)*0.475*44/12</f>
        <v>4.3737138201061518E-4</v>
      </c>
      <c r="EY64" s="22">
        <f t="shared" si="21"/>
        <v>8.8141159410715186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8.374198717948719</v>
      </c>
      <c r="FE64" s="12">
        <f>IF('Données projet'!$A$218&gt;35,FE63+FD64-FM63,IF(A64&lt;'Données projet'!$A$218,$FB$205^A64,IF(A64='Données projet'!$A$218,'Données projet'!$B$218,FE63+FD64-FM63)))</f>
        <v>203.54006410256414</v>
      </c>
      <c r="FF64" s="17">
        <f>FE64*VLOOKUP('Données projet'!$B$16,Paramètres!$A$1:$I$89,3,0)*VLOOKUP('Données projet'!$B$16,Paramètres!$A$1:$I$89,5,0)</f>
        <v>219.09052500000004</v>
      </c>
      <c r="FG64" s="13">
        <f t="shared" si="47"/>
        <v>53.917168190682062</v>
      </c>
      <c r="FH64" s="20">
        <f t="shared" si="22"/>
        <v>475.48839897377138</v>
      </c>
      <c r="FI64" s="59">
        <f t="shared" si="23"/>
        <v>768.82173230710464</v>
      </c>
      <c r="FJ64" s="59">
        <f ca="1">AVERAGE(OFFSET($FI$3,0,0,'Données projet'!$E$16+1,1))-AVERAGE(OFFSET($H$3,0,0,'Données projet'!$E$16+1,1))</f>
        <v>286.77702855541287</v>
      </c>
      <c r="FK64" s="59">
        <f t="shared" si="48"/>
        <v>227.12211541860779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0</v>
      </c>
      <c r="FR64" s="21">
        <f>EXP(-LN(2)/25)*FR63+(1-EXP(-LN(2)/25))/(LN(2)/25)*Calculateur!FM64*Calculateur!FO64*VLOOKUP('Données projet'!$B$16,Paramètres!$A$1:$I$89,3,0)*0.475*44/12</f>
        <v>0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0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>
        <f>VLOOKUP(A64,'Données projet'!$A$243:$I$263,2,0)</f>
        <v>329.11538461538464</v>
      </c>
      <c r="FX64" s="12">
        <f>VLOOKUP(A64,'Données projet'!$A$243:$I$263,9,0)</f>
        <v>11.170769230769238</v>
      </c>
      <c r="FY64" s="12">
        <f t="array" ref="FY64">INDEX(FX:FX,MIN(IF(ISNUMBER(FX64:FX260),ROW(FX64:FX260),"")))</f>
        <v>11.170769230769238</v>
      </c>
      <c r="FZ64" s="12">
        <f>IF('Données projet'!$A$244&gt;35,FZ63+FY64-GH63,IF(A64&lt;'Données projet'!$A$244,$FW$205^A64,IF(A64='Données projet'!$A$244,'Données projet'!$B$244,FZ63+FY64-GH63)))</f>
        <v>329.11538461538481</v>
      </c>
      <c r="GA64" s="17">
        <f>FZ64*VLOOKUP('Données projet'!$B$17,Paramètres!$A$1:$I$89,3,0)*VLOOKUP('Données projet'!$B$17,Paramètres!$A$1:$I$89,5,0)</f>
        <v>154.0260000000001</v>
      </c>
      <c r="GB64" s="13">
        <f t="shared" si="49"/>
        <v>39.492093452898274</v>
      </c>
      <c r="GC64" s="20">
        <f t="shared" si="25"/>
        <v>337.04401276379798</v>
      </c>
      <c r="GD64" s="59">
        <f t="shared" si="26"/>
        <v>630.37734609713129</v>
      </c>
      <c r="GE64" s="59">
        <f ca="1">AVERAGE(OFFSET($GD$3,0,0,'Données projet'!$E$17+1,1))-AVERAGE(OFFSET($H$3,0,0,'Données projet'!$E$17+1,1))</f>
        <v>123.2823358462245</v>
      </c>
      <c r="GF64" s="59">
        <f t="shared" si="50"/>
        <v>92.75115399786057</v>
      </c>
      <c r="GG64" s="15">
        <f>IF(ISNA(VLOOKUP(A64,'Données projet'!$A$243:$I$263,3,0)),0,VLOOKUP(A64,'Données projet'!$A$243:$I$263,3,0))</f>
        <v>2</v>
      </c>
      <c r="GH64" s="15">
        <f>IF(ISNA(VLOOKUP(A64,'Données projet'!$A$243:$I$263,4,0)),0,VLOOKUP(A64,'Données projet'!$A$243:$I$263,4,0))</f>
        <v>94.76153846153845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0</v>
      </c>
      <c r="GM64" s="21">
        <f>EXP(-LN(2)/25)*GM63+(1-EXP(-LN(2)/25))/(LN(2)/25)*Calculateur!GH64*Calculateur!GJ64*VLOOKUP('Données projet'!$B$17,Paramètres!$A$1:$I$89,3,0)*0.475*44/12</f>
        <v>0</v>
      </c>
      <c r="GN64" s="21">
        <f>EXP(-LN(2)/2)*GN63+(1-EXP(-LN(2)/2))/(LN(2)/2)*GH64*GK64*VLOOKUP('Données projet'!$B$17,Paramètres!$A$1:$I$89,3,0)*0.475*44/12</f>
        <v>0</v>
      </c>
      <c r="GO64" s="21">
        <f t="shared" si="27"/>
        <v>0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-2.8421709430404007E-13</v>
      </c>
      <c r="GV64" s="17">
        <f>GU64*VLOOKUP('Données projet'!$B$18,Paramètres!$A$1:$I$89,3,0)*VLOOKUP('Données projet'!$B$18,Paramètres!$A$1:$I$89,5,0)</f>
        <v>-1.69961822393816E-13</v>
      </c>
      <c r="GW64" s="13" t="e">
        <f t="shared" si="51"/>
        <v>#NUM!</v>
      </c>
      <c r="GX64" s="20" t="e">
        <f t="shared" si="28"/>
        <v>#NUM!</v>
      </c>
      <c r="GY64" s="59" t="e">
        <f t="shared" si="29"/>
        <v>#NUM!</v>
      </c>
      <c r="GZ64" s="59">
        <f ca="1">AVERAGE(OFFSET($GY$3,0,0,'Données projet'!$E$18+1,1))-AVERAGE(OFFSET($H$3,0,0,'Données projet'!$E$18+1,1))</f>
        <v>171.96009656745713</v>
      </c>
      <c r="HA64" s="59">
        <f t="shared" si="52"/>
        <v>172.37574906747716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>
        <f>EXP(-LN(2)/35)*HG63+(1-EXP(-LN(2)/35))/(LN(2)/35)*HC64*HD64*VLOOKUP('Données projet'!$B$18,Paramètres!$A$1:$I$89,3,0)*0.475*44/12</f>
        <v>0.90278157387294733</v>
      </c>
      <c r="HH64" s="21">
        <f>EXP(-LN(2)/25)*HH63+(1-EXP(-LN(2)/25))/(LN(2)/25)*Calculateur!HC64*Calculateur!HE64*VLOOKUP('Données projet'!$B$18,Paramètres!$A$1:$I$89,3,0)*0.475*44/12</f>
        <v>8.7032592123794679</v>
      </c>
      <c r="HI64" s="21">
        <f>EXP(-LN(2)/2)*HI63+(1-EXP(-LN(2)/2))/(LN(2)/2)*HC64*HF64*VLOOKUP('Données projet'!$B$18,Paramètres!$A$1:$I$89,3,0)*0.475*44/12</f>
        <v>2.5991312816522731E-4</v>
      </c>
      <c r="HJ64" s="22">
        <f t="shared" si="30"/>
        <v>9.6063006993805793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-2.2737367544323206E-13</v>
      </c>
      <c r="O65" s="13">
        <f>N65*VLOOKUP('Données projet'!$B$9,Paramètres!$A$1:$I$89,3,0)*VLOOKUP('Données projet'!$B$9,Paramètres!$A$1:$I$89,5,0)</f>
        <v>-1.2710188457276673E-13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255.5374979188561</v>
      </c>
      <c r="T65" s="59">
        <f t="shared" si="34"/>
        <v>343.10418468620901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1.6395957944978121</v>
      </c>
      <c r="AA65" s="21">
        <f>EXP(-LN(2)/25)*AA64+(1-EXP(-LN(2)/25))/(LN(2)/25)*Calculateur!V65*Calculateur!X65*VLOOKUP('Données projet'!$B$9,Paramètres!$A$1:$I$89,3,0)*0.475*44/12</f>
        <v>6.5723630264757524</v>
      </c>
      <c r="AB65" s="21">
        <f>EXP(-LN(2)/2)*AB64+(1-EXP(-LN(2)/2))/(LN(2)/2)*V65*Y65*VLOOKUP('Données projet'!$B$9,Paramètres!$A$1:$I$89,3,0)*0.475*44/12</f>
        <v>2.5827821036591584E-5</v>
      </c>
      <c r="AC65" s="22">
        <f t="shared" si="3"/>
        <v>8.2119846487946013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14.270329670329668</v>
      </c>
      <c r="AI65" s="13">
        <f>IF('Données projet'!$A$62&gt;35,AI64+AH65-AQ64,IF(A65&lt;'Données projet'!$A$62,$AF$205^A65,IF(A65='Données projet'!$A$62,'Données projet'!$B$62,AI64+AH65-AQ64)))</f>
        <v>360.90659340659334</v>
      </c>
      <c r="AJ65" s="13">
        <f>AI65*VLOOKUP('Données projet'!$B$10,Paramètres!$A$1:$I$89,3,0)*VLOOKUP('Données projet'!$B$10,Paramètres!$A$1:$I$89,5,0)</f>
        <v>168.90428571428566</v>
      </c>
      <c r="AK65" s="13">
        <f t="shared" si="35"/>
        <v>42.844527757373569</v>
      </c>
      <c r="AL65" s="20">
        <f t="shared" si="4"/>
        <v>368.79585012980647</v>
      </c>
      <c r="AM65" s="59">
        <f t="shared" si="5"/>
        <v>662.12918346313973</v>
      </c>
      <c r="AN65" s="59">
        <f ca="1">AVERAGE(OFFSET($AM$3,0,0,'Données projet'!$E$10+1,1))-AVERAGE(OFFSET($H$3,0,0,'Données projet'!$E$10+1,1))</f>
        <v>158.58786357608489</v>
      </c>
      <c r="AO65" s="59">
        <f t="shared" si="36"/>
        <v>163.20074068819849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-1.7053025658242404E-13</v>
      </c>
      <c r="BE65" s="13">
        <f>BD65*VLOOKUP('Données projet'!$B$11,Paramètres!$A$1:$I$89,3,0)*VLOOKUP('Données projet'!$B$11,Paramètres!$A$1:$I$89,5,0)</f>
        <v>-1.0197709343628959E-13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243.85350804244348</v>
      </c>
      <c r="BJ65" s="59">
        <f t="shared" si="38"/>
        <v>304.60992308960545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2.4014381284658044</v>
      </c>
      <c r="BQ65" s="21">
        <f>EXP(-LN(2)/25)*BQ64+(1-EXP(-LN(2)/25))/(LN(2)/25)*Calculateur!BL65*Calculateur!BN65*VLOOKUP('Données projet'!$B$11,Paramètres!$A$1:$I$89,3,0)*0.475*44/12</f>
        <v>7.3006817049371877</v>
      </c>
      <c r="BR65" s="21">
        <f>EXP(-LN(2)/2)*BR64+(1-EXP(-LN(2)/2))/(LN(2)/2)*BL65*BO65*VLOOKUP('Données projet'!$B$11,Paramètres!$A$1:$I$89,3,0)*0.475*44/12</f>
        <v>5.7040810047480776E-5</v>
      </c>
      <c r="BS65" s="22">
        <f t="shared" si="9"/>
        <v>9.7021768742130394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14.1</v>
      </c>
      <c r="BY65" s="12">
        <f>IF('Données projet'!$A$114&gt;35,BY64+BX65-CG64,IF(A65&lt;'Données projet'!$A$114,$BV$205^A65,IF(A65='Données projet'!$A$114,'Données projet'!$B$114,BY64+BX65-CG64)))</f>
        <v>385.2000000000001</v>
      </c>
      <c r="BZ65" s="13">
        <f>BY65*VLOOKUP('Données projet'!$B$12,Paramètres!$A$1:$I$89,3,0)*VLOOKUP('Données projet'!$B$12,Paramètres!$A$1:$I$89,5,0)</f>
        <v>230.34960000000009</v>
      </c>
      <c r="CA65" s="13">
        <f t="shared" si="39"/>
        <v>56.35826654142631</v>
      </c>
      <c r="CB65" s="20">
        <f t="shared" si="10"/>
        <v>499.34953422631764</v>
      </c>
      <c r="CC65" s="59">
        <f t="shared" si="11"/>
        <v>792.68286755965096</v>
      </c>
      <c r="CD65" s="59">
        <f ca="1">AVERAGE(OFFSET($CC$3,0,0,'Données projet'!$E$12+1,1))-AVERAGE(OFFSET($H$3,0,0,'Données projet'!$E$12+1,1))</f>
        <v>270.30888762640245</v>
      </c>
      <c r="CE65" s="59">
        <f t="shared" si="40"/>
        <v>202.23783851977691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1.1364906837006121</v>
      </c>
      <c r="CL65" s="21">
        <f>EXP(-LN(2)/25)*CL64+(1-EXP(-LN(2)/25))/(LN(2)/25)*Calculateur!CG65*Calculateur!CI65*VLOOKUP('Données projet'!$B$12,Paramètres!$A$1:$I$89,3,0)*0.475*44/12</f>
        <v>5.0631115030461666</v>
      </c>
      <c r="CM65" s="21">
        <f>EXP(-LN(2)/2)*CM64+(1-EXP(-LN(2)/2))/(LN(2)/2)*CG65*CJ65*VLOOKUP('Données projet'!$B$12,Paramètres!$A$1:$I$89,3,0)*0.475*44/12</f>
        <v>2.8217481363620886E-4</v>
      </c>
      <c r="CN65" s="22">
        <f t="shared" si="12"/>
        <v>6.1998843615604144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4.9000000000000004</v>
      </c>
      <c r="CT65" s="12">
        <f>IF('Données projet'!$A$140&gt;35,CT64+CS65-DB64,IF(A65&lt;'Données projet'!$A$140,$CQ$205^A65,IF(A65='Données projet'!$A$140,'Données projet'!$B$140,CT64+CS65-DB64)))</f>
        <v>289.7999999999999</v>
      </c>
      <c r="CU65" s="17">
        <f>CT65*VLOOKUP('Données projet'!$B$13,Paramètres!$A$1:$I$89,3,0)*VLOOKUP('Données projet'!$B$13,Paramètres!$A$1:$I$89,5,0)</f>
        <v>230.56487999999993</v>
      </c>
      <c r="CV65" s="13">
        <f t="shared" si="41"/>
        <v>56.404804351341944</v>
      </c>
      <c r="CW65" s="20">
        <f t="shared" si="13"/>
        <v>499.80553357858707</v>
      </c>
      <c r="CX65" s="59">
        <f t="shared" si="14"/>
        <v>793.13886691192033</v>
      </c>
      <c r="CY65" s="59">
        <f ca="1">AVERAGE(OFFSET($CX$3,0,0,'Données projet'!$E$13+1,1))-AVERAGE(OFFSET($H$3,0,0,'Données projet'!$E$13+1,1))</f>
        <v>260.20517190557814</v>
      </c>
      <c r="CZ65" s="59">
        <f t="shared" si="42"/>
        <v>307.22009971147133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1.7313639473670921</v>
      </c>
      <c r="DG65" s="21">
        <f>EXP(-LN(2)/25)*DG64+(1-EXP(-LN(2)/25))/(LN(2)/25)*Calculateur!DB65*Calculateur!DD65*VLOOKUP('Données projet'!$B$13,Paramètres!$A$1:$I$89,3,0)*0.475*44/12</f>
        <v>8.4498802410210132</v>
      </c>
      <c r="DH65" s="21">
        <f>EXP(-LN(2)/2)*DH64+(1-EXP(-LN(2)/2))/(LN(2)/2)*DB65*DE65*VLOOKUP('Données projet'!$B$13,Paramètres!$A$1:$I$89,3,0)*0.475*44/12</f>
        <v>3.6680655292903574E-4</v>
      </c>
      <c r="DI65" s="22">
        <f t="shared" si="15"/>
        <v>10.181610994941034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8.374198717948719</v>
      </c>
      <c r="DO65" s="12">
        <f>IF('Données projet'!$A$166&gt;35,DO64+DN65-DW64,IF(A65&lt;'Données projet'!$A$166,$DL$205^A65,IF(A65='Données projet'!$A$166,'Données projet'!$B$166,DO64+DN65-DW64)))</f>
        <v>211.91426282051287</v>
      </c>
      <c r="DP65" s="17">
        <f>DO65*VLOOKUP('Données projet'!$B$14,Paramètres!$A$1:$I$89,3,0)*VLOOKUP('Données projet'!$B$14,Paramètres!$A$1:$I$89,5,0)</f>
        <v>214.88106250000004</v>
      </c>
      <c r="DQ65" s="13">
        <f t="shared" si="43"/>
        <v>53.000790097212402</v>
      </c>
      <c r="DR65" s="20">
        <f t="shared" si="16"/>
        <v>466.56089327347831</v>
      </c>
      <c r="DS65" s="59">
        <f t="shared" si="17"/>
        <v>759.89422660681157</v>
      </c>
      <c r="DT65" s="59">
        <f ca="1">AVERAGE(OFFSET($DS$3,0,0,'Données projet'!$E$14+1,1))-AVERAGE(OFFSET($H$3,0,0,'Données projet'!$E$14+1,1))</f>
        <v>263.15518481854753</v>
      </c>
      <c r="DU65" s="59">
        <f t="shared" si="44"/>
        <v>210.80755370263819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0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4.9000000000000004</v>
      </c>
      <c r="EJ65" s="12">
        <f>IF('Données projet'!$A$192&gt;35,EJ64+EI65-ER64,IF(A65&lt;'Données projet'!$A$192,$EG$205^A65,IF(A65='Données projet'!$A$192,'Données projet'!$B$192,EJ64+EI65-ER64)))</f>
        <v>289.7999999999999</v>
      </c>
      <c r="EK65" s="17">
        <f>EJ65*VLOOKUP('Données projet'!$B$15,Paramètres!$A$1:$I$89,3,0)*VLOOKUP('Données projet'!$B$15,Paramètres!$A$1:$I$89,5,0)</f>
        <v>194.39783999999992</v>
      </c>
      <c r="EL65" s="13">
        <f t="shared" si="45"/>
        <v>48.510954167370699</v>
      </c>
      <c r="EM65" s="20">
        <f t="shared" si="19"/>
        <v>423.06614984150383</v>
      </c>
      <c r="EN65" s="59">
        <f t="shared" si="20"/>
        <v>716.39948317483709</v>
      </c>
      <c r="EO65" s="59">
        <f ca="1">AVERAGE(OFFSET($EN$3,0,0,'Données projet'!$E$15+1,1))-AVERAGE(OFFSET($H$3,0,0,'Données projet'!$E$15+1,1))</f>
        <v>207.93042467236967</v>
      </c>
      <c r="EP65" s="59">
        <f t="shared" si="46"/>
        <v>250.70954318710835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1.4597774458193125</v>
      </c>
      <c r="EW65" s="21">
        <f>EXP(-LN(2)/25)*EW64+(1-EXP(-LN(2)/25))/(LN(2)/25)*Calculateur!ER65*Calculateur!ET65*VLOOKUP('Données projet'!$B$15,Paramètres!$A$1:$I$89,3,0)*0.475*44/12</f>
        <v>7.1244088306647821</v>
      </c>
      <c r="EX65" s="21">
        <f>EXP(-LN(2)/2)*EX64+(1-EXP(-LN(2)/2))/(LN(2)/2)*ER65*EU65*VLOOKUP('Données projet'!$B$15,Paramètres!$A$1:$I$89,3,0)*0.475*44/12</f>
        <v>3.0926827011663795E-4</v>
      </c>
      <c r="EY65" s="22">
        <f t="shared" si="21"/>
        <v>8.5844955447542119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8.374198717948719</v>
      </c>
      <c r="FE65" s="12">
        <f>IF('Données projet'!$A$218&gt;35,FE64+FD65-FM64,IF(A65&lt;'Données projet'!$A$218,$FB$205^A65,IF(A65='Données projet'!$A$218,'Données projet'!$B$218,FE64+FD65-FM64)))</f>
        <v>211.91426282051287</v>
      </c>
      <c r="FF65" s="17">
        <f>FE65*VLOOKUP('Données projet'!$B$16,Paramètres!$A$1:$I$89,3,0)*VLOOKUP('Données projet'!$B$16,Paramètres!$A$1:$I$89,5,0)</f>
        <v>228.10451250000003</v>
      </c>
      <c r="FG65" s="13">
        <f t="shared" si="47"/>
        <v>55.872635631468107</v>
      </c>
      <c r="FH65" s="20">
        <f t="shared" si="22"/>
        <v>494.59353299564032</v>
      </c>
      <c r="FI65" s="59">
        <f t="shared" si="23"/>
        <v>787.92686632897357</v>
      </c>
      <c r="FJ65" s="59">
        <f ca="1">AVERAGE(OFFSET($FI$3,0,0,'Données projet'!$E$16+1,1))-AVERAGE(OFFSET($H$3,0,0,'Données projet'!$E$16+1,1))</f>
        <v>286.77702855541287</v>
      </c>
      <c r="FK65" s="59">
        <f t="shared" si="48"/>
        <v>227.12211541860779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0</v>
      </c>
      <c r="FR65" s="21">
        <f>EXP(-LN(2)/25)*FR64+(1-EXP(-LN(2)/25))/(LN(2)/25)*Calculateur!FM65*Calculateur!FO65*VLOOKUP('Données projet'!$B$16,Paramètres!$A$1:$I$89,3,0)*0.475*44/12</f>
        <v>0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0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10.314743589743586</v>
      </c>
      <c r="FZ65" s="12">
        <f>IF('Données projet'!$A$244&gt;35,FZ64+FY65-GH64,IF(A65&lt;'Données projet'!$A$244,$FW$205^A65,IF(A65='Données projet'!$A$244,'Données projet'!$B$244,FZ64+FY65-GH64)))</f>
        <v>244.66858974358996</v>
      </c>
      <c r="GA65" s="17">
        <f>FZ65*VLOOKUP('Données projet'!$B$17,Paramètres!$A$1:$I$89,3,0)*VLOOKUP('Données projet'!$B$17,Paramètres!$A$1:$I$89,5,0)</f>
        <v>114.50490000000011</v>
      </c>
      <c r="GB65" s="13">
        <f t="shared" si="49"/>
        <v>30.389882066052234</v>
      </c>
      <c r="GC65" s="20">
        <f t="shared" si="25"/>
        <v>252.35841209837443</v>
      </c>
      <c r="GD65" s="59">
        <f t="shared" si="26"/>
        <v>545.69174543170777</v>
      </c>
      <c r="GE65" s="59">
        <f ca="1">AVERAGE(OFFSET($GD$3,0,0,'Données projet'!$E$17+1,1))-AVERAGE(OFFSET($H$3,0,0,'Données projet'!$E$17+1,1))</f>
        <v>123.2823358462245</v>
      </c>
      <c r="GF65" s="59">
        <f t="shared" si="50"/>
        <v>92.75115399786057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0</v>
      </c>
      <c r="GM65" s="21">
        <f>EXP(-LN(2)/25)*GM64+(1-EXP(-LN(2)/25))/(LN(2)/25)*Calculateur!GH65*Calculateur!GJ65*VLOOKUP('Données projet'!$B$17,Paramètres!$A$1:$I$89,3,0)*0.475*44/12</f>
        <v>0</v>
      </c>
      <c r="GN65" s="21">
        <f>EXP(-LN(2)/2)*GN64+(1-EXP(-LN(2)/2))/(LN(2)/2)*GH65*GK65*VLOOKUP('Données projet'!$B$17,Paramètres!$A$1:$I$89,3,0)*0.475*44/12</f>
        <v>0</v>
      </c>
      <c r="GO65" s="21">
        <f t="shared" si="27"/>
        <v>0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-2.8421709430404007E-13</v>
      </c>
      <c r="GV65" s="17">
        <f>GU65*VLOOKUP('Données projet'!$B$18,Paramètres!$A$1:$I$89,3,0)*VLOOKUP('Données projet'!$B$18,Paramètres!$A$1:$I$89,5,0)</f>
        <v>-1.69961822393816E-13</v>
      </c>
      <c r="GW65" s="13" t="e">
        <f t="shared" si="51"/>
        <v>#NUM!</v>
      </c>
      <c r="GX65" s="20" t="e">
        <f t="shared" si="28"/>
        <v>#NUM!</v>
      </c>
      <c r="GY65" s="59" t="e">
        <f t="shared" si="29"/>
        <v>#NUM!</v>
      </c>
      <c r="GZ65" s="59">
        <f ca="1">AVERAGE(OFFSET($GY$3,0,0,'Données projet'!$E$18+1,1))-AVERAGE(OFFSET($H$3,0,0,'Données projet'!$E$18+1,1))</f>
        <v>171.96009656745713</v>
      </c>
      <c r="HA65" s="59">
        <f t="shared" si="52"/>
        <v>172.37574906747716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>
        <f>EXP(-LN(2)/35)*HG64+(1-EXP(-LN(2)/35))/(LN(2)/35)*HC65*HD65*VLOOKUP('Données projet'!$B$18,Paramètres!$A$1:$I$89,3,0)*0.475*44/12</f>
        <v>0.88507857785168742</v>
      </c>
      <c r="HH65" s="21">
        <f>EXP(-LN(2)/25)*HH64+(1-EXP(-LN(2)/25))/(LN(2)/25)*Calculateur!HC65*Calculateur!HE65*VLOOKUP('Données projet'!$B$18,Paramètres!$A$1:$I$89,3,0)*0.475*44/12</f>
        <v>8.4652681315324401</v>
      </c>
      <c r="HI65" s="21">
        <f>EXP(-LN(2)/2)*HI64+(1-EXP(-LN(2)/2))/(LN(2)/2)*HC65*HF65*VLOOKUP('Données projet'!$B$18,Paramètres!$A$1:$I$89,3,0)*0.475*44/12</f>
        <v>1.8378633544504047E-4</v>
      </c>
      <c r="HJ65" s="22">
        <f t="shared" si="30"/>
        <v>9.3505304957195712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-2.2737367544323206E-13</v>
      </c>
      <c r="O66" s="13">
        <f>N66*VLOOKUP('Données projet'!$B$9,Paramètres!$A$1:$I$89,3,0)*VLOOKUP('Données projet'!$B$9,Paramètres!$A$1:$I$89,5,0)</f>
        <v>-1.2710188457276673E-13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255.5374979188561</v>
      </c>
      <c r="T66" s="59">
        <f t="shared" si="34"/>
        <v>343.10418468620901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1.6074443210223974</v>
      </c>
      <c r="AA66" s="21">
        <f>EXP(-LN(2)/25)*AA65+(1-EXP(-LN(2)/25))/(LN(2)/25)*Calculateur!V66*Calculateur!X66*VLOOKUP('Données projet'!$B$9,Paramètres!$A$1:$I$89,3,0)*0.475*44/12</f>
        <v>6.3926414138912229</v>
      </c>
      <c r="AB66" s="21">
        <f>EXP(-LN(2)/2)*AB65+(1-EXP(-LN(2)/2))/(LN(2)/2)*V66*Y66*VLOOKUP('Données projet'!$B$9,Paramètres!$A$1:$I$89,3,0)*0.475*44/12</f>
        <v>1.8263027398246474E-5</v>
      </c>
      <c r="AC66" s="22">
        <f t="shared" si="3"/>
        <v>8.000103997941018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>
        <f>VLOOKUP(A66,'Données projet'!$A$61:$I$81,2,0)</f>
        <v>375.17692307692306</v>
      </c>
      <c r="AG66" s="12">
        <f>VLOOKUP(A66,'Données projet'!$A$61:$I$81,9,0)</f>
        <v>14.270329670329668</v>
      </c>
      <c r="AH66" s="12">
        <f t="array" ref="AH66">INDEX(AG:AG,MIN(IF(ISNUMBER(AG66:AG262),ROW(AG66:AG262),"")))</f>
        <v>14.270329670329668</v>
      </c>
      <c r="AI66" s="13">
        <f>IF('Données projet'!$A$62&gt;35,AI65+AH66-AQ65,IF(A66&lt;'Données projet'!$A$62,$AF$205^A66,IF(A66='Données projet'!$A$62,'Données projet'!$B$62,AI65+AH66-AQ65)))</f>
        <v>375.176923076923</v>
      </c>
      <c r="AJ66" s="13">
        <f>AI66*VLOOKUP('Données projet'!$B$10,Paramètres!$A$1:$I$89,3,0)*VLOOKUP('Données projet'!$B$10,Paramètres!$A$1:$I$89,5,0)</f>
        <v>175.58279999999996</v>
      </c>
      <c r="AK66" s="13">
        <f t="shared" si="35"/>
        <v>44.338023977070598</v>
      </c>
      <c r="AL66" s="20">
        <f t="shared" si="4"/>
        <v>383.02876842673123</v>
      </c>
      <c r="AM66" s="59">
        <f t="shared" si="5"/>
        <v>676.36210176006455</v>
      </c>
      <c r="AN66" s="59">
        <f ca="1">AVERAGE(OFFSET($AM$3,0,0,'Données projet'!$E$10+1,1))-AVERAGE(OFFSET($H$3,0,0,'Données projet'!$E$10+1,1))</f>
        <v>158.58786357608489</v>
      </c>
      <c r="AO66" s="59">
        <f t="shared" si="36"/>
        <v>163.20074068819849</v>
      </c>
      <c r="AP66" s="15">
        <f>IF(ISNA(VLOOKUP(A66,'Données projet'!$A$61:$I$81,3,0)),0,VLOOKUP(A66,'Données projet'!$A$61:$I$81,3,0))</f>
        <v>4</v>
      </c>
      <c r="AQ66" s="15">
        <f>IF(ISNA(VLOOKUP(A66,'Données projet'!$A$61:$I$81,4,0)),0,VLOOKUP(A66,'Données projet'!$A$61:$I$81,4,0))</f>
        <v>71.123076923076923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-1.7053025658242404E-13</v>
      </c>
      <c r="BE66" s="13">
        <f>BD66*VLOOKUP('Données projet'!$B$11,Paramètres!$A$1:$I$89,3,0)*VLOOKUP('Données projet'!$B$11,Paramètres!$A$1:$I$89,5,0)</f>
        <v>-1.0197709343628959E-13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243.85350804244348</v>
      </c>
      <c r="BJ66" s="59">
        <f t="shared" si="38"/>
        <v>304.60992308960545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2.3543473914992181</v>
      </c>
      <c r="BQ66" s="21">
        <f>EXP(-LN(2)/25)*BQ65+(1-EXP(-LN(2)/25))/(LN(2)/25)*Calculateur!BL66*Calculateur!BN66*VLOOKUP('Données projet'!$B$11,Paramètres!$A$1:$I$89,3,0)*0.475*44/12</f>
        <v>7.1010441797895156</v>
      </c>
      <c r="BR66" s="21">
        <f>EXP(-LN(2)/2)*BR65+(1-EXP(-LN(2)/2))/(LN(2)/2)*BL66*BO66*VLOOKUP('Données projet'!$B$11,Paramètres!$A$1:$I$89,3,0)*0.475*44/12</f>
        <v>4.033394358894741E-5</v>
      </c>
      <c r="BS66" s="22">
        <f t="shared" si="9"/>
        <v>9.4554319052323237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14.1</v>
      </c>
      <c r="BY66" s="12">
        <f>IF('Données projet'!$A$114&gt;35,BY65+BX66-CG65,IF(A66&lt;'Données projet'!$A$114,$BV$205^A66,IF(A66='Données projet'!$A$114,'Données projet'!$B$114,BY65+BX66-CG65)))</f>
        <v>399.30000000000013</v>
      </c>
      <c r="BZ66" s="13">
        <f>BY66*VLOOKUP('Données projet'!$B$12,Paramètres!$A$1:$I$89,3,0)*VLOOKUP('Données projet'!$B$12,Paramètres!$A$1:$I$89,5,0)</f>
        <v>238.78140000000008</v>
      </c>
      <c r="CA66" s="13">
        <f t="shared" si="39"/>
        <v>58.177265129918027</v>
      </c>
      <c r="CB66" s="20">
        <f t="shared" si="10"/>
        <v>517.20300843460734</v>
      </c>
      <c r="CC66" s="59">
        <f t="shared" si="11"/>
        <v>810.53634176794071</v>
      </c>
      <c r="CD66" s="59">
        <f ca="1">AVERAGE(OFFSET($CC$3,0,0,'Données projet'!$E$12+1,1))-AVERAGE(OFFSET($H$3,0,0,'Données projet'!$E$12+1,1))</f>
        <v>270.30888762640245</v>
      </c>
      <c r="CE66" s="59">
        <f t="shared" si="40"/>
        <v>202.23783851977691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1.1142047945841134</v>
      </c>
      <c r="CL66" s="21">
        <f>EXP(-LN(2)/25)*CL65+(1-EXP(-LN(2)/25))/(LN(2)/25)*Calculateur!CG66*Calculateur!CI66*VLOOKUP('Données projet'!$B$12,Paramètres!$A$1:$I$89,3,0)*0.475*44/12</f>
        <v>4.924660452737907</v>
      </c>
      <c r="CM66" s="21">
        <f>EXP(-LN(2)/2)*CM65+(1-EXP(-LN(2)/2))/(LN(2)/2)*CG66*CJ66*VLOOKUP('Données projet'!$B$12,Paramètres!$A$1:$I$89,3,0)*0.475*44/12</f>
        <v>1.9952772420221357E-4</v>
      </c>
      <c r="CN66" s="22">
        <f t="shared" si="12"/>
        <v>6.0390647750462225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4.9000000000000004</v>
      </c>
      <c r="CT66" s="12">
        <f>IF('Données projet'!$A$140&gt;35,CT65+CS66-DB65,IF(A66&lt;'Données projet'!$A$140,$CQ$205^A66,IF(A66='Données projet'!$A$140,'Données projet'!$B$140,CT65+CS66-DB65)))</f>
        <v>294.69999999999987</v>
      </c>
      <c r="CU66" s="17">
        <f>CT66*VLOOKUP('Données projet'!$B$13,Paramètres!$A$1:$I$89,3,0)*VLOOKUP('Données projet'!$B$13,Paramètres!$A$1:$I$89,5,0)</f>
        <v>234.46331999999992</v>
      </c>
      <c r="CV66" s="13">
        <f t="shared" si="41"/>
        <v>57.24667349069928</v>
      </c>
      <c r="CW66" s="20">
        <f t="shared" si="13"/>
        <v>508.06157199630115</v>
      </c>
      <c r="CX66" s="59">
        <f t="shared" si="14"/>
        <v>801.39490532963441</v>
      </c>
      <c r="CY66" s="59">
        <f ca="1">AVERAGE(OFFSET($CX$3,0,0,'Données projet'!$E$13+1,1))-AVERAGE(OFFSET($H$3,0,0,'Données projet'!$E$13+1,1))</f>
        <v>260.20517190557814</v>
      </c>
      <c r="CZ66" s="59">
        <f t="shared" si="42"/>
        <v>307.22009971147133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1.6974129563869573</v>
      </c>
      <c r="DG66" s="21">
        <f>EXP(-LN(2)/25)*DG65+(1-EXP(-LN(2)/25))/(LN(2)/25)*Calculateur!DB66*Calculateur!DD66*VLOOKUP('Données projet'!$B$13,Paramètres!$A$1:$I$89,3,0)*0.475*44/12</f>
        <v>8.2188178214704042</v>
      </c>
      <c r="DH66" s="21">
        <f>EXP(-LN(2)/2)*DH65+(1-EXP(-LN(2)/2))/(LN(2)/2)*DB66*DE66*VLOOKUP('Données projet'!$B$13,Paramètres!$A$1:$I$89,3,0)*0.475*44/12</f>
        <v>2.5937140095978344E-4</v>
      </c>
      <c r="DI66" s="22">
        <f t="shared" si="15"/>
        <v>9.9164901492583208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>
        <f>VLOOKUP(A66,'Données projet'!$A$165:$I$185,2,0)</f>
        <v>220.28846153846152</v>
      </c>
      <c r="DM66" s="12">
        <f>VLOOKUP(A66,'Données projet'!$A$165:$I$185,9,0)</f>
        <v>8.374198717948719</v>
      </c>
      <c r="DN66" s="12">
        <f t="array" ref="DN66">INDEX(DM:DM,MIN(IF(ISNUMBER(DM66:DM262),ROW(DM66:DM262),"")))</f>
        <v>8.374198717948719</v>
      </c>
      <c r="DO66" s="12">
        <f>IF('Données projet'!$A$166&gt;35,DO65+DN66-DW65,IF(A66&lt;'Données projet'!$A$166,$DL$205^A66,IF(A66='Données projet'!$A$166,'Données projet'!$B$166,DO65+DN66-DW65)))</f>
        <v>220.2884615384616</v>
      </c>
      <c r="DP66" s="17">
        <f>DO66*VLOOKUP('Données projet'!$B$14,Paramètres!$A$1:$I$89,3,0)*VLOOKUP('Données projet'!$B$14,Paramètres!$A$1:$I$89,5,0)</f>
        <v>223.37250000000009</v>
      </c>
      <c r="DQ66" s="13">
        <f t="shared" si="43"/>
        <v>54.84723166915564</v>
      </c>
      <c r="DR66" s="20">
        <f t="shared" si="16"/>
        <v>484.56603265711283</v>
      </c>
      <c r="DS66" s="59">
        <f t="shared" si="17"/>
        <v>777.89936599044609</v>
      </c>
      <c r="DT66" s="59">
        <f ca="1">AVERAGE(OFFSET($DS$3,0,0,'Données projet'!$E$14+1,1))-AVERAGE(OFFSET($H$3,0,0,'Données projet'!$E$14+1,1))</f>
        <v>263.15518481854753</v>
      </c>
      <c r="DU66" s="59">
        <f t="shared" si="44"/>
        <v>210.80755370263819</v>
      </c>
      <c r="DV66" s="15">
        <f>IF(ISNA(VLOOKUP(A66,'Données projet'!$A$165:$I$185,3,0)),0,VLOOKUP(A66,'Données projet'!$A$165:$I$185,3,0))</f>
        <v>5</v>
      </c>
      <c r="DW66" s="15">
        <f>IF(ISNA(VLOOKUP(A66,'Données projet'!$A$165:$I$185,4,0)),0,VLOOKUP(A66,'Données projet'!$A$165:$I$185,4,0))</f>
        <v>41.724358974358978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0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4.9000000000000004</v>
      </c>
      <c r="EJ66" s="12">
        <f>IF('Données projet'!$A$192&gt;35,EJ65+EI66-ER65,IF(A66&lt;'Données projet'!$A$192,$EG$205^A66,IF(A66='Données projet'!$A$192,'Données projet'!$B$192,EJ65+EI66-ER65)))</f>
        <v>294.69999999999987</v>
      </c>
      <c r="EK66" s="17">
        <f>EJ66*VLOOKUP('Données projet'!$B$15,Paramètres!$A$1:$I$89,3,0)*VLOOKUP('Données projet'!$B$15,Paramètres!$A$1:$I$89,5,0)</f>
        <v>197.68475999999993</v>
      </c>
      <c r="EL66" s="13">
        <f t="shared" si="45"/>
        <v>49.235003753287103</v>
      </c>
      <c r="EM66" s="20">
        <f t="shared" si="19"/>
        <v>430.05192187030821</v>
      </c>
      <c r="EN66" s="59">
        <f t="shared" si="20"/>
        <v>723.38525520364146</v>
      </c>
      <c r="EO66" s="59">
        <f ca="1">AVERAGE(OFFSET($EN$3,0,0,'Données projet'!$E$15+1,1))-AVERAGE(OFFSET($H$3,0,0,'Données projet'!$E$15+1,1))</f>
        <v>207.93042467236967</v>
      </c>
      <c r="EP66" s="59">
        <f t="shared" si="46"/>
        <v>250.70954318710835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1.4311521004831202</v>
      </c>
      <c r="EW66" s="21">
        <f>EXP(-LN(2)/25)*EW65+(1-EXP(-LN(2)/25))/(LN(2)/25)*Calculateur!ER66*Calculateur!ET66*VLOOKUP('Données projet'!$B$15,Paramètres!$A$1:$I$89,3,0)*0.475*44/12</f>
        <v>6.9295914965338765</v>
      </c>
      <c r="EX66" s="21">
        <f>EXP(-LN(2)/2)*EX65+(1-EXP(-LN(2)/2))/(LN(2)/2)*ER66*EU66*VLOOKUP('Données projet'!$B$15,Paramètres!$A$1:$I$89,3,0)*0.475*44/12</f>
        <v>2.1868569100530759E-4</v>
      </c>
      <c r="EY66" s="22">
        <f t="shared" si="21"/>
        <v>8.3609622827080017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>
        <f>VLOOKUP(A66,'Données projet'!$A$217:$I$237,2,0)</f>
        <v>220.28846153846152</v>
      </c>
      <c r="FC66" s="12">
        <f>VLOOKUP(A66,'Données projet'!$A$217:$I$237,9,0)</f>
        <v>8.374198717948719</v>
      </c>
      <c r="FD66" s="12">
        <f t="array" ref="FD66">INDEX(FC:FC,MIN(IF(ISNUMBER(FC66:FC262),ROW(FC66:FC262),"")))</f>
        <v>8.374198717948719</v>
      </c>
      <c r="FE66" s="12">
        <f>IF('Données projet'!$A$218&gt;35,FE65+FD66-FM65,IF(A66&lt;'Données projet'!$A$218,$FB$205^A66,IF(A66='Données projet'!$A$218,'Données projet'!$B$218,FE65+FD66-FM65)))</f>
        <v>220.2884615384616</v>
      </c>
      <c r="FF66" s="17">
        <f>FE66*VLOOKUP('Données projet'!$B$16,Paramètres!$A$1:$I$89,3,0)*VLOOKUP('Données projet'!$B$16,Paramètres!$A$1:$I$89,5,0)</f>
        <v>237.11850000000007</v>
      </c>
      <c r="FG66" s="13">
        <f t="shared" si="47"/>
        <v>57.819126560655327</v>
      </c>
      <c r="FH66" s="20">
        <f t="shared" si="22"/>
        <v>513.68303292647488</v>
      </c>
      <c r="FI66" s="59">
        <f t="shared" si="23"/>
        <v>807.01636625980814</v>
      </c>
      <c r="FJ66" s="59">
        <f ca="1">AVERAGE(OFFSET($FI$3,0,0,'Données projet'!$E$16+1,1))-AVERAGE(OFFSET($H$3,0,0,'Données projet'!$E$16+1,1))</f>
        <v>286.77702855541287</v>
      </c>
      <c r="FK66" s="59">
        <f t="shared" si="48"/>
        <v>227.12211541860779</v>
      </c>
      <c r="FL66" s="15">
        <f>IF(ISNA(VLOOKUP(A66,'Données projet'!$A$217:$I$237,3,0)),0,VLOOKUP(A66,'Données projet'!$A$217:$I$237,3,0))</f>
        <v>5</v>
      </c>
      <c r="FM66" s="15">
        <f>IF(ISNA(VLOOKUP(A66,'Données projet'!$A$217:$I$237,4,0)),0,VLOOKUP(A66,'Données projet'!$A$217:$I$237,4,0))</f>
        <v>41.724358974358978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0</v>
      </c>
      <c r="FR66" s="21">
        <f>EXP(-LN(2)/25)*FR65+(1-EXP(-LN(2)/25))/(LN(2)/25)*Calculateur!FM66*Calculateur!FO66*VLOOKUP('Données projet'!$B$16,Paramètres!$A$1:$I$89,3,0)*0.475*44/12</f>
        <v>0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0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10.314743589743586</v>
      </c>
      <c r="FZ66" s="12">
        <f>IF('Données projet'!$A$244&gt;35,FZ65+FY66-GH65,IF(A66&lt;'Données projet'!$A$244,$FW$205^A66,IF(A66='Données projet'!$A$244,'Données projet'!$B$244,FZ65+FY66-GH65)))</f>
        <v>254.98333333333355</v>
      </c>
      <c r="GA66" s="17">
        <f>FZ66*VLOOKUP('Données projet'!$B$17,Paramètres!$A$1:$I$89,3,0)*VLOOKUP('Données projet'!$B$17,Paramètres!$A$1:$I$89,5,0)</f>
        <v>119.33220000000009</v>
      </c>
      <c r="GB66" s="13">
        <f t="shared" si="49"/>
        <v>31.519195359992793</v>
      </c>
      <c r="GC66" s="20">
        <f t="shared" si="25"/>
        <v>262.73284691865422</v>
      </c>
      <c r="GD66" s="59">
        <f t="shared" si="26"/>
        <v>556.06618025198759</v>
      </c>
      <c r="GE66" s="59">
        <f ca="1">AVERAGE(OFFSET($GD$3,0,0,'Données projet'!$E$17+1,1))-AVERAGE(OFFSET($H$3,0,0,'Données projet'!$E$17+1,1))</f>
        <v>123.2823358462245</v>
      </c>
      <c r="GF66" s="59">
        <f t="shared" si="50"/>
        <v>92.75115399786057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0</v>
      </c>
      <c r="GM66" s="21">
        <f>EXP(-LN(2)/25)*GM65+(1-EXP(-LN(2)/25))/(LN(2)/25)*Calculateur!GH66*Calculateur!GJ66*VLOOKUP('Données projet'!$B$17,Paramètres!$A$1:$I$89,3,0)*0.475*44/12</f>
        <v>0</v>
      </c>
      <c r="GN66" s="21">
        <f>EXP(-LN(2)/2)*GN65+(1-EXP(-LN(2)/2))/(LN(2)/2)*GH66*GK66*VLOOKUP('Données projet'!$B$17,Paramètres!$A$1:$I$89,3,0)*0.475*44/12</f>
        <v>0</v>
      </c>
      <c r="GO66" s="21">
        <f t="shared" si="27"/>
        <v>0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-2.8421709430404007E-13</v>
      </c>
      <c r="GV66" s="17">
        <f>GU66*VLOOKUP('Données projet'!$B$18,Paramètres!$A$1:$I$89,3,0)*VLOOKUP('Données projet'!$B$18,Paramètres!$A$1:$I$89,5,0)</f>
        <v>-1.69961822393816E-13</v>
      </c>
      <c r="GW66" s="13" t="e">
        <f t="shared" si="51"/>
        <v>#NUM!</v>
      </c>
      <c r="GX66" s="20" t="e">
        <f t="shared" si="28"/>
        <v>#NUM!</v>
      </c>
      <c r="GY66" s="59" t="e">
        <f t="shared" si="29"/>
        <v>#NUM!</v>
      </c>
      <c r="GZ66" s="59">
        <f ca="1">AVERAGE(OFFSET($GY$3,0,0,'Données projet'!$E$18+1,1))-AVERAGE(OFFSET($H$3,0,0,'Données projet'!$E$18+1,1))</f>
        <v>171.96009656745713</v>
      </c>
      <c r="HA66" s="59">
        <f t="shared" si="52"/>
        <v>172.37574906747716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>
        <f>EXP(-LN(2)/35)*HG65+(1-EXP(-LN(2)/35))/(LN(2)/35)*HC66*HD66*VLOOKUP('Données projet'!$B$18,Paramètres!$A$1:$I$89,3,0)*0.475*44/12</f>
        <v>0.86772272678464313</v>
      </c>
      <c r="HH66" s="21">
        <f>EXP(-LN(2)/25)*HH65+(1-EXP(-LN(2)/25))/(LN(2)/25)*Calculateur!HC66*Calculateur!HE66*VLOOKUP('Données projet'!$B$18,Paramètres!$A$1:$I$89,3,0)*0.475*44/12</f>
        <v>8.2337849293065819</v>
      </c>
      <c r="HI66" s="21">
        <f>EXP(-LN(2)/2)*HI65+(1-EXP(-LN(2)/2))/(LN(2)/2)*HC66*HF66*VLOOKUP('Données projet'!$B$18,Paramètres!$A$1:$I$89,3,0)*0.475*44/12</f>
        <v>1.2995656408261365E-4</v>
      </c>
      <c r="HJ66" s="22">
        <f t="shared" si="30"/>
        <v>9.101637612655308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-2.2737367544323206E-13</v>
      </c>
      <c r="O67" s="13">
        <f>N67*VLOOKUP('Données projet'!$B$9,Paramètres!$A$1:$I$89,3,0)*VLOOKUP('Données projet'!$B$9,Paramètres!$A$1:$I$89,5,0)</f>
        <v>-1.2710188457276673E-13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255.5374979188561</v>
      </c>
      <c r="T67" s="59">
        <f t="shared" si="34"/>
        <v>343.10418468620901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1.5759233183313732</v>
      </c>
      <c r="AA67" s="21">
        <f>EXP(-LN(2)/25)*AA66+(1-EXP(-LN(2)/25))/(LN(2)/25)*Calculateur!V67*Calculateur!X67*VLOOKUP('Données projet'!$B$9,Paramètres!$A$1:$I$89,3,0)*0.475*44/12</f>
        <v>6.2178342982539663</v>
      </c>
      <c r="AB67" s="21">
        <f>EXP(-LN(2)/2)*AB66+(1-EXP(-LN(2)/2))/(LN(2)/2)*V67*Y67*VLOOKUP('Données projet'!$B$9,Paramètres!$A$1:$I$89,3,0)*0.475*44/12</f>
        <v>1.2913910518295792E-5</v>
      </c>
      <c r="AC67" s="22">
        <f t="shared" si="3"/>
        <v>7.7937705304958582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13.737499999999997</v>
      </c>
      <c r="AI67" s="13">
        <f>IF('Données projet'!$A$62&gt;35,AI66+AH67-AQ66,IF(A67&lt;'Données projet'!$A$62,$AF$205^A67,IF(A67='Données projet'!$A$62,'Données projet'!$B$62,AI66+AH67-AQ66)))</f>
        <v>317.79134615384612</v>
      </c>
      <c r="AJ67" s="13">
        <f>AI67*VLOOKUP('Données projet'!$B$10,Paramètres!$A$1:$I$89,3,0)*VLOOKUP('Données projet'!$B$10,Paramètres!$A$1:$I$89,5,0)</f>
        <v>148.72635</v>
      </c>
      <c r="AK67" s="13">
        <f t="shared" si="35"/>
        <v>38.289000598915827</v>
      </c>
      <c r="AL67" s="20">
        <f t="shared" si="4"/>
        <v>325.71840229311169</v>
      </c>
      <c r="AM67" s="59">
        <f t="shared" si="5"/>
        <v>619.05173562644495</v>
      </c>
      <c r="AN67" s="59">
        <f ca="1">AVERAGE(OFFSET($AM$3,0,0,'Données projet'!$E$10+1,1))-AVERAGE(OFFSET($H$3,0,0,'Données projet'!$E$10+1,1))</f>
        <v>158.58786357608489</v>
      </c>
      <c r="AO67" s="59">
        <f t="shared" si="36"/>
        <v>163.20074068819849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-1.7053025658242404E-13</v>
      </c>
      <c r="BE67" s="13">
        <f>BD67*VLOOKUP('Données projet'!$B$11,Paramètres!$A$1:$I$89,3,0)*VLOOKUP('Données projet'!$B$11,Paramètres!$A$1:$I$89,5,0)</f>
        <v>-1.0197709343628959E-13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243.85350804244348</v>
      </c>
      <c r="BJ67" s="59">
        <f t="shared" si="38"/>
        <v>304.60992308960545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2.3081800751620332</v>
      </c>
      <c r="BQ67" s="21">
        <f>EXP(-LN(2)/25)*BQ66+(1-EXP(-LN(2)/25))/(LN(2)/25)*Calculateur!BL67*Calculateur!BN67*VLOOKUP('Données projet'!$B$11,Paramètres!$A$1:$I$89,3,0)*0.475*44/12</f>
        <v>6.9068657532654871</v>
      </c>
      <c r="BR67" s="21">
        <f>EXP(-LN(2)/2)*BR66+(1-EXP(-LN(2)/2))/(LN(2)/2)*BL67*BO67*VLOOKUP('Données projet'!$B$11,Paramètres!$A$1:$I$89,3,0)*0.475*44/12</f>
        <v>2.8520405023740388E-5</v>
      </c>
      <c r="BS67" s="22">
        <f t="shared" si="9"/>
        <v>9.2150743488325446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14.1</v>
      </c>
      <c r="BY67" s="12">
        <f>IF('Données projet'!$A$114&gt;35,BY66+BX67-CG66,IF(A67&lt;'Données projet'!$A$114,$BV$205^A67,IF(A67='Données projet'!$A$114,'Données projet'!$B$114,BY66+BX67-CG66)))</f>
        <v>413.40000000000015</v>
      </c>
      <c r="BZ67" s="13">
        <f>BY67*VLOOKUP('Données projet'!$B$12,Paramètres!$A$1:$I$89,3,0)*VLOOKUP('Données projet'!$B$12,Paramètres!$A$1:$I$89,5,0)</f>
        <v>247.21320000000011</v>
      </c>
      <c r="CA67" s="13">
        <f t="shared" si="39"/>
        <v>59.988800807398761</v>
      </c>
      <c r="CB67" s="20">
        <f t="shared" si="10"/>
        <v>535.04348473955304</v>
      </c>
      <c r="CC67" s="59">
        <f t="shared" si="11"/>
        <v>828.37681807288641</v>
      </c>
      <c r="CD67" s="59">
        <f ca="1">AVERAGE(OFFSET($CC$3,0,0,'Données projet'!$E$12+1,1))-AVERAGE(OFFSET($H$3,0,0,'Données projet'!$E$12+1,1))</f>
        <v>270.30888762640245</v>
      </c>
      <c r="CE67" s="59">
        <f t="shared" si="40"/>
        <v>202.23783851977691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1.092355918160139</v>
      </c>
      <c r="CL67" s="21">
        <f>EXP(-LN(2)/25)*CL66+(1-EXP(-LN(2)/25))/(LN(2)/25)*Calculateur!CG67*Calculateur!CI67*VLOOKUP('Données projet'!$B$12,Paramètres!$A$1:$I$89,3,0)*0.475*44/12</f>
        <v>4.7899953536811513</v>
      </c>
      <c r="CM67" s="21">
        <f>EXP(-LN(2)/2)*CM66+(1-EXP(-LN(2)/2))/(LN(2)/2)*CG67*CJ67*VLOOKUP('Données projet'!$B$12,Paramètres!$A$1:$I$89,3,0)*0.475*44/12</f>
        <v>1.4108740681810443E-4</v>
      </c>
      <c r="CN67" s="22">
        <f t="shared" si="12"/>
        <v>5.8824923592481086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4.9000000000000004</v>
      </c>
      <c r="CT67" s="12">
        <f>IF('Données projet'!$A$140&gt;35,CT66+CS67-DB66,IF(A67&lt;'Données projet'!$A$140,$CQ$205^A67,IF(A67='Données projet'!$A$140,'Données projet'!$B$140,CT66+CS67-DB66)))</f>
        <v>299.59999999999985</v>
      </c>
      <c r="CU67" s="17">
        <f>CT67*VLOOKUP('Données projet'!$B$13,Paramètres!$A$1:$I$89,3,0)*VLOOKUP('Données projet'!$B$13,Paramètres!$A$1:$I$89,5,0)</f>
        <v>238.36175999999992</v>
      </c>
      <c r="CV67" s="13">
        <f t="shared" si="41"/>
        <v>58.086914779719031</v>
      </c>
      <c r="CW67" s="20">
        <f t="shared" si="13"/>
        <v>516.3147752413438</v>
      </c>
      <c r="CX67" s="59">
        <f t="shared" si="14"/>
        <v>809.64810857467705</v>
      </c>
      <c r="CY67" s="59">
        <f ca="1">AVERAGE(OFFSET($CX$3,0,0,'Données projet'!$E$13+1,1))-AVERAGE(OFFSET($H$3,0,0,'Données projet'!$E$13+1,1))</f>
        <v>260.20517190557814</v>
      </c>
      <c r="CZ67" s="59">
        <f t="shared" si="42"/>
        <v>307.22009971147133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1.6641277236318832</v>
      </c>
      <c r="DG67" s="21">
        <f>EXP(-LN(2)/25)*DG66+(1-EXP(-LN(2)/25))/(LN(2)/25)*Calculateur!DB67*Calculateur!DD67*VLOOKUP('Données projet'!$B$13,Paramètres!$A$1:$I$89,3,0)*0.475*44/12</f>
        <v>7.9940738159334508</v>
      </c>
      <c r="DH67" s="21">
        <f>EXP(-LN(2)/2)*DH66+(1-EXP(-LN(2)/2))/(LN(2)/2)*DB67*DE67*VLOOKUP('Données projet'!$B$13,Paramètres!$A$1:$I$89,3,0)*0.475*44/12</f>
        <v>1.8340327646451787E-4</v>
      </c>
      <c r="DI67" s="22">
        <f t="shared" si="15"/>
        <v>9.6583849428417992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8.1001602564102555</v>
      </c>
      <c r="DO67" s="12">
        <f>IF('Données projet'!$A$166&gt;35,DO66+DN67-DW66,IF(A67&lt;'Données projet'!$A$166,$DL$205^A67,IF(A67='Données projet'!$A$166,'Données projet'!$B$166,DO66+DN67-DW66)))</f>
        <v>186.66426282051287</v>
      </c>
      <c r="DP67" s="17">
        <f>DO67*VLOOKUP('Données projet'!$B$14,Paramètres!$A$1:$I$89,3,0)*VLOOKUP('Données projet'!$B$14,Paramètres!$A$1:$I$89,5,0)</f>
        <v>189.27756250000004</v>
      </c>
      <c r="DQ67" s="13">
        <f t="shared" si="43"/>
        <v>47.380196781958283</v>
      </c>
      <c r="DR67" s="20">
        <f t="shared" si="16"/>
        <v>412.17893074941077</v>
      </c>
      <c r="DS67" s="59">
        <f t="shared" si="17"/>
        <v>705.51226408274408</v>
      </c>
      <c r="DT67" s="59">
        <f ca="1">AVERAGE(OFFSET($DS$3,0,0,'Données projet'!$E$14+1,1))-AVERAGE(OFFSET($H$3,0,0,'Données projet'!$E$14+1,1))</f>
        <v>263.15518481854753</v>
      </c>
      <c r="DU67" s="59">
        <f t="shared" si="44"/>
        <v>210.80755370263819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0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4.9000000000000004</v>
      </c>
      <c r="EJ67" s="12">
        <f>IF('Données projet'!$A$192&gt;35,EJ66+EI67-ER66,IF(A67&lt;'Données projet'!$A$192,$EG$205^A67,IF(A67='Données projet'!$A$192,'Données projet'!$B$192,EJ66+EI67-ER66)))</f>
        <v>299.59999999999985</v>
      </c>
      <c r="EK67" s="17">
        <f>EJ67*VLOOKUP('Données projet'!$B$15,Paramètres!$A$1:$I$89,3,0)*VLOOKUP('Données projet'!$B$15,Paramètres!$A$1:$I$89,5,0)</f>
        <v>200.97167999999994</v>
      </c>
      <c r="EL67" s="13">
        <f t="shared" si="45"/>
        <v>49.957653306457651</v>
      </c>
      <c r="EM67" s="20">
        <f t="shared" si="19"/>
        <v>437.03525550874696</v>
      </c>
      <c r="EN67" s="59">
        <f t="shared" si="20"/>
        <v>730.36858884208027</v>
      </c>
      <c r="EO67" s="59">
        <f ca="1">AVERAGE(OFFSET($EN$3,0,0,'Données projet'!$E$15+1,1))-AVERAGE(OFFSET($H$3,0,0,'Données projet'!$E$15+1,1))</f>
        <v>207.93042467236967</v>
      </c>
      <c r="EP67" s="59">
        <f t="shared" si="46"/>
        <v>250.70954318710835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1.4030880807092343</v>
      </c>
      <c r="EW67" s="21">
        <f>EXP(-LN(2)/25)*EW66+(1-EXP(-LN(2)/25))/(LN(2)/25)*Calculateur!ER67*Calculateur!ET67*VLOOKUP('Données projet'!$B$15,Paramètres!$A$1:$I$89,3,0)*0.475*44/12</f>
        <v>6.7401014526497782</v>
      </c>
      <c r="EX67" s="21">
        <f>EXP(-LN(2)/2)*EX66+(1-EXP(-LN(2)/2))/(LN(2)/2)*ER67*EU67*VLOOKUP('Données projet'!$B$15,Paramètres!$A$1:$I$89,3,0)*0.475*44/12</f>
        <v>1.5463413505831898E-4</v>
      </c>
      <c r="EY67" s="22">
        <f t="shared" si="21"/>
        <v>8.143344167494071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8.1001602564102555</v>
      </c>
      <c r="FE67" s="12">
        <f>IF('Données projet'!$A$218&gt;35,FE66+FD67-FM66,IF(A67&lt;'Données projet'!$A$218,$FB$205^A67,IF(A67='Données projet'!$A$218,'Données projet'!$B$218,FE66+FD67-FM66)))</f>
        <v>186.66426282051287</v>
      </c>
      <c r="FF67" s="17">
        <f>FE67*VLOOKUP('Données projet'!$B$16,Paramètres!$A$1:$I$89,3,0)*VLOOKUP('Données projet'!$B$16,Paramètres!$A$1:$I$89,5,0)</f>
        <v>200.92541250000005</v>
      </c>
      <c r="FG67" s="13">
        <f t="shared" si="47"/>
        <v>49.947490708913911</v>
      </c>
      <c r="FH67" s="20">
        <f t="shared" si="22"/>
        <v>436.93697308885839</v>
      </c>
      <c r="FI67" s="59">
        <f t="shared" si="23"/>
        <v>730.27030642219165</v>
      </c>
      <c r="FJ67" s="59">
        <f ca="1">AVERAGE(OFFSET($FI$3,0,0,'Données projet'!$E$16+1,1))-AVERAGE(OFFSET($H$3,0,0,'Données projet'!$E$16+1,1))</f>
        <v>286.77702855541287</v>
      </c>
      <c r="FK67" s="59">
        <f t="shared" si="48"/>
        <v>227.12211541860779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0</v>
      </c>
      <c r="FR67" s="21">
        <f>EXP(-LN(2)/25)*FR66+(1-EXP(-LN(2)/25))/(LN(2)/25)*Calculateur!FM67*Calculateur!FO67*VLOOKUP('Données projet'!$B$16,Paramètres!$A$1:$I$89,3,0)*0.475*44/12</f>
        <v>0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0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10.314743589743586</v>
      </c>
      <c r="FZ67" s="12">
        <f>IF('Données projet'!$A$244&gt;35,FZ66+FY67-GH66,IF(A67&lt;'Données projet'!$A$244,$FW$205^A67,IF(A67='Données projet'!$A$244,'Données projet'!$B$244,FZ66+FY67-GH66)))</f>
        <v>265.29807692307713</v>
      </c>
      <c r="GA67" s="17">
        <f>FZ67*VLOOKUP('Données projet'!$B$17,Paramètres!$A$1:$I$89,3,0)*VLOOKUP('Données projet'!$B$17,Paramètres!$A$1:$I$89,5,0)</f>
        <v>124.15950000000009</v>
      </c>
      <c r="GB67" s="13">
        <f t="shared" si="49"/>
        <v>32.643202044796318</v>
      </c>
      <c r="GC67" s="20">
        <f t="shared" si="25"/>
        <v>273.09803939468708</v>
      </c>
      <c r="GD67" s="59">
        <f t="shared" si="26"/>
        <v>566.43137272802039</v>
      </c>
      <c r="GE67" s="59">
        <f ca="1">AVERAGE(OFFSET($GD$3,0,0,'Données projet'!$E$17+1,1))-AVERAGE(OFFSET($H$3,0,0,'Données projet'!$E$17+1,1))</f>
        <v>123.2823358462245</v>
      </c>
      <c r="GF67" s="59">
        <f t="shared" si="50"/>
        <v>92.75115399786057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0</v>
      </c>
      <c r="GM67" s="21">
        <f>EXP(-LN(2)/25)*GM66+(1-EXP(-LN(2)/25))/(LN(2)/25)*Calculateur!GH67*Calculateur!GJ67*VLOOKUP('Données projet'!$B$17,Paramètres!$A$1:$I$89,3,0)*0.475*44/12</f>
        <v>0</v>
      </c>
      <c r="GN67" s="21">
        <f>EXP(-LN(2)/2)*GN66+(1-EXP(-LN(2)/2))/(LN(2)/2)*GH67*GK67*VLOOKUP('Données projet'!$B$17,Paramètres!$A$1:$I$89,3,0)*0.475*44/12</f>
        <v>0</v>
      </c>
      <c r="GO67" s="21">
        <f t="shared" si="27"/>
        <v>0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-2.8421709430404007E-13</v>
      </c>
      <c r="GV67" s="17">
        <f>GU67*VLOOKUP('Données projet'!$B$18,Paramètres!$A$1:$I$89,3,0)*VLOOKUP('Données projet'!$B$18,Paramètres!$A$1:$I$89,5,0)</f>
        <v>-1.69961822393816E-13</v>
      </c>
      <c r="GW67" s="13" t="e">
        <f t="shared" si="51"/>
        <v>#NUM!</v>
      </c>
      <c r="GX67" s="20" t="e">
        <f t="shared" si="28"/>
        <v>#NUM!</v>
      </c>
      <c r="GY67" s="59" t="e">
        <f t="shared" si="29"/>
        <v>#NUM!</v>
      </c>
      <c r="GZ67" s="59">
        <f ca="1">AVERAGE(OFFSET($GY$3,0,0,'Données projet'!$E$18+1,1))-AVERAGE(OFFSET($H$3,0,0,'Données projet'!$E$18+1,1))</f>
        <v>171.96009656745713</v>
      </c>
      <c r="HA67" s="59">
        <f t="shared" si="52"/>
        <v>172.37574906747716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>
        <f>EXP(-LN(2)/35)*HG66+(1-EXP(-LN(2)/35))/(LN(2)/35)*HC67*HD67*VLOOKUP('Données projet'!$B$18,Paramètres!$A$1:$I$89,3,0)*0.475*44/12</f>
        <v>0.85070721337099964</v>
      </c>
      <c r="HH67" s="21">
        <f>EXP(-LN(2)/25)*HH66+(1-EXP(-LN(2)/25))/(LN(2)/25)*Calculateur!HC67*Calculateur!HE67*VLOOKUP('Données projet'!$B$18,Paramètres!$A$1:$I$89,3,0)*0.475*44/12</f>
        <v>8.0086316474187633</v>
      </c>
      <c r="HI67" s="21">
        <f>EXP(-LN(2)/2)*HI66+(1-EXP(-LN(2)/2))/(LN(2)/2)*HC67*HF67*VLOOKUP('Données projet'!$B$18,Paramètres!$A$1:$I$89,3,0)*0.475*44/12</f>
        <v>9.1893167722520235E-5</v>
      </c>
      <c r="HJ67" s="22">
        <f t="shared" si="30"/>
        <v>8.8594307539574846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-2.2737367544323206E-13</v>
      </c>
      <c r="O68" s="13">
        <f>N68*VLOOKUP('Données projet'!$B$9,Paramètres!$A$1:$I$89,3,0)*VLOOKUP('Données projet'!$B$9,Paramètres!$A$1:$I$89,5,0)</f>
        <v>-1.2710188457276673E-13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255.5374979188561</v>
      </c>
      <c r="T68" s="59">
        <f t="shared" si="34"/>
        <v>343.10418468620901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1.5450204232772067</v>
      </c>
      <c r="AA68" s="21">
        <f>EXP(-LN(2)/25)*AA67+(1-EXP(-LN(2)/25))/(LN(2)/25)*Calculateur!V68*Calculateur!X68*VLOOKUP('Données projet'!$B$9,Paramètres!$A$1:$I$89,3,0)*0.475*44/12</f>
        <v>6.0478072923865165</v>
      </c>
      <c r="AB68" s="21">
        <f>EXP(-LN(2)/2)*AB67+(1-EXP(-LN(2)/2))/(LN(2)/2)*V68*Y68*VLOOKUP('Données projet'!$B$9,Paramètres!$A$1:$I$89,3,0)*0.475*44/12</f>
        <v>9.1315136991232369E-6</v>
      </c>
      <c r="AC68" s="22">
        <f t="shared" ref="AC68:AC131" si="57">SUM(Z68:AB68)</f>
        <v>7.5928368471774226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13.737499999999997</v>
      </c>
      <c r="AI68" s="13">
        <f>IF('Données projet'!$A$62&gt;35,AI67+AH68-AQ67,IF(A68&lt;'Données projet'!$A$62,$AF$205^A68,IF(A68='Données projet'!$A$62,'Données projet'!$B$62,AI67+AH68-AQ67)))</f>
        <v>331.52884615384613</v>
      </c>
      <c r="AJ68" s="13">
        <f>AI68*VLOOKUP('Données projet'!$B$10,Paramètres!$A$1:$I$89,3,0)*VLOOKUP('Données projet'!$B$10,Paramètres!$A$1:$I$89,5,0)</f>
        <v>155.15549999999999</v>
      </c>
      <c r="AK68" s="13">
        <f t="shared" si="35"/>
        <v>39.74787733410745</v>
      </c>
      <c r="AL68" s="20">
        <f t="shared" ref="AL68:AL131" si="58">(AJ68+AK68)*0.475*44/12</f>
        <v>339.45671552357044</v>
      </c>
      <c r="AM68" s="59">
        <f t="shared" ref="AM68:AM131" si="59">AL68+(AD68+AE68)*44/12</f>
        <v>632.7900488569037</v>
      </c>
      <c r="AN68" s="59">
        <f ca="1">AVERAGE(OFFSET($AM$3,0,0,'Données projet'!$E$10+1,1))-AVERAGE(OFFSET($H$3,0,0,'Données projet'!$E$10+1,1))</f>
        <v>158.58786357608489</v>
      </c>
      <c r="AO68" s="59">
        <f t="shared" si="36"/>
        <v>163.20074068819849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-1.7053025658242404E-13</v>
      </c>
      <c r="BE68" s="13">
        <f>BD68*VLOOKUP('Données projet'!$B$11,Paramètres!$A$1:$I$89,3,0)*VLOOKUP('Données projet'!$B$11,Paramètres!$A$1:$I$89,5,0)</f>
        <v>-1.0197709343628959E-13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243.85350804244348</v>
      </c>
      <c r="BJ68" s="59">
        <f t="shared" si="38"/>
        <v>304.60992308960545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2.2629180717389379</v>
      </c>
      <c r="BQ68" s="21">
        <f>EXP(-LN(2)/25)*BQ67+(1-EXP(-LN(2)/25))/(LN(2)/25)*Calculateur!BL68*Calculateur!BN68*VLOOKUP('Données projet'!$B$11,Paramètres!$A$1:$I$89,3,0)*0.475*44/12</f>
        <v>6.7179971460261587</v>
      </c>
      <c r="BR68" s="21">
        <f>EXP(-LN(2)/2)*BR67+(1-EXP(-LN(2)/2))/(LN(2)/2)*BL68*BO68*VLOOKUP('Données projet'!$B$11,Paramètres!$A$1:$I$89,3,0)*0.475*44/12</f>
        <v>2.0166971794473705E-5</v>
      </c>
      <c r="BS68" s="22">
        <f t="shared" ref="BS68:BS131" si="63">SUM(BP68:BR68)</f>
        <v>8.98093538473689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14.1</v>
      </c>
      <c r="BY68" s="12">
        <f>IF('Données projet'!$A$114&gt;35,BY67+BX68-CG67,IF(A68&lt;'Données projet'!$A$114,$BV$205^A68,IF(A68='Données projet'!$A$114,'Données projet'!$B$114,BY67+BX68-CG67)))</f>
        <v>427.50000000000017</v>
      </c>
      <c r="BZ68" s="13">
        <f>BY68*VLOOKUP('Données projet'!$B$12,Paramètres!$A$1:$I$89,3,0)*VLOOKUP('Données projet'!$B$12,Paramètres!$A$1:$I$89,5,0)</f>
        <v>255.64500000000012</v>
      </c>
      <c r="CA68" s="13">
        <f t="shared" si="39"/>
        <v>61.793157291319226</v>
      </c>
      <c r="CB68" s="20">
        <f t="shared" ref="CB68:CB131" si="64">(BZ68+CA68)*0.475*44/12</f>
        <v>552.87145728238113</v>
      </c>
      <c r="CC68" s="59">
        <f t="shared" ref="CC68:CC131" si="65">CB68+(BT68+BU68)*44/12</f>
        <v>846.2047906157145</v>
      </c>
      <c r="CD68" s="59">
        <f ca="1">AVERAGE(OFFSET($CC$3,0,0,'Données projet'!$E$12+1,1))-AVERAGE(OFFSET($H$3,0,0,'Données projet'!$E$12+1,1))</f>
        <v>270.30888762640245</v>
      </c>
      <c r="CE68" s="59">
        <f t="shared" si="40"/>
        <v>202.23783851977691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1.0709354848763399</v>
      </c>
      <c r="CL68" s="21">
        <f>EXP(-LN(2)/25)*CL67+(1-EXP(-LN(2)/25))/(LN(2)/25)*Calculateur!CG68*Calculateur!CI68*VLOOKUP('Données projet'!$B$12,Paramètres!$A$1:$I$89,3,0)*0.475*44/12</f>
        <v>4.6590126788398321</v>
      </c>
      <c r="CM68" s="21">
        <f>EXP(-LN(2)/2)*CM67+(1-EXP(-LN(2)/2))/(LN(2)/2)*CG68*CJ68*VLOOKUP('Données projet'!$B$12,Paramètres!$A$1:$I$89,3,0)*0.475*44/12</f>
        <v>9.9763862101106784E-5</v>
      </c>
      <c r="CN68" s="22">
        <f t="shared" ref="CN68:CN131" si="66">SUM(CK68:CM68)</f>
        <v>5.7300479275782727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4.9000000000000004</v>
      </c>
      <c r="CT68" s="12">
        <f>IF('Données projet'!$A$140&gt;35,CT67+CS68-DB67,IF(A68&lt;'Données projet'!$A$140,$CQ$205^A68,IF(A68='Données projet'!$A$140,'Données projet'!$B$140,CT67+CS68-DB67)))</f>
        <v>304.49999999999983</v>
      </c>
      <c r="CU68" s="17">
        <f>CT68*VLOOKUP('Données projet'!$B$13,Paramètres!$A$1:$I$89,3,0)*VLOOKUP('Données projet'!$B$13,Paramètres!$A$1:$I$89,5,0)</f>
        <v>242.26019999999986</v>
      </c>
      <c r="CV68" s="13">
        <f t="shared" si="41"/>
        <v>58.925557915516166</v>
      </c>
      <c r="CW68" s="20">
        <f t="shared" ref="CW68:CW131" si="67">(CU68+CV68)*0.475*44/12</f>
        <v>524.5651950361904</v>
      </c>
      <c r="CX68" s="59">
        <f t="shared" ref="CX68:CX131" si="68">CW68+(CO68+CP68)*44/12</f>
        <v>817.89852836952377</v>
      </c>
      <c r="CY68" s="59">
        <f ca="1">AVERAGE(OFFSET($CX$3,0,0,'Données projet'!$E$13+1,1))-AVERAGE(OFFSET($H$3,0,0,'Données projet'!$E$13+1,1))</f>
        <v>260.20517190557814</v>
      </c>
      <c r="CZ68" s="59">
        <f t="shared" si="42"/>
        <v>307.22009971147133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1.6314951939891487</v>
      </c>
      <c r="DG68" s="21">
        <f>EXP(-LN(2)/25)*DG67+(1-EXP(-LN(2)/25))/(LN(2)/25)*Calculateur!DB68*Calculateur!DD68*VLOOKUP('Données projet'!$B$13,Paramètres!$A$1:$I$89,3,0)*0.475*44/12</f>
        <v>7.7754754470466789</v>
      </c>
      <c r="DH68" s="21">
        <f>EXP(-LN(2)/2)*DH67+(1-EXP(-LN(2)/2))/(LN(2)/2)*DB68*DE68*VLOOKUP('Données projet'!$B$13,Paramètres!$A$1:$I$89,3,0)*0.475*44/12</f>
        <v>1.2968570047989172E-4</v>
      </c>
      <c r="DI68" s="22">
        <f t="shared" ref="DI68:DI131" si="69">SUM(DF68:DH68)</f>
        <v>9.4071003267363089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8.1001602564102555</v>
      </c>
      <c r="DO68" s="12">
        <f>IF('Données projet'!$A$166&gt;35,DO67+DN68-DW67,IF(A68&lt;'Données projet'!$A$166,$DL$205^A68,IF(A68='Données projet'!$A$166,'Données projet'!$B$166,DO67+DN68-DW67)))</f>
        <v>194.76442307692312</v>
      </c>
      <c r="DP68" s="17">
        <f>DO68*VLOOKUP('Données projet'!$B$14,Paramètres!$A$1:$I$89,3,0)*VLOOKUP('Données projet'!$B$14,Paramètres!$A$1:$I$89,5,0)</f>
        <v>197.49112500000007</v>
      </c>
      <c r="DQ68" s="13">
        <f t="shared" si="43"/>
        <v>49.192388495579841</v>
      </c>
      <c r="DR68" s="20">
        <f t="shared" ref="DR68:DR131" si="70">(DP68+DQ68)*0.475*44/12</f>
        <v>429.64045267146838</v>
      </c>
      <c r="DS68" s="59">
        <f t="shared" ref="DS68:DS131" si="71">DR68+(DJ68+DK68)*44/12</f>
        <v>722.9737860048017</v>
      </c>
      <c r="DT68" s="59">
        <f ca="1">AVERAGE(OFFSET($DS$3,0,0,'Données projet'!$E$14+1,1))-AVERAGE(OFFSET($H$3,0,0,'Données projet'!$E$14+1,1))</f>
        <v>263.15518481854753</v>
      </c>
      <c r="DU68" s="59">
        <f t="shared" si="44"/>
        <v>210.80755370263819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0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4.9000000000000004</v>
      </c>
      <c r="EJ68" s="12">
        <f>IF('Données projet'!$A$192&gt;35,EJ67+EI68-ER67,IF(A68&lt;'Données projet'!$A$192,$EG$205^A68,IF(A68='Données projet'!$A$192,'Données projet'!$B$192,EJ67+EI68-ER67)))</f>
        <v>304.49999999999983</v>
      </c>
      <c r="EK68" s="17">
        <f>EJ68*VLOOKUP('Données projet'!$B$15,Paramètres!$A$1:$I$89,3,0)*VLOOKUP('Données projet'!$B$15,Paramètres!$A$1:$I$89,5,0)</f>
        <v>204.25859999999989</v>
      </c>
      <c r="EL68" s="13">
        <f t="shared" si="45"/>
        <v>50.678928367887181</v>
      </c>
      <c r="EM68" s="20">
        <f t="shared" ref="EM68:EM131" si="73">(EK68+EL68)*0.475*44/12</f>
        <v>444.01619524073664</v>
      </c>
      <c r="EN68" s="59">
        <f t="shared" ref="EN68:EN131" si="74">EM68+(EE68+EF68)*44/12</f>
        <v>737.34952857406995</v>
      </c>
      <c r="EO68" s="59">
        <f ca="1">AVERAGE(OFFSET($EN$3,0,0,'Données projet'!$E$15+1,1))-AVERAGE(OFFSET($H$3,0,0,'Données projet'!$E$15+1,1))</f>
        <v>207.93042467236967</v>
      </c>
      <c r="EP68" s="59">
        <f t="shared" si="46"/>
        <v>250.70954318710835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1.3755743792457522</v>
      </c>
      <c r="EW68" s="21">
        <f>EXP(-LN(2)/25)*EW67+(1-EXP(-LN(2)/25))/(LN(2)/25)*Calculateur!ER68*Calculateur!ET68*VLOOKUP('Données projet'!$B$15,Paramètres!$A$1:$I$89,3,0)*0.475*44/12</f>
        <v>6.5557930239805398</v>
      </c>
      <c r="EX68" s="21">
        <f>EXP(-LN(2)/2)*EX67+(1-EXP(-LN(2)/2))/(LN(2)/2)*ER68*EU68*VLOOKUP('Données projet'!$B$15,Paramètres!$A$1:$I$89,3,0)*0.475*44/12</f>
        <v>1.093428455026538E-4</v>
      </c>
      <c r="EY68" s="22">
        <f t="shared" ref="EY68:EY131" si="75">SUM(EV68:EX68)</f>
        <v>7.9314767460717945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8.1001602564102555</v>
      </c>
      <c r="FE68" s="12">
        <f>IF('Données projet'!$A$218&gt;35,FE67+FD68-FM67,IF(A68&lt;'Données projet'!$A$218,$FB$205^A68,IF(A68='Données projet'!$A$218,'Données projet'!$B$218,FE67+FD68-FM67)))</f>
        <v>194.76442307692312</v>
      </c>
      <c r="FF68" s="17">
        <f>FE68*VLOOKUP('Données projet'!$B$16,Paramètres!$A$1:$I$89,3,0)*VLOOKUP('Données projet'!$B$16,Paramètres!$A$1:$I$89,5,0)</f>
        <v>209.64442500000004</v>
      </c>
      <c r="FG68" s="13">
        <f t="shared" si="47"/>
        <v>51.857875952677823</v>
      </c>
      <c r="FH68" s="20">
        <f t="shared" ref="FH68:FH131" si="76">(FF68+FG68)*0.475*44/12</f>
        <v>455.4498408259139</v>
      </c>
      <c r="FI68" s="59">
        <f t="shared" ref="FI68:FI131" si="77">FH68+(EZ68+FA68)*44/12</f>
        <v>748.78317415924721</v>
      </c>
      <c r="FJ68" s="59">
        <f ca="1">AVERAGE(OFFSET($FI$3,0,0,'Données projet'!$E$16+1,1))-AVERAGE(OFFSET($H$3,0,0,'Données projet'!$E$16+1,1))</f>
        <v>286.77702855541287</v>
      </c>
      <c r="FK68" s="59">
        <f t="shared" si="48"/>
        <v>227.12211541860779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0</v>
      </c>
      <c r="FR68" s="21">
        <f>EXP(-LN(2)/25)*FR67+(1-EXP(-LN(2)/25))/(LN(2)/25)*Calculateur!FM68*Calculateur!FO68*VLOOKUP('Données projet'!$B$16,Paramètres!$A$1:$I$89,3,0)*0.475*44/12</f>
        <v>0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0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10.314743589743586</v>
      </c>
      <c r="FZ68" s="12">
        <f>IF('Données projet'!$A$244&gt;35,FZ67+FY68-GH67,IF(A68&lt;'Données projet'!$A$244,$FW$205^A68,IF(A68='Données projet'!$A$244,'Données projet'!$B$244,FZ67+FY68-GH67)))</f>
        <v>275.61282051282069</v>
      </c>
      <c r="GA68" s="17">
        <f>FZ68*VLOOKUP('Données projet'!$B$17,Paramètres!$A$1:$I$89,3,0)*VLOOKUP('Données projet'!$B$17,Paramètres!$A$1:$I$89,5,0)</f>
        <v>128.98680000000007</v>
      </c>
      <c r="GB68" s="13">
        <f t="shared" si="49"/>
        <v>33.762132053733033</v>
      </c>
      <c r="GC68" s="20">
        <f t="shared" ref="GC68:GC131" si="79">(GA68+GB68)*0.475*44/12</f>
        <v>283.45438999358515</v>
      </c>
      <c r="GD68" s="59">
        <f t="shared" ref="GD68:GD131" si="80">GC68+(FU68+FV68)*44/12</f>
        <v>576.78772332691847</v>
      </c>
      <c r="GE68" s="59">
        <f ca="1">AVERAGE(OFFSET($GD$3,0,0,'Données projet'!$E$17+1,1))-AVERAGE(OFFSET($H$3,0,0,'Données projet'!$E$17+1,1))</f>
        <v>123.2823358462245</v>
      </c>
      <c r="GF68" s="59">
        <f t="shared" si="50"/>
        <v>92.75115399786057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0</v>
      </c>
      <c r="GM68" s="21">
        <f>EXP(-LN(2)/25)*GM67+(1-EXP(-LN(2)/25))/(LN(2)/25)*Calculateur!GH68*Calculateur!GJ68*VLOOKUP('Données projet'!$B$17,Paramètres!$A$1:$I$89,3,0)*0.475*44/12</f>
        <v>0</v>
      </c>
      <c r="GN68" s="21">
        <f>EXP(-LN(2)/2)*GN67+(1-EXP(-LN(2)/2))/(LN(2)/2)*GH68*GK68*VLOOKUP('Données projet'!$B$17,Paramètres!$A$1:$I$89,3,0)*0.475*44/12</f>
        <v>0</v>
      </c>
      <c r="GO68" s="21">
        <f t="shared" ref="GO68:GO131" si="81">SUM(GL68:GN68)</f>
        <v>0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-2.8421709430404007E-13</v>
      </c>
      <c r="GV68" s="17">
        <f>GU68*VLOOKUP('Données projet'!$B$18,Paramètres!$A$1:$I$89,3,0)*VLOOKUP('Données projet'!$B$18,Paramètres!$A$1:$I$89,5,0)</f>
        <v>-1.69961822393816E-13</v>
      </c>
      <c r="GW68" s="13" t="e">
        <f t="shared" si="51"/>
        <v>#NUM!</v>
      </c>
      <c r="GX68" s="20" t="e">
        <f t="shared" ref="GX68:GX131" si="82">(GV68+GW68)*0.475*44/12</f>
        <v>#NUM!</v>
      </c>
      <c r="GY68" s="59" t="e">
        <f t="shared" ref="GY68:GY131" si="83">GX68+(GP68+GQ68)*44/12</f>
        <v>#NUM!</v>
      </c>
      <c r="GZ68" s="59">
        <f ca="1">AVERAGE(OFFSET($GY$3,0,0,'Données projet'!$E$18+1,1))-AVERAGE(OFFSET($H$3,0,0,'Données projet'!$E$18+1,1))</f>
        <v>171.96009656745713</v>
      </c>
      <c r="HA68" s="59">
        <f t="shared" si="52"/>
        <v>172.37574906747716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>
        <f>EXP(-LN(2)/35)*HG67+(1-EXP(-LN(2)/35))/(LN(2)/35)*HC68*HD68*VLOOKUP('Données projet'!$B$18,Paramètres!$A$1:$I$89,3,0)*0.475*44/12</f>
        <v>0.83402536379695935</v>
      </c>
      <c r="HH68" s="21">
        <f>EXP(-LN(2)/25)*HH67+(1-EXP(-LN(2)/25))/(LN(2)/25)*Calculateur!HC68*Calculateur!HE68*VLOOKUP('Données projet'!$B$18,Paramètres!$A$1:$I$89,3,0)*0.475*44/12</f>
        <v>7.7896351938644628</v>
      </c>
      <c r="HI68" s="21">
        <f>EXP(-LN(2)/2)*HI67+(1-EXP(-LN(2)/2))/(LN(2)/2)*HC68*HF68*VLOOKUP('Données projet'!$B$18,Paramètres!$A$1:$I$89,3,0)*0.475*44/12</f>
        <v>6.4978282041306827E-5</v>
      </c>
      <c r="HJ68" s="22">
        <f t="shared" ref="HJ68:HJ131" si="84">SUM(HG68:HI68)</f>
        <v>8.6237255359434641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-2.2737367544323206E-13</v>
      </c>
      <c r="O69" s="13">
        <f>N69*VLOOKUP('Données projet'!$B$9,Paramètres!$A$1:$I$89,3,0)*VLOOKUP('Données projet'!$B$9,Paramètres!$A$1:$I$89,5,0)</f>
        <v>-1.2710188457276673E-13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255.5374979188561</v>
      </c>
      <c r="T69" s="59">
        <f t="shared" ref="T69:T132" si="88">$T$3</f>
        <v>343.10418468620901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1.5147235151461476</v>
      </c>
      <c r="AA69" s="21">
        <f>EXP(-LN(2)/25)*AA68+(1-EXP(-LN(2)/25))/(LN(2)/25)*Calculateur!V69*Calculateur!X69*VLOOKUP('Données projet'!$B$9,Paramètres!$A$1:$I$89,3,0)*0.475*44/12</f>
        <v>5.8824296839358441</v>
      </c>
      <c r="AB69" s="21">
        <f>EXP(-LN(2)/2)*AB68+(1-EXP(-LN(2)/2))/(LN(2)/2)*V69*Y69*VLOOKUP('Données projet'!$B$9,Paramètres!$A$1:$I$89,3,0)*0.475*44/12</f>
        <v>6.456955259147896E-6</v>
      </c>
      <c r="AC69" s="22">
        <f t="shared" si="57"/>
        <v>7.3971596560372506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13.737499999999997</v>
      </c>
      <c r="AI69" s="13">
        <f>IF('Données projet'!$A$62&gt;35,AI68+AH69-AQ68,IF(A69&lt;'Données projet'!$A$62,$AF$205^A69,IF(A69='Données projet'!$A$62,'Données projet'!$B$62,AI68+AH69-AQ68)))</f>
        <v>345.26634615384614</v>
      </c>
      <c r="AJ69" s="13">
        <f>AI69*VLOOKUP('Données projet'!$B$10,Paramètres!$A$1:$I$89,3,0)*VLOOKUP('Données projet'!$B$10,Paramètres!$A$1:$I$89,5,0)</f>
        <v>161.58464999999998</v>
      </c>
      <c r="AK69" s="13">
        <f t="shared" ref="AK69:AK132" si="89">EXP(-1.0587+0.8836*LN(AJ69)+0.284)</f>
        <v>41.199732368807574</v>
      </c>
      <c r="AL69" s="20">
        <f t="shared" si="58"/>
        <v>353.18279929233978</v>
      </c>
      <c r="AM69" s="59">
        <f t="shared" si="59"/>
        <v>646.51613262567309</v>
      </c>
      <c r="AN69" s="59">
        <f ca="1">AVERAGE(OFFSET($AM$3,0,0,'Données projet'!$E$10+1,1))-AVERAGE(OFFSET($H$3,0,0,'Données projet'!$E$10+1,1))</f>
        <v>158.58786357608489</v>
      </c>
      <c r="AO69" s="59">
        <f t="shared" ref="AO69:AO132" si="90">$AO$3</f>
        <v>163.20074068819849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-1.7053025658242404E-13</v>
      </c>
      <c r="BE69" s="13">
        <f>BD69*VLOOKUP('Données projet'!$B$11,Paramètres!$A$1:$I$89,3,0)*VLOOKUP('Données projet'!$B$11,Paramètres!$A$1:$I$89,5,0)</f>
        <v>-1.0197709343628959E-13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243.85350804244348</v>
      </c>
      <c r="BJ69" s="59">
        <f t="shared" ref="BJ69:BJ132" si="92">$BJ$3</f>
        <v>304.60992308960545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2.2185436285958735</v>
      </c>
      <c r="BQ69" s="21">
        <f>EXP(-LN(2)/25)*BQ68+(1-EXP(-LN(2)/25))/(LN(2)/25)*Calculateur!BL69*Calculateur!BN69*VLOOKUP('Données projet'!$B$11,Paramètres!$A$1:$I$89,3,0)*0.475*44/12</f>
        <v>6.5342931607839576</v>
      </c>
      <c r="BR69" s="21">
        <f>EXP(-LN(2)/2)*BR68+(1-EXP(-LN(2)/2))/(LN(2)/2)*BL69*BO69*VLOOKUP('Données projet'!$B$11,Paramètres!$A$1:$I$89,3,0)*0.475*44/12</f>
        <v>1.4260202511870194E-5</v>
      </c>
      <c r="BS69" s="22">
        <f t="shared" si="63"/>
        <v>8.7528510495823433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14.1</v>
      </c>
      <c r="BY69" s="12">
        <f>IF('Données projet'!$A$114&gt;35,BY68+BX69-CG68,IF(A69&lt;'Données projet'!$A$114,$BV$205^A69,IF(A69='Données projet'!$A$114,'Données projet'!$B$114,BY68+BX69-CG68)))</f>
        <v>441.60000000000019</v>
      </c>
      <c r="BZ69" s="13">
        <f>BY69*VLOOKUP('Données projet'!$B$12,Paramètres!$A$1:$I$89,3,0)*VLOOKUP('Données projet'!$B$12,Paramètres!$A$1:$I$89,5,0)</f>
        <v>264.07680000000016</v>
      </c>
      <c r="CA69" s="13">
        <f t="shared" ref="CA69:CA132" si="93">EXP(-1.0587+0.8836*LN(BZ69)+0.284)</f>
        <v>63.590598521565674</v>
      </c>
      <c r="CB69" s="20">
        <f t="shared" si="64"/>
        <v>570.6873857583937</v>
      </c>
      <c r="CC69" s="59">
        <f t="shared" si="65"/>
        <v>864.02071909172696</v>
      </c>
      <c r="CD69" s="59">
        <f ca="1">AVERAGE(OFFSET($CC$3,0,0,'Données projet'!$E$12+1,1))-AVERAGE(OFFSET($H$3,0,0,'Données projet'!$E$12+1,1))</f>
        <v>270.30888762640245</v>
      </c>
      <c r="CE69" s="59">
        <f t="shared" ref="CE69:CE132" si="94">$CE$3</f>
        <v>202.23783851977691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1.0499350932240619</v>
      </c>
      <c r="CL69" s="21">
        <f>EXP(-LN(2)/25)*CL68+(1-EXP(-LN(2)/25))/(LN(2)/25)*Calculateur!CG69*Calculateur!CI69*VLOOKUP('Données projet'!$B$12,Paramètres!$A$1:$I$89,3,0)*0.475*44/12</f>
        <v>4.5316117321301288</v>
      </c>
      <c r="CM69" s="21">
        <f>EXP(-LN(2)/2)*CM68+(1-EXP(-LN(2)/2))/(LN(2)/2)*CG69*CJ69*VLOOKUP('Données projet'!$B$12,Paramètres!$A$1:$I$89,3,0)*0.475*44/12</f>
        <v>7.0543703409052216E-5</v>
      </c>
      <c r="CN69" s="22">
        <f t="shared" si="66"/>
        <v>5.5816173690576001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4.9000000000000004</v>
      </c>
      <c r="CT69" s="12">
        <f>IF('Données projet'!$A$140&gt;35,CT68+CS69-DB68,IF(A69&lt;'Données projet'!$A$140,$CQ$205^A69,IF(A69='Données projet'!$A$140,'Données projet'!$B$140,CT68+CS69-DB68)))</f>
        <v>309.39999999999981</v>
      </c>
      <c r="CU69" s="17">
        <f>CT69*VLOOKUP('Données projet'!$B$13,Paramètres!$A$1:$I$89,3,0)*VLOOKUP('Données projet'!$B$13,Paramètres!$A$1:$I$89,5,0)</f>
        <v>246.15863999999985</v>
      </c>
      <c r="CV69" s="13">
        <f t="shared" ref="CV69:CV132" si="95">EXP(-1.0587+0.8836*LN(CU69)+0.284)</f>
        <v>59.762631584626781</v>
      </c>
      <c r="CW69" s="20">
        <f t="shared" si="67"/>
        <v>532.8128813432246</v>
      </c>
      <c r="CX69" s="59">
        <f t="shared" si="68"/>
        <v>826.14621467655797</v>
      </c>
      <c r="CY69" s="59">
        <f ca="1">AVERAGE(OFFSET($CX$3,0,0,'Données projet'!$E$13+1,1))-AVERAGE(OFFSET($H$3,0,0,'Données projet'!$E$13+1,1))</f>
        <v>260.20517190557814</v>
      </c>
      <c r="CZ69" s="59">
        <f t="shared" ref="CZ69:CZ132" si="96">$CZ$3</f>
        <v>307.22009971147133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1.5995025683488304</v>
      </c>
      <c r="DG69" s="21">
        <f>EXP(-LN(2)/25)*DG68+(1-EXP(-LN(2)/25))/(LN(2)/25)*Calculateur!DB69*Calculateur!DD69*VLOOKUP('Données projet'!$B$13,Paramètres!$A$1:$I$89,3,0)*0.475*44/12</f>
        <v>7.5628546620527048</v>
      </c>
      <c r="DH69" s="21">
        <f>EXP(-LN(2)/2)*DH68+(1-EXP(-LN(2)/2))/(LN(2)/2)*DB69*DE69*VLOOKUP('Données projet'!$B$13,Paramètres!$A$1:$I$89,3,0)*0.475*44/12</f>
        <v>9.1701638232258935E-5</v>
      </c>
      <c r="DI69" s="22">
        <f t="shared" si="69"/>
        <v>9.1624489320397693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8.1001602564102555</v>
      </c>
      <c r="DO69" s="12">
        <f>IF('Données projet'!$A$166&gt;35,DO68+DN69-DW68,IF(A69&lt;'Données projet'!$A$166,$DL$205^A69,IF(A69='Données projet'!$A$166,'Données projet'!$B$166,DO68+DN69-DW68)))</f>
        <v>202.86458333333337</v>
      </c>
      <c r="DP69" s="17">
        <f>DO69*VLOOKUP('Données projet'!$B$14,Paramètres!$A$1:$I$89,3,0)*VLOOKUP('Données projet'!$B$14,Paramètres!$A$1:$I$89,5,0)</f>
        <v>205.70468750000003</v>
      </c>
      <c r="DQ69" s="13">
        <f t="shared" ref="DQ69:DQ132" si="97">EXP(-1.0587+0.8836*LN(DP69)+0.284)</f>
        <v>50.99582588645972</v>
      </c>
      <c r="DR69" s="20">
        <f t="shared" si="70"/>
        <v>447.08672748141743</v>
      </c>
      <c r="DS69" s="59">
        <f t="shared" si="71"/>
        <v>740.42006081475074</v>
      </c>
      <c r="DT69" s="59">
        <f ca="1">AVERAGE(OFFSET($DS$3,0,0,'Données projet'!$E$14+1,1))-AVERAGE(OFFSET($H$3,0,0,'Données projet'!$E$14+1,1))</f>
        <v>263.15518481854753</v>
      </c>
      <c r="DU69" s="59">
        <f t="shared" ref="DU69:DU132" si="98">$DU$3</f>
        <v>210.80755370263819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0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4.9000000000000004</v>
      </c>
      <c r="EJ69" s="12">
        <f>IF('Données projet'!$A$192&gt;35,EJ68+EI69-ER68,IF(A69&lt;'Données projet'!$A$192,$EG$205^A69,IF(A69='Données projet'!$A$192,'Données projet'!$B$192,EJ68+EI69-ER68)))</f>
        <v>309.39999999999981</v>
      </c>
      <c r="EK69" s="17">
        <f>EJ69*VLOOKUP('Données projet'!$B$15,Paramètres!$A$1:$I$89,3,0)*VLOOKUP('Données projet'!$B$15,Paramètres!$A$1:$I$89,5,0)</f>
        <v>207.54551999999987</v>
      </c>
      <c r="EL69" s="13">
        <f t="shared" ref="EL69:EL132" si="99">EXP(-1.0587+0.8836*LN(EK69)+0.284)</f>
        <v>51.398853609432223</v>
      </c>
      <c r="EM69" s="20">
        <f t="shared" si="73"/>
        <v>450.99478403642752</v>
      </c>
      <c r="EN69" s="59">
        <f t="shared" si="74"/>
        <v>744.32811736976078</v>
      </c>
      <c r="EO69" s="59">
        <f ca="1">AVERAGE(OFFSET($EN$3,0,0,'Données projet'!$E$15+1,1))-AVERAGE(OFFSET($H$3,0,0,'Données projet'!$E$15+1,1))</f>
        <v>207.93042467236967</v>
      </c>
      <c r="EP69" s="59">
        <f t="shared" ref="EP69:EP132" si="100">$EP$3</f>
        <v>250.70954318710835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1.3486002046862682</v>
      </c>
      <c r="EW69" s="21">
        <f>EXP(-LN(2)/25)*EW68+(1-EXP(-LN(2)/25))/(LN(2)/25)*Calculateur!ER69*Calculateur!ET69*VLOOKUP('Données projet'!$B$15,Paramètres!$A$1:$I$89,3,0)*0.475*44/12</f>
        <v>6.3765245189856206</v>
      </c>
      <c r="EX69" s="21">
        <f>EXP(-LN(2)/2)*EX68+(1-EXP(-LN(2)/2))/(LN(2)/2)*ER69*EU69*VLOOKUP('Données projet'!$B$15,Paramètres!$A$1:$I$89,3,0)*0.475*44/12</f>
        <v>7.7317067529159489E-5</v>
      </c>
      <c r="EY69" s="22">
        <f t="shared" si="75"/>
        <v>7.7252020407394175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8.1001602564102555</v>
      </c>
      <c r="FE69" s="12">
        <f>IF('Données projet'!$A$218&gt;35,FE68+FD69-FM68,IF(A69&lt;'Données projet'!$A$218,$FB$205^A69,IF(A69='Données projet'!$A$218,'Données projet'!$B$218,FE68+FD69-FM68)))</f>
        <v>202.86458333333337</v>
      </c>
      <c r="FF69" s="17">
        <f>FE69*VLOOKUP('Données projet'!$B$16,Paramètres!$A$1:$I$89,3,0)*VLOOKUP('Données projet'!$B$16,Paramètres!$A$1:$I$89,5,0)</f>
        <v>218.36343750000006</v>
      </c>
      <c r="FG69" s="13">
        <f t="shared" ref="FG69:FG132" si="101">EXP(-1.0587+0.8836*LN(FF69)+0.284)</f>
        <v>53.759032521098476</v>
      </c>
      <c r="FH69" s="20">
        <f t="shared" si="76"/>
        <v>473.94663528674664</v>
      </c>
      <c r="FI69" s="59">
        <f t="shared" si="77"/>
        <v>767.2799686200799</v>
      </c>
      <c r="FJ69" s="59">
        <f ca="1">AVERAGE(OFFSET($FI$3,0,0,'Données projet'!$E$16+1,1))-AVERAGE(OFFSET($H$3,0,0,'Données projet'!$E$16+1,1))</f>
        <v>286.77702855541287</v>
      </c>
      <c r="FK69" s="59">
        <f t="shared" ref="FK69:FK132" si="102">$FK$3</f>
        <v>227.12211541860779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0</v>
      </c>
      <c r="FR69" s="21">
        <f>EXP(-LN(2)/25)*FR68+(1-EXP(-LN(2)/25))/(LN(2)/25)*Calculateur!FM69*Calculateur!FO69*VLOOKUP('Données projet'!$B$16,Paramètres!$A$1:$I$89,3,0)*0.475*44/12</f>
        <v>0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0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10.314743589743586</v>
      </c>
      <c r="FZ69" s="12">
        <f>IF('Données projet'!$A$244&gt;35,FZ68+FY69-GH68,IF(A69&lt;'Données projet'!$A$244,$FW$205^A69,IF(A69='Données projet'!$A$244,'Données projet'!$B$244,FZ68+FY69-GH68)))</f>
        <v>285.92756410256425</v>
      </c>
      <c r="GA69" s="17">
        <f>FZ69*VLOOKUP('Données projet'!$B$17,Paramètres!$A$1:$I$89,3,0)*VLOOKUP('Données projet'!$B$17,Paramètres!$A$1:$I$89,5,0)</f>
        <v>133.81410000000005</v>
      </c>
      <c r="GB69" s="13">
        <f t="shared" ref="GB69:GB132" si="103">EXP(-1.0587+0.8836*LN(GA69)+0.284)</f>
        <v>34.876197134679366</v>
      </c>
      <c r="GC69" s="20">
        <f t="shared" si="79"/>
        <v>293.8022675095666</v>
      </c>
      <c r="GD69" s="59">
        <f t="shared" si="80"/>
        <v>587.13560084289998</v>
      </c>
      <c r="GE69" s="59">
        <f ca="1">AVERAGE(OFFSET($GD$3,0,0,'Données projet'!$E$17+1,1))-AVERAGE(OFFSET($H$3,0,0,'Données projet'!$E$17+1,1))</f>
        <v>123.2823358462245</v>
      </c>
      <c r="GF69" s="59">
        <f t="shared" ref="GF69:GF132" si="104">$GF$3</f>
        <v>92.75115399786057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0</v>
      </c>
      <c r="GM69" s="21">
        <f>EXP(-LN(2)/25)*GM68+(1-EXP(-LN(2)/25))/(LN(2)/25)*Calculateur!GH69*Calculateur!GJ69*VLOOKUP('Données projet'!$B$17,Paramètres!$A$1:$I$89,3,0)*0.475*44/12</f>
        <v>0</v>
      </c>
      <c r="GN69" s="21">
        <f>EXP(-LN(2)/2)*GN68+(1-EXP(-LN(2)/2))/(LN(2)/2)*GH69*GK69*VLOOKUP('Données projet'!$B$17,Paramètres!$A$1:$I$89,3,0)*0.475*44/12</f>
        <v>0</v>
      </c>
      <c r="GO69" s="21">
        <f t="shared" si="81"/>
        <v>0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-2.8421709430404007E-13</v>
      </c>
      <c r="GV69" s="17">
        <f>GU69*VLOOKUP('Données projet'!$B$18,Paramètres!$A$1:$I$89,3,0)*VLOOKUP('Données projet'!$B$18,Paramètres!$A$1:$I$89,5,0)</f>
        <v>-1.69961822393816E-13</v>
      </c>
      <c r="GW69" s="13" t="e">
        <f t="shared" ref="GW69:GW132" si="105">EXP(-1.0587+0.8836*LN(GV69)+0.284)</f>
        <v>#NUM!</v>
      </c>
      <c r="GX69" s="20" t="e">
        <f t="shared" si="82"/>
        <v>#NUM!</v>
      </c>
      <c r="GY69" s="59" t="e">
        <f t="shared" si="83"/>
        <v>#NUM!</v>
      </c>
      <c r="GZ69" s="59">
        <f ca="1">AVERAGE(OFFSET($GY$3,0,0,'Données projet'!$E$18+1,1))-AVERAGE(OFFSET($H$3,0,0,'Données projet'!$E$18+1,1))</f>
        <v>171.96009656745713</v>
      </c>
      <c r="HA69" s="59">
        <f t="shared" ref="HA69:HA132" si="106">$HA$3</f>
        <v>172.37574906747716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>
        <f>EXP(-LN(2)/35)*HG68+(1-EXP(-LN(2)/35))/(LN(2)/35)*HC69*HD69*VLOOKUP('Données projet'!$B$18,Paramètres!$A$1:$I$89,3,0)*0.475*44/12</f>
        <v>0.81767063511814242</v>
      </c>
      <c r="HH69" s="21">
        <f>EXP(-LN(2)/25)*HH68+(1-EXP(-LN(2)/25))/(LN(2)/25)*Calculateur!HC69*Calculateur!HE69*VLOOKUP('Données projet'!$B$18,Paramètres!$A$1:$I$89,3,0)*0.475*44/12</f>
        <v>7.5766272098491276</v>
      </c>
      <c r="HI69" s="21">
        <f>EXP(-LN(2)/2)*HI68+(1-EXP(-LN(2)/2))/(LN(2)/2)*HC69*HF69*VLOOKUP('Données projet'!$B$18,Paramètres!$A$1:$I$89,3,0)*0.475*44/12</f>
        <v>4.5946583861260118E-5</v>
      </c>
      <c r="HJ69" s="22">
        <f t="shared" si="84"/>
        <v>8.3943437915511314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-2.2737367544323206E-13</v>
      </c>
      <c r="O70" s="13">
        <f>N70*VLOOKUP('Données projet'!$B$9,Paramètres!$A$1:$I$89,3,0)*VLOOKUP('Données projet'!$B$9,Paramètres!$A$1:$I$89,5,0)</f>
        <v>-1.2710188457276673E-13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255.5374979188561</v>
      </c>
      <c r="T70" s="59">
        <f t="shared" si="88"/>
        <v>343.10418468620901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1.4850207109042493</v>
      </c>
      <c r="AA70" s="21">
        <f>EXP(-LN(2)/25)*AA69+(1-EXP(-LN(2)/25))/(LN(2)/25)*Calculateur!V70*Calculateur!X70*VLOOKUP('Données projet'!$B$9,Paramètres!$A$1:$I$89,3,0)*0.475*44/12</f>
        <v>5.7215743348850863</v>
      </c>
      <c r="AB70" s="21">
        <f>EXP(-LN(2)/2)*AB69+(1-EXP(-LN(2)/2))/(LN(2)/2)*V70*Y70*VLOOKUP('Données projet'!$B$9,Paramètres!$A$1:$I$89,3,0)*0.475*44/12</f>
        <v>4.5657568495616185E-6</v>
      </c>
      <c r="AC70" s="22">
        <f t="shared" si="57"/>
        <v>7.206599611546185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13.737499999999997</v>
      </c>
      <c r="AI70" s="13">
        <f>IF('Données projet'!$A$62&gt;35,AI69+AH70-AQ69,IF(A70&lt;'Données projet'!$A$62,$AF$205^A70,IF(A70='Données projet'!$A$62,'Données projet'!$B$62,AI69+AH70-AQ69)))</f>
        <v>359.00384615384615</v>
      </c>
      <c r="AJ70" s="13">
        <f>AI70*VLOOKUP('Données projet'!$B$10,Paramètres!$A$1:$I$89,3,0)*VLOOKUP('Données projet'!$B$10,Paramètres!$A$1:$I$89,5,0)</f>
        <v>168.0138</v>
      </c>
      <c r="AK70" s="13">
        <f t="shared" si="89"/>
        <v>42.644877049412187</v>
      </c>
      <c r="AL70" s="20">
        <f t="shared" si="58"/>
        <v>366.89719586105952</v>
      </c>
      <c r="AM70" s="59">
        <f t="shared" si="59"/>
        <v>660.23052919439283</v>
      </c>
      <c r="AN70" s="59">
        <f ca="1">AVERAGE(OFFSET($AM$3,0,0,'Données projet'!$E$10+1,1))-AVERAGE(OFFSET($H$3,0,0,'Données projet'!$E$10+1,1))</f>
        <v>158.58786357608489</v>
      </c>
      <c r="AO70" s="59">
        <f t="shared" si="90"/>
        <v>163.20074068819849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-1.7053025658242404E-13</v>
      </c>
      <c r="BE70" s="13">
        <f>BD70*VLOOKUP('Données projet'!$B$11,Paramètres!$A$1:$I$89,3,0)*VLOOKUP('Données projet'!$B$11,Paramètres!$A$1:$I$89,5,0)</f>
        <v>-1.0197709343628959E-13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243.85350804244348</v>
      </c>
      <c r="BJ70" s="59">
        <f t="shared" si="92"/>
        <v>304.60992308960545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2.1750393412171065</v>
      </c>
      <c r="BQ70" s="21">
        <f>EXP(-LN(2)/25)*BQ69+(1-EXP(-LN(2)/25))/(LN(2)/25)*Calculateur!BL70*Calculateur!BN70*VLOOKUP('Données projet'!$B$11,Paramètres!$A$1:$I$89,3,0)*0.475*44/12</f>
        <v>6.3556125706787769</v>
      </c>
      <c r="BR70" s="21">
        <f>EXP(-LN(2)/2)*BR69+(1-EXP(-LN(2)/2))/(LN(2)/2)*BL70*BO70*VLOOKUP('Données projet'!$B$11,Paramètres!$A$1:$I$89,3,0)*0.475*44/12</f>
        <v>1.0083485897236853E-5</v>
      </c>
      <c r="BS70" s="22">
        <f t="shared" si="63"/>
        <v>8.5306619953817808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14.1</v>
      </c>
      <c r="BY70" s="12">
        <f>IF('Données projet'!$A$114&gt;35,BY69+BX70-CG69,IF(A70&lt;'Données projet'!$A$114,$BV$205^A70,IF(A70='Données projet'!$A$114,'Données projet'!$B$114,BY69+BX70-CG69)))</f>
        <v>455.70000000000022</v>
      </c>
      <c r="BZ70" s="13">
        <f>BY70*VLOOKUP('Données projet'!$B$12,Paramètres!$A$1:$I$89,3,0)*VLOOKUP('Données projet'!$B$12,Paramètres!$A$1:$I$89,5,0)</f>
        <v>272.50860000000011</v>
      </c>
      <c r="CA70" s="13">
        <f t="shared" si="93"/>
        <v>65.381370626128245</v>
      </c>
      <c r="CB70" s="20">
        <f t="shared" si="64"/>
        <v>588.49169884050696</v>
      </c>
      <c r="CC70" s="59">
        <f t="shared" si="65"/>
        <v>881.82503217384033</v>
      </c>
      <c r="CD70" s="59">
        <f ca="1">AVERAGE(OFFSET($CC$3,0,0,'Données projet'!$E$12+1,1))-AVERAGE(OFFSET($H$3,0,0,'Données projet'!$E$12+1,1))</f>
        <v>270.30888762640245</v>
      </c>
      <c r="CE70" s="59">
        <f t="shared" si="94"/>
        <v>202.23783851977691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1.0293465064431109</v>
      </c>
      <c r="CL70" s="21">
        <f>EXP(-LN(2)/25)*CL69+(1-EXP(-LN(2)/25))/(LN(2)/25)*Calculateur!CG70*Calculateur!CI70*VLOOKUP('Données projet'!$B$12,Paramètres!$A$1:$I$89,3,0)*0.475*44/12</f>
        <v>4.4076945710079265</v>
      </c>
      <c r="CM70" s="21">
        <f>EXP(-LN(2)/2)*CM69+(1-EXP(-LN(2)/2))/(LN(2)/2)*CG70*CJ70*VLOOKUP('Données projet'!$B$12,Paramètres!$A$1:$I$89,3,0)*0.475*44/12</f>
        <v>4.9881931050553392E-5</v>
      </c>
      <c r="CN70" s="22">
        <f t="shared" si="66"/>
        <v>5.437090959382088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4.9000000000000004</v>
      </c>
      <c r="CT70" s="12">
        <f>IF('Données projet'!$A$140&gt;35,CT69+CS70-DB69,IF(A70&lt;'Données projet'!$A$140,$CQ$205^A70,IF(A70='Données projet'!$A$140,'Données projet'!$B$140,CT69+CS70-DB69)))</f>
        <v>314.29999999999978</v>
      </c>
      <c r="CU70" s="17">
        <f>CT70*VLOOKUP('Données projet'!$B$13,Paramètres!$A$1:$I$89,3,0)*VLOOKUP('Données projet'!$B$13,Paramètres!$A$1:$I$89,5,0)</f>
        <v>250.05707999999984</v>
      </c>
      <c r="CV70" s="13">
        <f t="shared" si="95"/>
        <v>60.598163512847748</v>
      </c>
      <c r="CW70" s="20">
        <f t="shared" si="67"/>
        <v>541.05788245154292</v>
      </c>
      <c r="CX70" s="59">
        <f t="shared" si="68"/>
        <v>834.39121578487629</v>
      </c>
      <c r="CY70" s="59">
        <f ca="1">AVERAGE(OFFSET($CX$3,0,0,'Données projet'!$E$13+1,1))-AVERAGE(OFFSET($H$3,0,0,'Données projet'!$E$13+1,1))</f>
        <v>260.20517190557814</v>
      </c>
      <c r="CZ70" s="59">
        <f t="shared" si="96"/>
        <v>307.22009971147133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1.5681372985837441</v>
      </c>
      <c r="DG70" s="21">
        <f>EXP(-LN(2)/25)*DG69+(1-EXP(-LN(2)/25))/(LN(2)/25)*Calculateur!DB70*Calculateur!DD70*VLOOKUP('Données projet'!$B$13,Paramètres!$A$1:$I$89,3,0)*0.475*44/12</f>
        <v>7.3560480036056317</v>
      </c>
      <c r="DH70" s="21">
        <f>EXP(-LN(2)/2)*DH69+(1-EXP(-LN(2)/2))/(LN(2)/2)*DB70*DE70*VLOOKUP('Données projet'!$B$13,Paramètres!$A$1:$I$89,3,0)*0.475*44/12</f>
        <v>6.4842850239945859E-5</v>
      </c>
      <c r="DI70" s="22">
        <f t="shared" si="69"/>
        <v>8.9242501450396148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8.1001602564102555</v>
      </c>
      <c r="DO70" s="12">
        <f>IF('Données projet'!$A$166&gt;35,DO69+DN70-DW69,IF(A70&lt;'Données projet'!$A$166,$DL$205^A70,IF(A70='Données projet'!$A$166,'Données projet'!$B$166,DO69+DN70-DW69)))</f>
        <v>210.96474358974362</v>
      </c>
      <c r="DP70" s="17">
        <f>DO70*VLOOKUP('Données projet'!$B$14,Paramètres!$A$1:$I$89,3,0)*VLOOKUP('Données projet'!$B$14,Paramètres!$A$1:$I$89,5,0)</f>
        <v>213.91825000000006</v>
      </c>
      <c r="DQ70" s="13">
        <f t="shared" si="97"/>
        <v>52.790898498252119</v>
      </c>
      <c r="DR70" s="20">
        <f t="shared" si="70"/>
        <v>464.51843363445579</v>
      </c>
      <c r="DS70" s="59">
        <f t="shared" si="71"/>
        <v>757.8517669677891</v>
      </c>
      <c r="DT70" s="59">
        <f ca="1">AVERAGE(OFFSET($DS$3,0,0,'Données projet'!$E$14+1,1))-AVERAGE(OFFSET($H$3,0,0,'Données projet'!$E$14+1,1))</f>
        <v>263.15518481854753</v>
      </c>
      <c r="DU70" s="59">
        <f t="shared" si="98"/>
        <v>210.80755370263819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0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4.9000000000000004</v>
      </c>
      <c r="EJ70" s="12">
        <f>IF('Données projet'!$A$192&gt;35,EJ69+EI70-ER69,IF(A70&lt;'Données projet'!$A$192,$EG$205^A70,IF(A70='Données projet'!$A$192,'Données projet'!$B$192,EJ69+EI70-ER69)))</f>
        <v>314.29999999999978</v>
      </c>
      <c r="EK70" s="17">
        <f>EJ70*VLOOKUP('Données projet'!$B$15,Paramètres!$A$1:$I$89,3,0)*VLOOKUP('Données projet'!$B$15,Paramètres!$A$1:$I$89,5,0)</f>
        <v>210.83243999999988</v>
      </c>
      <c r="EL70" s="13">
        <f t="shared" si="99"/>
        <v>52.117452876665347</v>
      </c>
      <c r="EM70" s="20">
        <f t="shared" si="73"/>
        <v>457.97106342685856</v>
      </c>
      <c r="EN70" s="59">
        <f t="shared" si="74"/>
        <v>751.30439676019182</v>
      </c>
      <c r="EO70" s="59">
        <f ca="1">AVERAGE(OFFSET($EN$3,0,0,'Données projet'!$E$15+1,1))-AVERAGE(OFFSET($H$3,0,0,'Données projet'!$E$15+1,1))</f>
        <v>207.93042467236967</v>
      </c>
      <c r="EP70" s="59">
        <f t="shared" si="100"/>
        <v>250.70954318710835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1.3221549772372738</v>
      </c>
      <c r="EW70" s="21">
        <f>EXP(-LN(2)/25)*EW69+(1-EXP(-LN(2)/25))/(LN(2)/25)*Calculateur!ER70*Calculateur!ET70*VLOOKUP('Données projet'!$B$15,Paramètres!$A$1:$I$89,3,0)*0.475*44/12</f>
        <v>6.2021581206871081</v>
      </c>
      <c r="EX70" s="21">
        <f>EXP(-LN(2)/2)*EX69+(1-EXP(-LN(2)/2))/(LN(2)/2)*ER70*EU70*VLOOKUP('Données projet'!$B$15,Paramètres!$A$1:$I$89,3,0)*0.475*44/12</f>
        <v>5.4671422751326898E-5</v>
      </c>
      <c r="EY70" s="22">
        <f t="shared" si="75"/>
        <v>7.5243677693471334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8.1001602564102555</v>
      </c>
      <c r="FE70" s="12">
        <f>IF('Données projet'!$A$218&gt;35,FE69+FD70-FM69,IF(A70&lt;'Données projet'!$A$218,$FB$205^A70,IF(A70='Données projet'!$A$218,'Données projet'!$B$218,FE69+FD70-FM69)))</f>
        <v>210.96474358974362</v>
      </c>
      <c r="FF70" s="17">
        <f>FE70*VLOOKUP('Données projet'!$B$16,Paramètres!$A$1:$I$89,3,0)*VLOOKUP('Données projet'!$B$16,Paramètres!$A$1:$I$89,5,0)</f>
        <v>227.08244999999999</v>
      </c>
      <c r="FG70" s="13">
        <f t="shared" si="101"/>
        <v>55.651371065236084</v>
      </c>
      <c r="FH70" s="20">
        <f t="shared" si="76"/>
        <v>492.42807168861947</v>
      </c>
      <c r="FI70" s="59">
        <f t="shared" si="77"/>
        <v>785.76140502195278</v>
      </c>
      <c r="FJ70" s="59">
        <f ca="1">AVERAGE(OFFSET($FI$3,0,0,'Données projet'!$E$16+1,1))-AVERAGE(OFFSET($H$3,0,0,'Données projet'!$E$16+1,1))</f>
        <v>286.77702855541287</v>
      </c>
      <c r="FK70" s="59">
        <f t="shared" si="102"/>
        <v>227.12211541860779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0</v>
      </c>
      <c r="FR70" s="21">
        <f>EXP(-LN(2)/25)*FR69+(1-EXP(-LN(2)/25))/(LN(2)/25)*Calculateur!FM70*Calculateur!FO70*VLOOKUP('Données projet'!$B$16,Paramètres!$A$1:$I$89,3,0)*0.475*44/12</f>
        <v>0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0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10.314743589743586</v>
      </c>
      <c r="FZ70" s="12">
        <f>IF('Données projet'!$A$244&gt;35,FZ69+FY70-GH69,IF(A70&lt;'Données projet'!$A$244,$FW$205^A70,IF(A70='Données projet'!$A$244,'Données projet'!$B$244,FZ69+FY70-GH69)))</f>
        <v>296.2423076923078</v>
      </c>
      <c r="GA70" s="17">
        <f>FZ70*VLOOKUP('Données projet'!$B$17,Paramètres!$A$1:$I$89,3,0)*VLOOKUP('Données projet'!$B$17,Paramètres!$A$1:$I$89,5,0)</f>
        <v>138.64140000000006</v>
      </c>
      <c r="GB70" s="13">
        <f t="shared" si="103"/>
        <v>35.985592892108897</v>
      </c>
      <c r="GC70" s="20">
        <f t="shared" si="79"/>
        <v>304.14201262042309</v>
      </c>
      <c r="GD70" s="59">
        <f t="shared" si="80"/>
        <v>597.47534595375646</v>
      </c>
      <c r="GE70" s="59">
        <f ca="1">AVERAGE(OFFSET($GD$3,0,0,'Données projet'!$E$17+1,1))-AVERAGE(OFFSET($H$3,0,0,'Données projet'!$E$17+1,1))</f>
        <v>123.2823358462245</v>
      </c>
      <c r="GF70" s="59">
        <f t="shared" si="104"/>
        <v>92.75115399786057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0</v>
      </c>
      <c r="GM70" s="21">
        <f>EXP(-LN(2)/25)*GM69+(1-EXP(-LN(2)/25))/(LN(2)/25)*Calculateur!GH70*Calculateur!GJ70*VLOOKUP('Données projet'!$B$17,Paramètres!$A$1:$I$89,3,0)*0.475*44/12</f>
        <v>0</v>
      </c>
      <c r="GN70" s="21">
        <f>EXP(-LN(2)/2)*GN69+(1-EXP(-LN(2)/2))/(LN(2)/2)*GH70*GK70*VLOOKUP('Données projet'!$B$17,Paramètres!$A$1:$I$89,3,0)*0.475*44/12</f>
        <v>0</v>
      </c>
      <c r="GO70" s="21">
        <f t="shared" si="81"/>
        <v>0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-2.8421709430404007E-13</v>
      </c>
      <c r="GV70" s="17">
        <f>GU70*VLOOKUP('Données projet'!$B$18,Paramètres!$A$1:$I$89,3,0)*VLOOKUP('Données projet'!$B$18,Paramètres!$A$1:$I$89,5,0)</f>
        <v>-1.69961822393816E-13</v>
      </c>
      <c r="GW70" s="13" t="e">
        <f t="shared" si="105"/>
        <v>#NUM!</v>
      </c>
      <c r="GX70" s="20" t="e">
        <f t="shared" si="82"/>
        <v>#NUM!</v>
      </c>
      <c r="GY70" s="59" t="e">
        <f t="shared" si="83"/>
        <v>#NUM!</v>
      </c>
      <c r="GZ70" s="59">
        <f ca="1">AVERAGE(OFFSET($GY$3,0,0,'Données projet'!$E$18+1,1))-AVERAGE(OFFSET($H$3,0,0,'Données projet'!$E$18+1,1))</f>
        <v>171.96009656745713</v>
      </c>
      <c r="HA70" s="59">
        <f t="shared" si="106"/>
        <v>172.37574906747716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>
        <f>EXP(-LN(2)/35)*HG69+(1-EXP(-LN(2)/35))/(LN(2)/35)*HC70*HD70*VLOOKUP('Données projet'!$B$18,Paramètres!$A$1:$I$89,3,0)*0.475*44/12</f>
        <v>0.80163661269331754</v>
      </c>
      <c r="HH70" s="21">
        <f>EXP(-LN(2)/25)*HH69+(1-EXP(-LN(2)/25))/(LN(2)/25)*Calculateur!HC70*Calculateur!HE70*VLOOKUP('Données projet'!$B$18,Paramètres!$A$1:$I$89,3,0)*0.475*44/12</f>
        <v>7.3694439403582948</v>
      </c>
      <c r="HI70" s="21">
        <f>EXP(-LN(2)/2)*HI69+(1-EXP(-LN(2)/2))/(LN(2)/2)*HC70*HF70*VLOOKUP('Données projet'!$B$18,Paramètres!$A$1:$I$89,3,0)*0.475*44/12</f>
        <v>3.2489141020653414E-5</v>
      </c>
      <c r="HJ70" s="22">
        <f t="shared" si="84"/>
        <v>8.1711130421926317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-2.2737367544323206E-13</v>
      </c>
      <c r="O71" s="13">
        <f>N71*VLOOKUP('Données projet'!$B$9,Paramètres!$A$1:$I$89,3,0)*VLOOKUP('Données projet'!$B$9,Paramètres!$A$1:$I$89,5,0)</f>
        <v>-1.2710188457276673E-13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255.5374979188561</v>
      </c>
      <c r="T71" s="59">
        <f t="shared" si="88"/>
        <v>343.10418468620901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1.455900360536613</v>
      </c>
      <c r="AA71" s="21">
        <f>EXP(-LN(2)/25)*AA70+(1-EXP(-LN(2)/25))/(LN(2)/25)*Calculateur!V71*Calculateur!X71*VLOOKUP('Données projet'!$B$9,Paramètres!$A$1:$I$89,3,0)*0.475*44/12</f>
        <v>5.5651175838131364</v>
      </c>
      <c r="AB71" s="21">
        <f>EXP(-LN(2)/2)*AB70+(1-EXP(-LN(2)/2))/(LN(2)/2)*V71*Y71*VLOOKUP('Données projet'!$B$9,Paramètres!$A$1:$I$89,3,0)*0.475*44/12</f>
        <v>3.228477629573948E-6</v>
      </c>
      <c r="AC71" s="22">
        <f t="shared" si="57"/>
        <v>7.0210211728273784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13.737499999999997</v>
      </c>
      <c r="AI71" s="13">
        <f>IF('Données projet'!$A$62&gt;35,AI70+AH71-AQ70,IF(A71&lt;'Données projet'!$A$62,$AF$205^A71,IF(A71='Données projet'!$A$62,'Données projet'!$B$62,AI70+AH71-AQ70)))</f>
        <v>372.74134615384617</v>
      </c>
      <c r="AJ71" s="13">
        <f>AI71*VLOOKUP('Données projet'!$B$10,Paramètres!$A$1:$I$89,3,0)*VLOOKUP('Données projet'!$B$10,Paramètres!$A$1:$I$89,5,0)</f>
        <v>174.44295000000002</v>
      </c>
      <c r="AK71" s="13">
        <f t="shared" si="89"/>
        <v>44.083597545116064</v>
      </c>
      <c r="AL71" s="20">
        <f t="shared" si="58"/>
        <v>380.60040364107721</v>
      </c>
      <c r="AM71" s="59">
        <f t="shared" si="59"/>
        <v>673.93373697441052</v>
      </c>
      <c r="AN71" s="59">
        <f ca="1">AVERAGE(OFFSET($AM$3,0,0,'Données projet'!$E$10+1,1))-AVERAGE(OFFSET($H$3,0,0,'Données projet'!$E$10+1,1))</f>
        <v>158.58786357608489</v>
      </c>
      <c r="AO71" s="59">
        <f t="shared" si="90"/>
        <v>163.20074068819849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-1.7053025658242404E-13</v>
      </c>
      <c r="BE71" s="13">
        <f>BD71*VLOOKUP('Données projet'!$B$11,Paramètres!$A$1:$I$89,3,0)*VLOOKUP('Données projet'!$B$11,Paramètres!$A$1:$I$89,5,0)</f>
        <v>-1.0197709343628959E-13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243.85350804244348</v>
      </c>
      <c r="BJ71" s="59">
        <f t="shared" si="92"/>
        <v>304.60992308960545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2.1323881463788421</v>
      </c>
      <c r="BQ71" s="21">
        <f>EXP(-LN(2)/25)*BQ70+(1-EXP(-LN(2)/25))/(LN(2)/25)*Calculateur!BL71*Calculateur!BN71*VLOOKUP('Données projet'!$B$11,Paramètres!$A$1:$I$89,3,0)*0.475*44/12</f>
        <v>6.1818180107064267</v>
      </c>
      <c r="BR71" s="21">
        <f>EXP(-LN(2)/2)*BR70+(1-EXP(-LN(2)/2))/(LN(2)/2)*BL71*BO71*VLOOKUP('Données projet'!$B$11,Paramètres!$A$1:$I$89,3,0)*0.475*44/12</f>
        <v>7.130101255935097E-6</v>
      </c>
      <c r="BS71" s="22">
        <f t="shared" si="63"/>
        <v>8.3142132871865257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14.1</v>
      </c>
      <c r="BY71" s="12">
        <f>IF('Données projet'!$A$114&gt;35,BY70+BX71-CG70,IF(A71&lt;'Données projet'!$A$114,$BV$205^A71,IF(A71='Données projet'!$A$114,'Données projet'!$B$114,BY70+BX71-CG70)))</f>
        <v>469.80000000000024</v>
      </c>
      <c r="BZ71" s="13">
        <f>BY71*VLOOKUP('Données projet'!$B$12,Paramètres!$A$1:$I$89,3,0)*VLOOKUP('Données projet'!$B$12,Paramètres!$A$1:$I$89,5,0)</f>
        <v>280.94040000000018</v>
      </c>
      <c r="CA71" s="13">
        <f t="shared" si="93"/>
        <v>67.165703636653262</v>
      </c>
      <c r="CB71" s="20">
        <f t="shared" si="64"/>
        <v>606.2847971671714</v>
      </c>
      <c r="CC71" s="59">
        <f t="shared" si="65"/>
        <v>899.61813050050478</v>
      </c>
      <c r="CD71" s="59">
        <f ca="1">AVERAGE(OFFSET($CC$3,0,0,'Données projet'!$E$12+1,1))-AVERAGE(OFFSET($H$3,0,0,'Données projet'!$E$12+1,1))</f>
        <v>270.30888762640245</v>
      </c>
      <c r="CE71" s="59">
        <f t="shared" si="94"/>
        <v>202.23783851977691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1.0091616492911364</v>
      </c>
      <c r="CL71" s="21">
        <f>EXP(-LN(2)/25)*CL70+(1-EXP(-LN(2)/25))/(LN(2)/25)*Calculateur!CG71*Calculateur!CI71*VLOOKUP('Données projet'!$B$12,Paramètres!$A$1:$I$89,3,0)*0.475*44/12</f>
        <v>4.2871659311731314</v>
      </c>
      <c r="CM71" s="21">
        <f>EXP(-LN(2)/2)*CM70+(1-EXP(-LN(2)/2))/(LN(2)/2)*CG71*CJ71*VLOOKUP('Données projet'!$B$12,Paramètres!$A$1:$I$89,3,0)*0.475*44/12</f>
        <v>3.5271851704526108E-5</v>
      </c>
      <c r="CN71" s="22">
        <f t="shared" si="66"/>
        <v>5.2963628523159718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4.9000000000000004</v>
      </c>
      <c r="CT71" s="12">
        <f>IF('Données projet'!$A$140&gt;35,CT70+CS71-DB70,IF(A71&lt;'Données projet'!$A$140,$CQ$205^A71,IF(A71='Données projet'!$A$140,'Données projet'!$B$140,CT70+CS71-DB70)))</f>
        <v>319.19999999999976</v>
      </c>
      <c r="CU71" s="17">
        <f>CT71*VLOOKUP('Données projet'!$B$13,Paramètres!$A$1:$I$89,3,0)*VLOOKUP('Données projet'!$B$13,Paramètres!$A$1:$I$89,5,0)</f>
        <v>253.95551999999984</v>
      </c>
      <c r="CV71" s="13">
        <f t="shared" si="95"/>
        <v>61.432180511879196</v>
      </c>
      <c r="CW71" s="20">
        <f t="shared" si="67"/>
        <v>549.30024505818926</v>
      </c>
      <c r="CX71" s="59">
        <f t="shared" si="68"/>
        <v>842.63357839152263</v>
      </c>
      <c r="CY71" s="59">
        <f ca="1">AVERAGE(OFFSET($CX$3,0,0,'Données projet'!$E$13+1,1))-AVERAGE(OFFSET($H$3,0,0,'Données projet'!$E$13+1,1))</f>
        <v>260.20517190557814</v>
      </c>
      <c r="CZ71" s="59">
        <f t="shared" si="96"/>
        <v>307.22009971147133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1.5373870826278255</v>
      </c>
      <c r="DG71" s="21">
        <f>EXP(-LN(2)/25)*DG70+(1-EXP(-LN(2)/25))/(LN(2)/25)*Calculateur!DB71*Calculateur!DD71*VLOOKUP('Données projet'!$B$13,Paramètres!$A$1:$I$89,3,0)*0.475*44/12</f>
        <v>7.1548964841092833</v>
      </c>
      <c r="DH71" s="21">
        <f>EXP(-LN(2)/2)*DH70+(1-EXP(-LN(2)/2))/(LN(2)/2)*DB71*DE71*VLOOKUP('Données projet'!$B$13,Paramètres!$A$1:$I$89,3,0)*0.475*44/12</f>
        <v>4.5850819116129467E-5</v>
      </c>
      <c r="DI71" s="22">
        <f t="shared" si="69"/>
        <v>8.6923294175562251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8.1001602564102555</v>
      </c>
      <c r="DO71" s="12">
        <f>IF('Données projet'!$A$166&gt;35,DO70+DN71-DW70,IF(A71&lt;'Données projet'!$A$166,$DL$205^A71,IF(A71='Données projet'!$A$166,'Données projet'!$B$166,DO70+DN71-DW70)))</f>
        <v>219.06490384615387</v>
      </c>
      <c r="DP71" s="17">
        <f>DO71*VLOOKUP('Données projet'!$B$14,Paramètres!$A$1:$I$89,3,0)*VLOOKUP('Données projet'!$B$14,Paramètres!$A$1:$I$89,5,0)</f>
        <v>222.13181250000002</v>
      </c>
      <c r="DQ71" s="13">
        <f t="shared" si="97"/>
        <v>54.577964266842734</v>
      </c>
      <c r="DR71" s="20">
        <f t="shared" si="70"/>
        <v>481.93619453558449</v>
      </c>
      <c r="DS71" s="59">
        <f t="shared" si="71"/>
        <v>775.26952786891775</v>
      </c>
      <c r="DT71" s="59">
        <f ca="1">AVERAGE(OFFSET($DS$3,0,0,'Données projet'!$E$14+1,1))-AVERAGE(OFFSET($H$3,0,0,'Données projet'!$E$14+1,1))</f>
        <v>263.15518481854753</v>
      </c>
      <c r="DU71" s="59">
        <f t="shared" si="98"/>
        <v>210.80755370263819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0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4.9000000000000004</v>
      </c>
      <c r="EJ71" s="12">
        <f>IF('Données projet'!$A$192&gt;35,EJ70+EI71-ER70,IF(A71&lt;'Données projet'!$A$192,$EG$205^A71,IF(A71='Données projet'!$A$192,'Données projet'!$B$192,EJ70+EI71-ER70)))</f>
        <v>319.19999999999976</v>
      </c>
      <c r="EK71" s="17">
        <f>EJ71*VLOOKUP('Données projet'!$B$15,Paramètres!$A$1:$I$89,3,0)*VLOOKUP('Données projet'!$B$15,Paramètres!$A$1:$I$89,5,0)</f>
        <v>214.11935999999983</v>
      </c>
      <c r="EL71" s="13">
        <f t="shared" si="99"/>
        <v>52.834749228990347</v>
      </c>
      <c r="EM71" s="20">
        <f t="shared" si="73"/>
        <v>464.94507357382457</v>
      </c>
      <c r="EN71" s="59">
        <f t="shared" si="74"/>
        <v>758.27840690715789</v>
      </c>
      <c r="EO71" s="59">
        <f ca="1">AVERAGE(OFFSET($EN$3,0,0,'Données projet'!$E$15+1,1))-AVERAGE(OFFSET($H$3,0,0,'Données projet'!$E$15+1,1))</f>
        <v>207.93042467236967</v>
      </c>
      <c r="EP71" s="59">
        <f t="shared" si="100"/>
        <v>250.70954318710835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1.2962283245685582</v>
      </c>
      <c r="EW71" s="21">
        <f>EXP(-LN(2)/25)*EW70+(1-EXP(-LN(2)/25))/(LN(2)/25)*Calculateur!ER71*Calculateur!ET71*VLOOKUP('Données projet'!$B$15,Paramètres!$A$1:$I$89,3,0)*0.475*44/12</f>
        <v>6.0325597807195992</v>
      </c>
      <c r="EX71" s="21">
        <f>EXP(-LN(2)/2)*EX70+(1-EXP(-LN(2)/2))/(LN(2)/2)*ER71*EU71*VLOOKUP('Données projet'!$B$15,Paramètres!$A$1:$I$89,3,0)*0.475*44/12</f>
        <v>3.8658533764579744E-5</v>
      </c>
      <c r="EY71" s="22">
        <f t="shared" si="75"/>
        <v>7.3288267638219216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8.1001602564102555</v>
      </c>
      <c r="FE71" s="12">
        <f>IF('Données projet'!$A$218&gt;35,FE70+FD71-FM70,IF(A71&lt;'Données projet'!$A$218,$FB$205^A71,IF(A71='Données projet'!$A$218,'Données projet'!$B$218,FE70+FD71-FM70)))</f>
        <v>219.06490384615387</v>
      </c>
      <c r="FF71" s="17">
        <f>FE71*VLOOKUP('Données projet'!$B$16,Paramètres!$A$1:$I$89,3,0)*VLOOKUP('Données projet'!$B$16,Paramètres!$A$1:$I$89,5,0)</f>
        <v>235.80146250000001</v>
      </c>
      <c r="FG71" s="13">
        <f t="shared" si="101"/>
        <v>57.535268915717083</v>
      </c>
      <c r="FH71" s="20">
        <f t="shared" si="76"/>
        <v>510.89480721570732</v>
      </c>
      <c r="FI71" s="59">
        <f t="shared" si="77"/>
        <v>804.22814054904063</v>
      </c>
      <c r="FJ71" s="59">
        <f ca="1">AVERAGE(OFFSET($FI$3,0,0,'Données projet'!$E$16+1,1))-AVERAGE(OFFSET($H$3,0,0,'Données projet'!$E$16+1,1))</f>
        <v>286.77702855541287</v>
      </c>
      <c r="FK71" s="59">
        <f t="shared" si="102"/>
        <v>227.12211541860779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0</v>
      </c>
      <c r="FR71" s="21">
        <f>EXP(-LN(2)/25)*FR70+(1-EXP(-LN(2)/25))/(LN(2)/25)*Calculateur!FM71*Calculateur!FO71*VLOOKUP('Données projet'!$B$16,Paramètres!$A$1:$I$89,3,0)*0.475*44/12</f>
        <v>0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0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10.314743589743586</v>
      </c>
      <c r="FZ71" s="12">
        <f>IF('Données projet'!$A$244&gt;35,FZ70+FY71-GH70,IF(A71&lt;'Données projet'!$A$244,$FW$205^A71,IF(A71='Données projet'!$A$244,'Données projet'!$B$244,FZ70+FY71-GH70)))</f>
        <v>306.55705128205136</v>
      </c>
      <c r="GA71" s="17">
        <f>FZ71*VLOOKUP('Données projet'!$B$17,Paramètres!$A$1:$I$89,3,0)*VLOOKUP('Données projet'!$B$17,Paramètres!$A$1:$I$89,5,0)</f>
        <v>143.46870000000004</v>
      </c>
      <c r="GB71" s="13">
        <f t="shared" si="103"/>
        <v>37.090500536695608</v>
      </c>
      <c r="GC71" s="20">
        <f t="shared" si="79"/>
        <v>314.47394093474492</v>
      </c>
      <c r="GD71" s="59">
        <f t="shared" si="80"/>
        <v>607.80727426807823</v>
      </c>
      <c r="GE71" s="59">
        <f ca="1">AVERAGE(OFFSET($GD$3,0,0,'Données projet'!$E$17+1,1))-AVERAGE(OFFSET($H$3,0,0,'Données projet'!$E$17+1,1))</f>
        <v>123.2823358462245</v>
      </c>
      <c r="GF71" s="59">
        <f t="shared" si="104"/>
        <v>92.75115399786057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0</v>
      </c>
      <c r="GM71" s="21">
        <f>EXP(-LN(2)/25)*GM70+(1-EXP(-LN(2)/25))/(LN(2)/25)*Calculateur!GH71*Calculateur!GJ71*VLOOKUP('Données projet'!$B$17,Paramètres!$A$1:$I$89,3,0)*0.475*44/12</f>
        <v>0</v>
      </c>
      <c r="GN71" s="21">
        <f>EXP(-LN(2)/2)*GN70+(1-EXP(-LN(2)/2))/(LN(2)/2)*GH71*GK71*VLOOKUP('Données projet'!$B$17,Paramètres!$A$1:$I$89,3,0)*0.475*44/12</f>
        <v>0</v>
      </c>
      <c r="GO71" s="21">
        <f t="shared" si="81"/>
        <v>0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-2.8421709430404007E-13</v>
      </c>
      <c r="GV71" s="17">
        <f>GU71*VLOOKUP('Données projet'!$B$18,Paramètres!$A$1:$I$89,3,0)*VLOOKUP('Données projet'!$B$18,Paramètres!$A$1:$I$89,5,0)</f>
        <v>-1.69961822393816E-13</v>
      </c>
      <c r="GW71" s="13" t="e">
        <f t="shared" si="105"/>
        <v>#NUM!</v>
      </c>
      <c r="GX71" s="20" t="e">
        <f t="shared" si="82"/>
        <v>#NUM!</v>
      </c>
      <c r="GY71" s="59" t="e">
        <f t="shared" si="83"/>
        <v>#NUM!</v>
      </c>
      <c r="GZ71" s="59">
        <f ca="1">AVERAGE(OFFSET($GY$3,0,0,'Données projet'!$E$18+1,1))-AVERAGE(OFFSET($H$3,0,0,'Données projet'!$E$18+1,1))</f>
        <v>171.96009656745713</v>
      </c>
      <c r="HA71" s="59">
        <f t="shared" si="106"/>
        <v>172.37574906747716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>
        <f>EXP(-LN(2)/35)*HG70+(1-EXP(-LN(2)/35))/(LN(2)/35)*HC71*HD71*VLOOKUP('Données projet'!$B$18,Paramètres!$A$1:$I$89,3,0)*0.475*44/12</f>
        <v>0.78591700766845551</v>
      </c>
      <c r="HH71" s="21">
        <f>EXP(-LN(2)/25)*HH70+(1-EXP(-LN(2)/25))/(LN(2)/25)*Calculateur!HC71*Calculateur!HE71*VLOOKUP('Données projet'!$B$18,Paramètres!$A$1:$I$89,3,0)*0.475*44/12</f>
        <v>7.1679261082669834</v>
      </c>
      <c r="HI71" s="21">
        <f>EXP(-LN(2)/2)*HI70+(1-EXP(-LN(2)/2))/(LN(2)/2)*HC71*HF71*VLOOKUP('Données projet'!$B$18,Paramètres!$A$1:$I$89,3,0)*0.475*44/12</f>
        <v>2.2973291930630059E-5</v>
      </c>
      <c r="HJ71" s="22">
        <f t="shared" si="84"/>
        <v>7.95386608922737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-2.2737367544323206E-13</v>
      </c>
      <c r="O72" s="13">
        <f>N72*VLOOKUP('Données projet'!$B$9,Paramètres!$A$1:$I$89,3,0)*VLOOKUP('Données projet'!$B$9,Paramètres!$A$1:$I$89,5,0)</f>
        <v>-1.2710188457276673E-13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255.5374979188561</v>
      </c>
      <c r="T72" s="59">
        <f t="shared" si="88"/>
        <v>343.10418468620901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1.427351042478026</v>
      </c>
      <c r="AA72" s="21">
        <f>EXP(-LN(2)/25)*AA71+(1-EXP(-LN(2)/25))/(LN(2)/25)*Calculateur!V72*Calculateur!X72*VLOOKUP('Données projet'!$B$9,Paramètres!$A$1:$I$89,3,0)*0.475*44/12</f>
        <v>5.4129391508269515</v>
      </c>
      <c r="AB72" s="21">
        <f>EXP(-LN(2)/2)*AB71+(1-EXP(-LN(2)/2))/(LN(2)/2)*V72*Y72*VLOOKUP('Données projet'!$B$9,Paramètres!$A$1:$I$89,3,0)*0.475*44/12</f>
        <v>2.2828784247808092E-6</v>
      </c>
      <c r="AC72" s="22">
        <f t="shared" si="57"/>
        <v>6.8402924761834027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13.737499999999997</v>
      </c>
      <c r="AI72" s="13">
        <f>IF('Données projet'!$A$62&gt;35,AI71+AH72-AQ71,IF(A72&lt;'Données projet'!$A$62,$AF$205^A72,IF(A72='Données projet'!$A$62,'Données projet'!$B$62,AI71+AH72-AQ71)))</f>
        <v>386.47884615384618</v>
      </c>
      <c r="AJ72" s="13">
        <f>AI72*VLOOKUP('Données projet'!$B$10,Paramètres!$A$1:$I$89,3,0)*VLOOKUP('Données projet'!$B$10,Paramètres!$A$1:$I$89,5,0)</f>
        <v>180.87209999999999</v>
      </c>
      <c r="AK72" s="13">
        <f t="shared" si="89"/>
        <v>45.516157736157588</v>
      </c>
      <c r="AL72" s="20">
        <f t="shared" si="58"/>
        <v>394.29288222380774</v>
      </c>
      <c r="AM72" s="59">
        <f t="shared" si="59"/>
        <v>687.62621555714099</v>
      </c>
      <c r="AN72" s="59">
        <f ca="1">AVERAGE(OFFSET($AM$3,0,0,'Données projet'!$E$10+1,1))-AVERAGE(OFFSET($H$3,0,0,'Données projet'!$E$10+1,1))</f>
        <v>158.58786357608489</v>
      </c>
      <c r="AO72" s="59">
        <f t="shared" si="90"/>
        <v>163.20074068819849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-1.7053025658242404E-13</v>
      </c>
      <c r="BE72" s="13">
        <f>BD72*VLOOKUP('Données projet'!$B$11,Paramètres!$A$1:$I$89,3,0)*VLOOKUP('Données projet'!$B$11,Paramètres!$A$1:$I$89,5,0)</f>
        <v>-1.0197709343628959E-13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243.85350804244348</v>
      </c>
      <c r="BJ72" s="59">
        <f t="shared" si="92"/>
        <v>304.60992308960545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2.0905733154566959</v>
      </c>
      <c r="BQ72" s="21">
        <f>EXP(-LN(2)/25)*BQ71+(1-EXP(-LN(2)/25))/(LN(2)/25)*Calculateur!BL72*Calculateur!BN72*VLOOKUP('Données projet'!$B$11,Paramètres!$A$1:$I$89,3,0)*0.475*44/12</f>
        <v>6.012775872115979</v>
      </c>
      <c r="BR72" s="21">
        <f>EXP(-LN(2)/2)*BR71+(1-EXP(-LN(2)/2))/(LN(2)/2)*BL72*BO72*VLOOKUP('Données projet'!$B$11,Paramètres!$A$1:$I$89,3,0)*0.475*44/12</f>
        <v>5.0417429486184263E-6</v>
      </c>
      <c r="BS72" s="22">
        <f t="shared" si="63"/>
        <v>8.1033542293156238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14.1</v>
      </c>
      <c r="BY72" s="12">
        <f>IF('Données projet'!$A$114&gt;35,BY71+BX72-CG71,IF(A72&lt;'Données projet'!$A$114,$BV$205^A72,IF(A72='Données projet'!$A$114,'Données projet'!$B$114,BY71+BX72-CG71)))</f>
        <v>483.90000000000026</v>
      </c>
      <c r="BZ72" s="13">
        <f>BY72*VLOOKUP('Données projet'!$B$12,Paramètres!$A$1:$I$89,3,0)*VLOOKUP('Données projet'!$B$12,Paramètres!$A$1:$I$89,5,0)</f>
        <v>289.37220000000019</v>
      </c>
      <c r="CA72" s="13">
        <f t="shared" si="93"/>
        <v>68.943812992253996</v>
      </c>
      <c r="CB72" s="20">
        <f t="shared" si="64"/>
        <v>624.06705596150925</v>
      </c>
      <c r="CC72" s="59">
        <f t="shared" si="65"/>
        <v>917.40038929484263</v>
      </c>
      <c r="CD72" s="59">
        <f ca="1">AVERAGE(OFFSET($CC$3,0,0,'Données projet'!$E$12+1,1))-AVERAGE(OFFSET($H$3,0,0,'Données projet'!$E$12+1,1))</f>
        <v>270.30888762640245</v>
      </c>
      <c r="CE72" s="59">
        <f t="shared" si="94"/>
        <v>202.23783851977691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0.98937260487636491</v>
      </c>
      <c r="CL72" s="21">
        <f>EXP(-LN(2)/25)*CL71+(1-EXP(-LN(2)/25))/(LN(2)/25)*Calculateur!CG72*Calculateur!CI72*VLOOKUP('Données projet'!$B$12,Paramètres!$A$1:$I$89,3,0)*0.475*44/12</f>
        <v>4.169933153332944</v>
      </c>
      <c r="CM72" s="21">
        <f>EXP(-LN(2)/2)*CM71+(1-EXP(-LN(2)/2))/(LN(2)/2)*CG72*CJ72*VLOOKUP('Données projet'!$B$12,Paramètres!$A$1:$I$89,3,0)*0.475*44/12</f>
        <v>2.4940965525276696E-5</v>
      </c>
      <c r="CN72" s="22">
        <f t="shared" si="66"/>
        <v>5.1593306991748333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4.9000000000000004</v>
      </c>
      <c r="CT72" s="12">
        <f>IF('Données projet'!$A$140&gt;35,CT71+CS72-DB71,IF(A72&lt;'Données projet'!$A$140,$CQ$205^A72,IF(A72='Données projet'!$A$140,'Données projet'!$B$140,CT71+CS72-DB71)))</f>
        <v>324.09999999999974</v>
      </c>
      <c r="CU72" s="17">
        <f>CT72*VLOOKUP('Données projet'!$B$13,Paramètres!$A$1:$I$89,3,0)*VLOOKUP('Données projet'!$B$13,Paramètres!$A$1:$I$89,5,0)</f>
        <v>257.8539599999998</v>
      </c>
      <c r="CV72" s="13">
        <f t="shared" si="95"/>
        <v>62.26470852302274</v>
      </c>
      <c r="CW72" s="20">
        <f t="shared" si="67"/>
        <v>557.54001434426425</v>
      </c>
      <c r="CX72" s="59">
        <f t="shared" si="68"/>
        <v>850.87334767759762</v>
      </c>
      <c r="CY72" s="59">
        <f ca="1">AVERAGE(OFFSET($CX$3,0,0,'Données projet'!$E$13+1,1))-AVERAGE(OFFSET($H$3,0,0,'Données projet'!$E$13+1,1))</f>
        <v>260.20517190557814</v>
      </c>
      <c r="CZ72" s="59">
        <f t="shared" si="96"/>
        <v>307.22009971147133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1.5072398596510228</v>
      </c>
      <c r="DG72" s="21">
        <f>EXP(-LN(2)/25)*DG71+(1-EXP(-LN(2)/25))/(LN(2)/25)*Calculateur!DB72*Calculateur!DD72*VLOOKUP('Données projet'!$B$13,Paramètres!$A$1:$I$89,3,0)*0.475*44/12</f>
        <v>6.9592454634916612</v>
      </c>
      <c r="DH72" s="21">
        <f>EXP(-LN(2)/2)*DH71+(1-EXP(-LN(2)/2))/(LN(2)/2)*DB72*DE72*VLOOKUP('Données projet'!$B$13,Paramètres!$A$1:$I$89,3,0)*0.475*44/12</f>
        <v>3.2421425119972929E-5</v>
      </c>
      <c r="DI72" s="22">
        <f t="shared" si="69"/>
        <v>8.4665177445678044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8.1001602564102555</v>
      </c>
      <c r="DO72" s="12">
        <f>IF('Données projet'!$A$166&gt;35,DO71+DN72-DW71,IF(A72&lt;'Données projet'!$A$166,$DL$205^A72,IF(A72='Données projet'!$A$166,'Données projet'!$B$166,DO71+DN72-DW71)))</f>
        <v>227.16506410256412</v>
      </c>
      <c r="DP72" s="17">
        <f>DO72*VLOOKUP('Données projet'!$B$14,Paramètres!$A$1:$I$89,3,0)*VLOOKUP('Données projet'!$B$14,Paramètres!$A$1:$I$89,5,0)</f>
        <v>230.34537500000002</v>
      </c>
      <c r="DQ72" s="13">
        <f t="shared" si="97"/>
        <v>56.35735315816526</v>
      </c>
      <c r="DR72" s="20">
        <f t="shared" si="70"/>
        <v>499.34058487547105</v>
      </c>
      <c r="DS72" s="59">
        <f t="shared" si="71"/>
        <v>792.67391820880437</v>
      </c>
      <c r="DT72" s="59">
        <f ca="1">AVERAGE(OFFSET($DS$3,0,0,'Données projet'!$E$14+1,1))-AVERAGE(OFFSET($H$3,0,0,'Données projet'!$E$14+1,1))</f>
        <v>263.15518481854753</v>
      </c>
      <c r="DU72" s="59">
        <f t="shared" si="98"/>
        <v>210.80755370263819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0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4.9000000000000004</v>
      </c>
      <c r="EJ72" s="12">
        <f>IF('Données projet'!$A$192&gt;35,EJ71+EI72-ER71,IF(A72&lt;'Données projet'!$A$192,$EG$205^A72,IF(A72='Données projet'!$A$192,'Données projet'!$B$192,EJ71+EI72-ER71)))</f>
        <v>324.09999999999974</v>
      </c>
      <c r="EK72" s="17">
        <f>EJ72*VLOOKUP('Données projet'!$B$15,Paramètres!$A$1:$I$89,3,0)*VLOOKUP('Données projet'!$B$15,Paramètres!$A$1:$I$89,5,0)</f>
        <v>217.40627999999984</v>
      </c>
      <c r="EL72" s="13">
        <f t="shared" si="99"/>
        <v>53.550764977224674</v>
      </c>
      <c r="EM72" s="20">
        <f t="shared" si="73"/>
        <v>471.91685333533269</v>
      </c>
      <c r="EN72" s="59">
        <f t="shared" si="74"/>
        <v>765.25018666866595</v>
      </c>
      <c r="EO72" s="59">
        <f ca="1">AVERAGE(OFFSET($EN$3,0,0,'Données projet'!$E$15+1,1))-AVERAGE(OFFSET($H$3,0,0,'Données projet'!$E$15+1,1))</f>
        <v>207.93042467236967</v>
      </c>
      <c r="EP72" s="59">
        <f t="shared" si="100"/>
        <v>250.70954318710835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1.2708100777449793</v>
      </c>
      <c r="EW72" s="21">
        <f>EXP(-LN(2)/25)*EW71+(1-EXP(-LN(2)/25))/(LN(2)/25)*Calculateur!ER72*Calculateur!ET72*VLOOKUP('Données projet'!$B$15,Paramètres!$A$1:$I$89,3,0)*0.475*44/12</f>
        <v>5.8675991162772902</v>
      </c>
      <c r="EX72" s="21">
        <f>EXP(-LN(2)/2)*EX71+(1-EXP(-LN(2)/2))/(LN(2)/2)*ER72*EU72*VLOOKUP('Données projet'!$B$15,Paramètres!$A$1:$I$89,3,0)*0.475*44/12</f>
        <v>2.7335711375663449E-5</v>
      </c>
      <c r="EY72" s="22">
        <f t="shared" si="75"/>
        <v>7.138436529733645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8.1001602564102555</v>
      </c>
      <c r="FE72" s="12">
        <f>IF('Données projet'!$A$218&gt;35,FE71+FD72-FM71,IF(A72&lt;'Données projet'!$A$218,$FB$205^A72,IF(A72='Données projet'!$A$218,'Données projet'!$B$218,FE71+FD72-FM71)))</f>
        <v>227.16506410256412</v>
      </c>
      <c r="FF72" s="17">
        <f>FE72*VLOOKUP('Données projet'!$B$16,Paramètres!$A$1:$I$89,3,0)*VLOOKUP('Données projet'!$B$16,Paramètres!$A$1:$I$89,5,0)</f>
        <v>244.520475</v>
      </c>
      <c r="FG72" s="13">
        <f t="shared" si="101"/>
        <v>59.41107391766505</v>
      </c>
      <c r="FH72" s="20">
        <f t="shared" si="76"/>
        <v>529.34744769826659</v>
      </c>
      <c r="FI72" s="59">
        <f t="shared" si="77"/>
        <v>822.68078103159996</v>
      </c>
      <c r="FJ72" s="59">
        <f ca="1">AVERAGE(OFFSET($FI$3,0,0,'Données projet'!$E$16+1,1))-AVERAGE(OFFSET($H$3,0,0,'Données projet'!$E$16+1,1))</f>
        <v>286.77702855541287</v>
      </c>
      <c r="FK72" s="59">
        <f t="shared" si="102"/>
        <v>227.12211541860779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0</v>
      </c>
      <c r="FR72" s="21">
        <f>EXP(-LN(2)/25)*FR71+(1-EXP(-LN(2)/25))/(LN(2)/25)*Calculateur!FM72*Calculateur!FO72*VLOOKUP('Données projet'!$B$16,Paramètres!$A$1:$I$89,3,0)*0.475*44/12</f>
        <v>0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0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10.314743589743586</v>
      </c>
      <c r="FZ72" s="12">
        <f>IF('Données projet'!$A$244&gt;35,FZ71+FY72-GH71,IF(A72&lt;'Données projet'!$A$244,$FW$205^A72,IF(A72='Données projet'!$A$244,'Données projet'!$B$244,FZ71+FY72-GH71)))</f>
        <v>316.87179487179492</v>
      </c>
      <c r="GA72" s="17">
        <f>FZ72*VLOOKUP('Données projet'!$B$17,Paramètres!$A$1:$I$89,3,0)*VLOOKUP('Données projet'!$B$17,Paramètres!$A$1:$I$89,5,0)</f>
        <v>148.29600000000002</v>
      </c>
      <c r="GB72" s="13">
        <f t="shared" si="103"/>
        <v>38.19108839282633</v>
      </c>
      <c r="GC72" s="20">
        <f t="shared" si="79"/>
        <v>324.7983456175059</v>
      </c>
      <c r="GD72" s="59">
        <f t="shared" si="80"/>
        <v>618.13167895083916</v>
      </c>
      <c r="GE72" s="59">
        <f ca="1">AVERAGE(OFFSET($GD$3,0,0,'Données projet'!$E$17+1,1))-AVERAGE(OFFSET($H$3,0,0,'Données projet'!$E$17+1,1))</f>
        <v>123.2823358462245</v>
      </c>
      <c r="GF72" s="59">
        <f t="shared" si="104"/>
        <v>92.75115399786057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0</v>
      </c>
      <c r="GM72" s="21">
        <f>EXP(-LN(2)/25)*GM71+(1-EXP(-LN(2)/25))/(LN(2)/25)*Calculateur!GH72*Calculateur!GJ72*VLOOKUP('Données projet'!$B$17,Paramètres!$A$1:$I$89,3,0)*0.475*44/12</f>
        <v>0</v>
      </c>
      <c r="GN72" s="21">
        <f>EXP(-LN(2)/2)*GN71+(1-EXP(-LN(2)/2))/(LN(2)/2)*GH72*GK72*VLOOKUP('Données projet'!$B$17,Paramètres!$A$1:$I$89,3,0)*0.475*44/12</f>
        <v>0</v>
      </c>
      <c r="GO72" s="21">
        <f t="shared" si="81"/>
        <v>0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-2.8421709430404007E-13</v>
      </c>
      <c r="GV72" s="17">
        <f>GU72*VLOOKUP('Données projet'!$B$18,Paramètres!$A$1:$I$89,3,0)*VLOOKUP('Données projet'!$B$18,Paramètres!$A$1:$I$89,5,0)</f>
        <v>-1.69961822393816E-13</v>
      </c>
      <c r="GW72" s="13" t="e">
        <f t="shared" si="105"/>
        <v>#NUM!</v>
      </c>
      <c r="GX72" s="20" t="e">
        <f t="shared" si="82"/>
        <v>#NUM!</v>
      </c>
      <c r="GY72" s="59" t="e">
        <f t="shared" si="83"/>
        <v>#NUM!</v>
      </c>
      <c r="GZ72" s="59">
        <f ca="1">AVERAGE(OFFSET($GY$3,0,0,'Données projet'!$E$18+1,1))-AVERAGE(OFFSET($H$3,0,0,'Données projet'!$E$18+1,1))</f>
        <v>171.96009656745713</v>
      </c>
      <c r="HA72" s="59">
        <f t="shared" si="106"/>
        <v>172.37574906747716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>
        <f>EXP(-LN(2)/35)*HG71+(1-EXP(-LN(2)/35))/(LN(2)/35)*HC72*HD72*VLOOKUP('Données projet'!$B$18,Paramètres!$A$1:$I$89,3,0)*0.475*44/12</f>
        <v>0.77050565451011865</v>
      </c>
      <c r="HH72" s="21">
        <f>EXP(-LN(2)/25)*HH71+(1-EXP(-LN(2)/25))/(LN(2)/25)*Calculateur!HC72*Calculateur!HE72*VLOOKUP('Données projet'!$B$18,Paramètres!$A$1:$I$89,3,0)*0.475*44/12</f>
        <v>6.9719187918915715</v>
      </c>
      <c r="HI72" s="21">
        <f>EXP(-LN(2)/2)*HI71+(1-EXP(-LN(2)/2))/(LN(2)/2)*HC72*HF72*VLOOKUP('Données projet'!$B$18,Paramètres!$A$1:$I$89,3,0)*0.475*44/12</f>
        <v>1.6244570510326707E-5</v>
      </c>
      <c r="HJ72" s="22">
        <f t="shared" si="84"/>
        <v>7.7424406909722006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-2.2737367544323206E-13</v>
      </c>
      <c r="O73" s="13">
        <f>N73*VLOOKUP('Données projet'!$B$9,Paramètres!$A$1:$I$89,3,0)*VLOOKUP('Données projet'!$B$9,Paramètres!$A$1:$I$89,5,0)</f>
        <v>-1.2710188457276673E-13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255.5374979188561</v>
      </c>
      <c r="T73" s="59">
        <f t="shared" si="88"/>
        <v>343.10418468620901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1.3993615591332034</v>
      </c>
      <c r="AA73" s="21">
        <f>EXP(-LN(2)/25)*AA72+(1-EXP(-LN(2)/25))/(LN(2)/25)*Calculateur!V73*Calculateur!X73*VLOOKUP('Données projet'!$B$9,Paramètres!$A$1:$I$89,3,0)*0.475*44/12</f>
        <v>5.2649220450934902</v>
      </c>
      <c r="AB73" s="21">
        <f>EXP(-LN(2)/2)*AB72+(1-EXP(-LN(2)/2))/(LN(2)/2)*V73*Y73*VLOOKUP('Données projet'!$B$9,Paramètres!$A$1:$I$89,3,0)*0.475*44/12</f>
        <v>1.614238814786974E-6</v>
      </c>
      <c r="AC73" s="22">
        <f t="shared" si="57"/>
        <v>6.6642852184655084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13.737499999999997</v>
      </c>
      <c r="AI73" s="13">
        <f>IF('Données projet'!$A$62&gt;35,AI72+AH73-AQ72,IF(A73&lt;'Données projet'!$A$62,$AF$205^A73,IF(A73='Données projet'!$A$62,'Données projet'!$B$62,AI72+AH73-AQ72)))</f>
        <v>400.21634615384619</v>
      </c>
      <c r="AJ73" s="13">
        <f>AI73*VLOOKUP('Données projet'!$B$10,Paramètres!$A$1:$I$89,3,0)*VLOOKUP('Données projet'!$B$10,Paramètres!$A$1:$I$89,5,0)</f>
        <v>187.30125000000001</v>
      </c>
      <c r="AK73" s="13">
        <f t="shared" si="89"/>
        <v>46.942801679870392</v>
      </c>
      <c r="AL73" s="20">
        <f t="shared" si="58"/>
        <v>407.97505667577428</v>
      </c>
      <c r="AM73" s="59">
        <f t="shared" si="59"/>
        <v>701.3083900091076</v>
      </c>
      <c r="AN73" s="59">
        <f ca="1">AVERAGE(OFFSET($AM$3,0,0,'Données projet'!$E$10+1,1))-AVERAGE(OFFSET($H$3,0,0,'Données projet'!$E$10+1,1))</f>
        <v>158.58786357608489</v>
      </c>
      <c r="AO73" s="59">
        <f t="shared" si="90"/>
        <v>163.20074068819849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-1.7053025658242404E-13</v>
      </c>
      <c r="BE73" s="13">
        <f>BD73*VLOOKUP('Données projet'!$B$11,Paramètres!$A$1:$I$89,3,0)*VLOOKUP('Données projet'!$B$11,Paramètres!$A$1:$I$89,5,0)</f>
        <v>-1.0197709343628959E-13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243.85350804244348</v>
      </c>
      <c r="BJ73" s="59">
        <f t="shared" si="92"/>
        <v>304.60992308960545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2.0495784478644046</v>
      </c>
      <c r="BQ73" s="21">
        <f>EXP(-LN(2)/25)*BQ72+(1-EXP(-LN(2)/25))/(LN(2)/25)*Calculateur!BL73*Calculateur!BN73*VLOOKUP('Données projet'!$B$11,Paramètres!$A$1:$I$89,3,0)*0.475*44/12</f>
        <v>5.8483561996948268</v>
      </c>
      <c r="BR73" s="21">
        <f>EXP(-LN(2)/2)*BR72+(1-EXP(-LN(2)/2))/(LN(2)/2)*BL73*BO73*VLOOKUP('Données projet'!$B$11,Paramètres!$A$1:$I$89,3,0)*0.475*44/12</f>
        <v>3.5650506279675485E-6</v>
      </c>
      <c r="BS73" s="22">
        <f t="shared" si="63"/>
        <v>7.8979382126098594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498</v>
      </c>
      <c r="BW73" s="12">
        <f>VLOOKUP(A73,'Données projet'!$A$113:$I$133,9,0)</f>
        <v>14.1</v>
      </c>
      <c r="BX73" s="12">
        <f t="array" ref="BX73">INDEX(BW:BW,MIN(IF(ISNUMBER(BW73:BW269),ROW(BW73:BW269),"")))</f>
        <v>14.1</v>
      </c>
      <c r="BY73" s="12">
        <f>IF('Données projet'!$A$114&gt;35,BY72+BX73-CG72,IF(A73&lt;'Données projet'!$A$114,$BV$205^A73,IF(A73='Données projet'!$A$114,'Données projet'!$B$114,BY72+BX73-CG72)))</f>
        <v>498.00000000000028</v>
      </c>
      <c r="BZ73" s="13">
        <f>BY73*VLOOKUP('Données projet'!$B$12,Paramètres!$A$1:$I$89,3,0)*VLOOKUP('Données projet'!$B$12,Paramètres!$A$1:$I$89,5,0)</f>
        <v>297.8040000000002</v>
      </c>
      <c r="CA73" s="13">
        <f t="shared" si="93"/>
        <v>70.715900863123025</v>
      </c>
      <c r="CB73" s="20">
        <f t="shared" si="64"/>
        <v>641.8388273366063</v>
      </c>
      <c r="CC73" s="59">
        <f t="shared" si="65"/>
        <v>935.17216066993956</v>
      </c>
      <c r="CD73" s="59">
        <f ca="1">AVERAGE(OFFSET($CC$3,0,0,'Données projet'!$E$12+1,1))-AVERAGE(OFFSET($H$3,0,0,'Données projet'!$E$12+1,1))</f>
        <v>270.30888762640245</v>
      </c>
      <c r="CE73" s="59">
        <f t="shared" si="94"/>
        <v>202.23783851977691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86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0.96997161155244183</v>
      </c>
      <c r="CL73" s="21">
        <f>EXP(-LN(2)/25)*CL72+(1-EXP(-LN(2)/25))/(LN(2)/25)*Calculateur!CG73*Calculateur!CI73*VLOOKUP('Données projet'!$B$12,Paramètres!$A$1:$I$89,3,0)*0.475*44/12</f>
        <v>4.0559061119678006</v>
      </c>
      <c r="CM73" s="21">
        <f>EXP(-LN(2)/2)*CM72+(1-EXP(-LN(2)/2))/(LN(2)/2)*CG73*CJ73*VLOOKUP('Données projet'!$B$12,Paramètres!$A$1:$I$89,3,0)*0.475*44/12</f>
        <v>1.7635925852263054E-5</v>
      </c>
      <c r="CN73" s="22">
        <f t="shared" si="66"/>
        <v>5.0258953594460944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329</v>
      </c>
      <c r="CR73" s="12">
        <f>VLOOKUP(A73,'Données projet'!$A$139:$I$159,9,0)</f>
        <v>4.9000000000000004</v>
      </c>
      <c r="CS73" s="12">
        <f t="array" ref="CS73">INDEX(CR:CR,MIN(IF(ISNUMBER(CR73:CR269),ROW(CR73:CR269),"")))</f>
        <v>4.9000000000000004</v>
      </c>
      <c r="CT73" s="12">
        <f>IF('Données projet'!$A$140&gt;35,CT72+CS73-DB72,IF(A73&lt;'Données projet'!$A$140,$CQ$205^A73,IF(A73='Données projet'!$A$140,'Données projet'!$B$140,CT72+CS73-DB72)))</f>
        <v>328.99999999999972</v>
      </c>
      <c r="CU73" s="17">
        <f>CT73*VLOOKUP('Données projet'!$B$13,Paramètres!$A$1:$I$89,3,0)*VLOOKUP('Données projet'!$B$13,Paramètres!$A$1:$I$89,5,0)</f>
        <v>261.7523999999998</v>
      </c>
      <c r="CV73" s="13">
        <f t="shared" si="95"/>
        <v>63.095772658160975</v>
      </c>
      <c r="CW73" s="20">
        <f t="shared" si="67"/>
        <v>565.7772340462966</v>
      </c>
      <c r="CX73" s="59">
        <f t="shared" si="68"/>
        <v>859.11056737962986</v>
      </c>
      <c r="CY73" s="59">
        <f ca="1">AVERAGE(OFFSET($CX$3,0,0,'Données projet'!$E$13+1,1))-AVERAGE(OFFSET($H$3,0,0,'Données projet'!$E$13+1,1))</f>
        <v>260.20517190557814</v>
      </c>
      <c r="CZ73" s="59">
        <f t="shared" si="96"/>
        <v>307.22009971147133</v>
      </c>
      <c r="DA73" s="15">
        <f>IF(ISNA(VLOOKUP(A73,'Données projet'!$A$139:$I$159,3,0)),0,VLOOKUP(A73,'Données projet'!$A$139:$I$159,3,0))</f>
        <v>6</v>
      </c>
      <c r="DB73" s="15">
        <f>IF(ISNA(VLOOKUP(A73,'Données projet'!$A$139:$I$159,4,0)),0,VLOOKUP(A73,'Données projet'!$A$139:$I$159,4,0))</f>
        <v>26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1.4776838053288048</v>
      </c>
      <c r="DG73" s="21">
        <f>EXP(-LN(2)/25)*DG72+(1-EXP(-LN(2)/25))/(LN(2)/25)*Calculateur!DB73*Calculateur!DD73*VLOOKUP('Données projet'!$B$13,Paramètres!$A$1:$I$89,3,0)*0.475*44/12</f>
        <v>6.7689445303216687</v>
      </c>
      <c r="DH73" s="21">
        <f>EXP(-LN(2)/2)*DH72+(1-EXP(-LN(2)/2))/(LN(2)/2)*DB73*DE73*VLOOKUP('Données projet'!$B$13,Paramètres!$A$1:$I$89,3,0)*0.475*44/12</f>
        <v>2.2925409558064734E-5</v>
      </c>
      <c r="DI73" s="22">
        <f t="shared" si="69"/>
        <v>8.2466512610600322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8.1001602564102555</v>
      </c>
      <c r="DO73" s="12">
        <f>IF('Données projet'!$A$166&gt;35,DO72+DN73-DW72,IF(A73&lt;'Données projet'!$A$166,$DL$205^A73,IF(A73='Données projet'!$A$166,'Données projet'!$B$166,DO72+DN73-DW72)))</f>
        <v>235.26522435897436</v>
      </c>
      <c r="DP73" s="17">
        <f>DO73*VLOOKUP('Données projet'!$B$14,Paramètres!$A$1:$I$89,3,0)*VLOOKUP('Données projet'!$B$14,Paramètres!$A$1:$I$89,5,0)</f>
        <v>238.55893750000004</v>
      </c>
      <c r="DQ73" s="13">
        <f t="shared" si="97"/>
        <v>58.129370272573652</v>
      </c>
      <c r="DR73" s="20">
        <f t="shared" si="70"/>
        <v>516.73213603723241</v>
      </c>
      <c r="DS73" s="59">
        <f t="shared" si="71"/>
        <v>810.06546937056578</v>
      </c>
      <c r="DT73" s="59">
        <f ca="1">AVERAGE(OFFSET($DS$3,0,0,'Données projet'!$E$14+1,1))-AVERAGE(OFFSET($H$3,0,0,'Données projet'!$E$14+1,1))</f>
        <v>263.15518481854753</v>
      </c>
      <c r="DU73" s="59">
        <f t="shared" si="98"/>
        <v>210.80755370263819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0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329</v>
      </c>
      <c r="EH73" s="12">
        <f>VLOOKUP(A73,'Données projet'!$A$191:$I$211,9,0)</f>
        <v>4.9000000000000004</v>
      </c>
      <c r="EI73" s="12">
        <f t="array" ref="EI73">INDEX(EH:EH,MIN(IF(ISNUMBER(EH73:EH269),ROW(EH73:EH269),"")))</f>
        <v>4.9000000000000004</v>
      </c>
      <c r="EJ73" s="12">
        <f>IF('Données projet'!$A$192&gt;35,EJ72+EI73-ER72,IF(A73&lt;'Données projet'!$A$192,$EG$205^A73,IF(A73='Données projet'!$A$192,'Données projet'!$B$192,EJ72+EI73-ER72)))</f>
        <v>328.99999999999972</v>
      </c>
      <c r="EK73" s="17">
        <f>EJ73*VLOOKUP('Données projet'!$B$15,Paramètres!$A$1:$I$89,3,0)*VLOOKUP('Données projet'!$B$15,Paramètres!$A$1:$I$89,5,0)</f>
        <v>220.69319999999982</v>
      </c>
      <c r="EL73" s="13">
        <f t="shared" si="99"/>
        <v>54.265521718843871</v>
      </c>
      <c r="EM73" s="20">
        <f t="shared" si="73"/>
        <v>478.88644032698608</v>
      </c>
      <c r="EN73" s="59">
        <f t="shared" si="74"/>
        <v>772.21977366031933</v>
      </c>
      <c r="EO73" s="59">
        <f ca="1">AVERAGE(OFFSET($EN$3,0,0,'Données projet'!$E$15+1,1))-AVERAGE(OFFSET($H$3,0,0,'Données projet'!$E$15+1,1))</f>
        <v>207.93042467236967</v>
      </c>
      <c r="EP73" s="59">
        <f t="shared" si="100"/>
        <v>250.70954318710835</v>
      </c>
      <c r="EQ73" s="15">
        <f>IF(ISNA(VLOOKUP(A73,'Données projet'!$A$191:$I$211,3,0)),0,VLOOKUP(A73,'Données projet'!$A$191:$I$211,3,0))</f>
        <v>6</v>
      </c>
      <c r="ER73" s="15">
        <f>IF(ISNA(VLOOKUP(A73,'Données projet'!$A$191:$I$211,4,0)),0,VLOOKUP(A73,'Données projet'!$A$191:$I$211,4,0))</f>
        <v>26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1.2458902672380112</v>
      </c>
      <c r="EW73" s="21">
        <f>EXP(-LN(2)/25)*EW72+(1-EXP(-LN(2)/25))/(LN(2)/25)*Calculateur!ER73*Calculateur!ET73*VLOOKUP('Données projet'!$B$15,Paramètres!$A$1:$I$89,3,0)*0.475*44/12</f>
        <v>5.7071493098790604</v>
      </c>
      <c r="EX73" s="21">
        <f>EXP(-LN(2)/2)*EX72+(1-EXP(-LN(2)/2))/(LN(2)/2)*ER73*EU73*VLOOKUP('Données projet'!$B$15,Paramètres!$A$1:$I$89,3,0)*0.475*44/12</f>
        <v>1.9329266882289872E-5</v>
      </c>
      <c r="EY73" s="22">
        <f t="shared" si="75"/>
        <v>6.9530589063839541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8.1001602564102555</v>
      </c>
      <c r="FE73" s="12">
        <f>IF('Données projet'!$A$218&gt;35,FE72+FD73-FM72,IF(A73&lt;'Données projet'!$A$218,$FB$205^A73,IF(A73='Données projet'!$A$218,'Données projet'!$B$218,FE72+FD73-FM72)))</f>
        <v>235.26522435897436</v>
      </c>
      <c r="FF73" s="17">
        <f>FE73*VLOOKUP('Données projet'!$B$16,Paramètres!$A$1:$I$89,3,0)*VLOOKUP('Données projet'!$B$16,Paramètres!$A$1:$I$89,5,0)</f>
        <v>253.2394875</v>
      </c>
      <c r="FG73" s="13">
        <f t="shared" si="101"/>
        <v>61.279107703283465</v>
      </c>
      <c r="FH73" s="20">
        <f t="shared" si="76"/>
        <v>547.78655331238531</v>
      </c>
      <c r="FI73" s="59">
        <f t="shared" si="77"/>
        <v>841.11988664571868</v>
      </c>
      <c r="FJ73" s="59">
        <f ca="1">AVERAGE(OFFSET($FI$3,0,0,'Données projet'!$E$16+1,1))-AVERAGE(OFFSET($H$3,0,0,'Données projet'!$E$16+1,1))</f>
        <v>286.77702855541287</v>
      </c>
      <c r="FK73" s="59">
        <f t="shared" si="102"/>
        <v>227.12211541860779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0</v>
      </c>
      <c r="FR73" s="21">
        <f>EXP(-LN(2)/25)*FR72+(1-EXP(-LN(2)/25))/(LN(2)/25)*Calculateur!FM73*Calculateur!FO73*VLOOKUP('Données projet'!$B$16,Paramètres!$A$1:$I$89,3,0)*0.475*44/12</f>
        <v>0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0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10.314743589743586</v>
      </c>
      <c r="FZ73" s="12">
        <f>IF('Données projet'!$A$244&gt;35,FZ72+FY73-GH72,IF(A73&lt;'Données projet'!$A$244,$FW$205^A73,IF(A73='Données projet'!$A$244,'Données projet'!$B$244,FZ72+FY73-GH72)))</f>
        <v>327.18653846153848</v>
      </c>
      <c r="GA73" s="17">
        <f>FZ73*VLOOKUP('Données projet'!$B$17,Paramètres!$A$1:$I$89,3,0)*VLOOKUP('Données projet'!$B$17,Paramètres!$A$1:$I$89,5,0)</f>
        <v>153.1233</v>
      </c>
      <c r="GB73" s="13">
        <f t="shared" si="103"/>
        <v>39.287513204310308</v>
      </c>
      <c r="GC73" s="20">
        <f t="shared" si="79"/>
        <v>335.1154996641738</v>
      </c>
      <c r="GD73" s="59">
        <f t="shared" si="80"/>
        <v>628.44883299750711</v>
      </c>
      <c r="GE73" s="59">
        <f ca="1">AVERAGE(OFFSET($GD$3,0,0,'Données projet'!$E$17+1,1))-AVERAGE(OFFSET($H$3,0,0,'Données projet'!$E$17+1,1))</f>
        <v>123.2823358462245</v>
      </c>
      <c r="GF73" s="59">
        <f t="shared" si="104"/>
        <v>92.75115399786057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0</v>
      </c>
      <c r="GM73" s="21">
        <f>EXP(-LN(2)/25)*GM72+(1-EXP(-LN(2)/25))/(LN(2)/25)*Calculateur!GH73*Calculateur!GJ73*VLOOKUP('Données projet'!$B$17,Paramètres!$A$1:$I$89,3,0)*0.475*44/12</f>
        <v>0</v>
      </c>
      <c r="GN73" s="21">
        <f>EXP(-LN(2)/2)*GN72+(1-EXP(-LN(2)/2))/(LN(2)/2)*GH73*GK73*VLOOKUP('Données projet'!$B$17,Paramètres!$A$1:$I$89,3,0)*0.475*44/12</f>
        <v>0</v>
      </c>
      <c r="GO73" s="21">
        <f t="shared" si="81"/>
        <v>0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-2.8421709430404007E-13</v>
      </c>
      <c r="GV73" s="17">
        <f>GU73*VLOOKUP('Données projet'!$B$18,Paramètres!$A$1:$I$89,3,0)*VLOOKUP('Données projet'!$B$18,Paramètres!$A$1:$I$89,5,0)</f>
        <v>-1.69961822393816E-13</v>
      </c>
      <c r="GW73" s="13" t="e">
        <f t="shared" si="105"/>
        <v>#NUM!</v>
      </c>
      <c r="GX73" s="20" t="e">
        <f t="shared" si="82"/>
        <v>#NUM!</v>
      </c>
      <c r="GY73" s="59" t="e">
        <f t="shared" si="83"/>
        <v>#NUM!</v>
      </c>
      <c r="GZ73" s="59">
        <f ca="1">AVERAGE(OFFSET($GY$3,0,0,'Données projet'!$E$18+1,1))-AVERAGE(OFFSET($H$3,0,0,'Données projet'!$E$18+1,1))</f>
        <v>171.96009656745713</v>
      </c>
      <c r="HA73" s="59">
        <f t="shared" si="106"/>
        <v>172.37574906747716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>
        <f>EXP(-LN(2)/35)*HG72+(1-EXP(-LN(2)/35))/(LN(2)/35)*HC73*HD73*VLOOKUP('Données projet'!$B$18,Paramètres!$A$1:$I$89,3,0)*0.475*44/12</f>
        <v>0.75539650858721963</v>
      </c>
      <c r="HH73" s="21">
        <f>EXP(-LN(2)/25)*HH72+(1-EXP(-LN(2)/25))/(LN(2)/25)*Calculateur!HC73*Calculateur!HE73*VLOOKUP('Données projet'!$B$18,Paramètres!$A$1:$I$89,3,0)*0.475*44/12</f>
        <v>6.781271305890022</v>
      </c>
      <c r="HI73" s="21">
        <f>EXP(-LN(2)/2)*HI72+(1-EXP(-LN(2)/2))/(LN(2)/2)*HC73*HF73*VLOOKUP('Données projet'!$B$18,Paramètres!$A$1:$I$89,3,0)*0.475*44/12</f>
        <v>1.1486645965315029E-5</v>
      </c>
      <c r="HJ73" s="22">
        <f t="shared" si="84"/>
        <v>7.5366793011232067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-2.2737367544323206E-13</v>
      </c>
      <c r="O74" s="13">
        <f>N74*VLOOKUP('Données projet'!$B$9,Paramètres!$A$1:$I$89,3,0)*VLOOKUP('Données projet'!$B$9,Paramètres!$A$1:$I$89,5,0)</f>
        <v>-1.2710188457276673E-13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255.5374979188561</v>
      </c>
      <c r="T74" s="59">
        <f t="shared" si="88"/>
        <v>343.10418468620901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1.3719209324848736</v>
      </c>
      <c r="AA74" s="21">
        <f>EXP(-LN(2)/25)*AA73+(1-EXP(-LN(2)/25))/(LN(2)/25)*Calculateur!V74*Calculateur!X74*VLOOKUP('Données projet'!$B$9,Paramètres!$A$1:$I$89,3,0)*0.475*44/12</f>
        <v>5.1209524749001911</v>
      </c>
      <c r="AB74" s="21">
        <f>EXP(-LN(2)/2)*AB73+(1-EXP(-LN(2)/2))/(LN(2)/2)*V74*Y74*VLOOKUP('Données projet'!$B$9,Paramètres!$A$1:$I$89,3,0)*0.475*44/12</f>
        <v>1.1414392123904046E-6</v>
      </c>
      <c r="AC74" s="22">
        <f t="shared" si="57"/>
        <v>6.4928745488242772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>
        <f>VLOOKUP(A74,'Données projet'!$A$61:$I$81,2,0)</f>
        <v>413.95384615384614</v>
      </c>
      <c r="AG74" s="12">
        <f>VLOOKUP(A74,'Données projet'!$A$61:$I$81,9,0)</f>
        <v>13.737499999999997</v>
      </c>
      <c r="AH74" s="12">
        <f t="array" ref="AH74">INDEX(AG:AG,MIN(IF(ISNUMBER(AG74:AG270),ROW(AG74:AG270),"")))</f>
        <v>13.737499999999997</v>
      </c>
      <c r="AI74" s="13">
        <f>IF('Données projet'!$A$62&gt;35,AI73+AH74-AQ73,IF(A74&lt;'Données projet'!$A$62,$AF$205^A74,IF(A74='Données projet'!$A$62,'Données projet'!$B$62,AI73+AH74-AQ73)))</f>
        <v>413.9538461538462</v>
      </c>
      <c r="AJ74" s="13">
        <f>AI74*VLOOKUP('Données projet'!$B$10,Paramètres!$A$1:$I$89,3,0)*VLOOKUP('Données projet'!$B$10,Paramètres!$A$1:$I$89,5,0)</f>
        <v>193.73040000000003</v>
      </c>
      <c r="AK74" s="13">
        <f t="shared" si="89"/>
        <v>48.363755728631737</v>
      </c>
      <c r="AL74" s="20">
        <f t="shared" si="58"/>
        <v>421.647321227367</v>
      </c>
      <c r="AM74" s="59">
        <f t="shared" si="59"/>
        <v>714.98065456070026</v>
      </c>
      <c r="AN74" s="59">
        <f ca="1">AVERAGE(OFFSET($AM$3,0,0,'Données projet'!$E$10+1,1))-AVERAGE(OFFSET($H$3,0,0,'Données projet'!$E$10+1,1))</f>
        <v>158.58786357608489</v>
      </c>
      <c r="AO74" s="59">
        <f t="shared" si="90"/>
        <v>163.20074068819849</v>
      </c>
      <c r="AP74" s="15">
        <f>IF(ISNA(VLOOKUP(A74,'Données projet'!$A$61:$I$81,3,0)),0,VLOOKUP(A74,'Données projet'!$A$61:$I$81,3,0))</f>
        <v>5</v>
      </c>
      <c r="AQ74" s="15">
        <f>IF(ISNA(VLOOKUP(A74,'Données projet'!$A$61:$I$81,4,0)),0,VLOOKUP(A74,'Données projet'!$A$61:$I$81,4,0))</f>
        <v>80.399999999999991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-1.7053025658242404E-13</v>
      </c>
      <c r="BE74" s="13">
        <f>BD74*VLOOKUP('Données projet'!$B$11,Paramètres!$A$1:$I$89,3,0)*VLOOKUP('Données projet'!$B$11,Paramètres!$A$1:$I$89,5,0)</f>
        <v>-1.0197709343628959E-13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243.85350804244348</v>
      </c>
      <c r="BJ74" s="59">
        <f t="shared" si="92"/>
        <v>304.60992308960545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2.0093874646211978</v>
      </c>
      <c r="BQ74" s="21">
        <f>EXP(-LN(2)/25)*BQ73+(1-EXP(-LN(2)/25))/(LN(2)/25)*Calculateur!BL74*Calculateur!BN74*VLOOKUP('Données projet'!$B$11,Paramètres!$A$1:$I$89,3,0)*0.475*44/12</f>
        <v>5.6884325918624858</v>
      </c>
      <c r="BR74" s="21">
        <f>EXP(-LN(2)/2)*BR73+(1-EXP(-LN(2)/2))/(LN(2)/2)*BL74*BO74*VLOOKUP('Données projet'!$B$11,Paramètres!$A$1:$I$89,3,0)*0.475*44/12</f>
        <v>2.5208714743092131E-6</v>
      </c>
      <c r="BS74" s="22">
        <f t="shared" si="63"/>
        <v>7.6978225773551578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12.5</v>
      </c>
      <c r="BY74" s="12">
        <f>IF('Données projet'!$A$114&gt;35,BY73+BX74-CG73,IF(A74&lt;'Données projet'!$A$114,$BV$205^A74,IF(A74='Données projet'!$A$114,'Données projet'!$B$114,BY73+BX74-CG73)))</f>
        <v>424.50000000000028</v>
      </c>
      <c r="BZ74" s="13">
        <f>BY74*VLOOKUP('Données projet'!$B$12,Paramètres!$A$1:$I$89,3,0)*VLOOKUP('Données projet'!$B$12,Paramètres!$A$1:$I$89,5,0)</f>
        <v>253.8510000000002</v>
      </c>
      <c r="CA74" s="13">
        <f t="shared" si="93"/>
        <v>61.409839451305665</v>
      </c>
      <c r="CB74" s="20">
        <f t="shared" si="64"/>
        <v>549.07929537769098</v>
      </c>
      <c r="CC74" s="59">
        <f t="shared" si="65"/>
        <v>842.41262871102435</v>
      </c>
      <c r="CD74" s="59">
        <f ca="1">AVERAGE(OFFSET($CC$3,0,0,'Données projet'!$E$12+1,1))-AVERAGE(OFFSET($H$3,0,0,'Données projet'!$E$12+1,1))</f>
        <v>270.30888762640245</v>
      </c>
      <c r="CE74" s="59">
        <f t="shared" si="94"/>
        <v>202.23783851977691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0.9509510598741634</v>
      </c>
      <c r="CL74" s="21">
        <f>EXP(-LN(2)/25)*CL73+(1-EXP(-LN(2)/25))/(LN(2)/25)*Calculateur!CG74*Calculateur!CI74*VLOOKUP('Données projet'!$B$12,Paramètres!$A$1:$I$89,3,0)*0.475*44/12</f>
        <v>3.9449971460452087</v>
      </c>
      <c r="CM74" s="21">
        <f>EXP(-LN(2)/2)*CM73+(1-EXP(-LN(2)/2))/(LN(2)/2)*CG74*CJ74*VLOOKUP('Données projet'!$B$12,Paramètres!$A$1:$I$89,3,0)*0.475*44/12</f>
        <v>1.2470482762638348E-5</v>
      </c>
      <c r="CN74" s="22">
        <f t="shared" si="66"/>
        <v>4.8959606764021348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3.9</v>
      </c>
      <c r="CT74" s="12">
        <f>IF('Données projet'!$A$140&gt;35,CT73+CS74-DB73,IF(A74&lt;'Données projet'!$A$140,$CQ$205^A74,IF(A74='Données projet'!$A$140,'Données projet'!$B$140,CT73+CS74-DB73)))</f>
        <v>306.89999999999969</v>
      </c>
      <c r="CU74" s="17">
        <f>CT74*VLOOKUP('Données projet'!$B$13,Paramètres!$A$1:$I$89,3,0)*VLOOKUP('Données projet'!$B$13,Paramètres!$A$1:$I$89,5,0)</f>
        <v>244.16963999999976</v>
      </c>
      <c r="CV74" s="13">
        <f t="shared" si="95"/>
        <v>59.335747541340979</v>
      </c>
      <c r="CW74" s="20">
        <f t="shared" si="67"/>
        <v>528.60521663450174</v>
      </c>
      <c r="CX74" s="59">
        <f t="shared" si="68"/>
        <v>821.93854996783512</v>
      </c>
      <c r="CY74" s="59">
        <f ca="1">AVERAGE(OFFSET($CX$3,0,0,'Données projet'!$E$13+1,1))-AVERAGE(OFFSET($H$3,0,0,'Données projet'!$E$13+1,1))</f>
        <v>260.20517190557814</v>
      </c>
      <c r="CZ74" s="59">
        <f t="shared" si="96"/>
        <v>307.22009971147133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1.4487073272044324</v>
      </c>
      <c r="DG74" s="21">
        <f>EXP(-LN(2)/25)*DG73+(1-EXP(-LN(2)/25))/(LN(2)/25)*Calculateur!DB74*Calculateur!DD74*VLOOKUP('Données projet'!$B$13,Paramètres!$A$1:$I$89,3,0)*0.475*44/12</f>
        <v>6.5838473861767008</v>
      </c>
      <c r="DH74" s="21">
        <f>EXP(-LN(2)/2)*DH73+(1-EXP(-LN(2)/2))/(LN(2)/2)*DB74*DE74*VLOOKUP('Données projet'!$B$13,Paramètres!$A$1:$I$89,3,0)*0.475*44/12</f>
        <v>1.6210712559986465E-5</v>
      </c>
      <c r="DI74" s="22">
        <f t="shared" si="69"/>
        <v>8.0325709240936938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>
        <f>VLOOKUP(A74,'Données projet'!$A$165:$I$185,2,0)</f>
        <v>243.36538461538458</v>
      </c>
      <c r="DM74" s="12">
        <f>VLOOKUP(A74,'Données projet'!$A$165:$I$185,9,0)</f>
        <v>8.1001602564102555</v>
      </c>
      <c r="DN74" s="12">
        <f t="array" ref="DN74">INDEX(DM:DM,MIN(IF(ISNUMBER(DM74:DM270),ROW(DM74:DM270),"")))</f>
        <v>8.1001602564102555</v>
      </c>
      <c r="DO74" s="12">
        <f>IF('Données projet'!$A$166&gt;35,DO73+DN74-DW73,IF(A74&lt;'Données projet'!$A$166,$DL$205^A74,IF(A74='Données projet'!$A$166,'Données projet'!$B$166,DO73+DN74-DW73)))</f>
        <v>243.36538461538461</v>
      </c>
      <c r="DP74" s="17">
        <f>DO74*VLOOKUP('Données projet'!$B$14,Paramètres!$A$1:$I$89,3,0)*VLOOKUP('Données projet'!$B$14,Paramètres!$A$1:$I$89,5,0)</f>
        <v>246.77250000000001</v>
      </c>
      <c r="DQ74" s="13">
        <f t="shared" si="97"/>
        <v>59.894298509670548</v>
      </c>
      <c r="DR74" s="20">
        <f t="shared" si="70"/>
        <v>534.11134073767619</v>
      </c>
      <c r="DS74" s="59">
        <f t="shared" si="71"/>
        <v>827.44467407100956</v>
      </c>
      <c r="DT74" s="59">
        <f ca="1">AVERAGE(OFFSET($DS$3,0,0,'Données projet'!$E$14+1,1))-AVERAGE(OFFSET($H$3,0,0,'Données projet'!$E$14+1,1))</f>
        <v>263.15518481854753</v>
      </c>
      <c r="DU74" s="59">
        <f t="shared" si="98"/>
        <v>210.80755370263819</v>
      </c>
      <c r="DV74" s="15">
        <f>IF(ISNA(VLOOKUP(A74,'Données projet'!$A$165:$I$185,3,0)),0,VLOOKUP(A74,'Données projet'!$A$165:$I$185,3,0))</f>
        <v>6</v>
      </c>
      <c r="DW74" s="15">
        <f>IF(ISNA(VLOOKUP(A74,'Données projet'!$A$165:$I$185,4,0)),0,VLOOKUP(A74,'Données projet'!$A$165:$I$185,4,0))</f>
        <v>39.935897435897431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0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3.9</v>
      </c>
      <c r="EJ74" s="12">
        <f>IF('Données projet'!$A$192&gt;35,EJ73+EI74-ER73,IF(A74&lt;'Données projet'!$A$192,$EG$205^A74,IF(A74='Données projet'!$A$192,'Données projet'!$B$192,EJ73+EI74-ER73)))</f>
        <v>306.89999999999969</v>
      </c>
      <c r="EK74" s="17">
        <f>EJ74*VLOOKUP('Données projet'!$B$15,Paramètres!$A$1:$I$89,3,0)*VLOOKUP('Données projet'!$B$15,Paramètres!$A$1:$I$89,5,0)</f>
        <v>205.86851999999982</v>
      </c>
      <c r="EL74" s="13">
        <f t="shared" si="99"/>
        <v>51.031711971467665</v>
      </c>
      <c r="EM74" s="20">
        <f t="shared" si="73"/>
        <v>447.43457068363909</v>
      </c>
      <c r="EN74" s="59">
        <f t="shared" si="74"/>
        <v>740.76790401697235</v>
      </c>
      <c r="EO74" s="59">
        <f ca="1">AVERAGE(OFFSET($EN$3,0,0,'Données projet'!$E$15+1,1))-AVERAGE(OFFSET($H$3,0,0,'Données projet'!$E$15+1,1))</f>
        <v>207.93042467236967</v>
      </c>
      <c r="EP74" s="59">
        <f t="shared" si="100"/>
        <v>250.70954318710835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1.2214591190155011</v>
      </c>
      <c r="EW74" s="21">
        <f>EXP(-LN(2)/25)*EW73+(1-EXP(-LN(2)/25))/(LN(2)/25)*Calculateur!ER74*Calculateur!ET74*VLOOKUP('Données projet'!$B$15,Paramètres!$A$1:$I$89,3,0)*0.475*44/12</f>
        <v>5.5510870118744791</v>
      </c>
      <c r="EX74" s="21">
        <f>EXP(-LN(2)/2)*EX73+(1-EXP(-LN(2)/2))/(LN(2)/2)*ER74*EU74*VLOOKUP('Données projet'!$B$15,Paramètres!$A$1:$I$89,3,0)*0.475*44/12</f>
        <v>1.3667855687831724E-5</v>
      </c>
      <c r="EY74" s="22">
        <f t="shared" si="75"/>
        <v>6.772559798745668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>
        <f>VLOOKUP(A74,'Données projet'!$A$217:$I$237,2,0)</f>
        <v>243.36538461538458</v>
      </c>
      <c r="FC74" s="12">
        <f>VLOOKUP(A74,'Données projet'!$A$217:$I$237,9,0)</f>
        <v>8.1001602564102555</v>
      </c>
      <c r="FD74" s="12">
        <f t="array" ref="FD74">INDEX(FC:FC,MIN(IF(ISNUMBER(FC74:FC270),ROW(FC74:FC270),"")))</f>
        <v>8.1001602564102555</v>
      </c>
      <c r="FE74" s="12">
        <f>IF('Données projet'!$A$218&gt;35,FE73+FD74-FM73,IF(A74&lt;'Données projet'!$A$218,$FB$205^A74,IF(A74='Données projet'!$A$218,'Données projet'!$B$218,FE73+FD74-FM73)))</f>
        <v>243.36538461538461</v>
      </c>
      <c r="FF74" s="17">
        <f>FE74*VLOOKUP('Données projet'!$B$16,Paramètres!$A$1:$I$89,3,0)*VLOOKUP('Données projet'!$B$16,Paramètres!$A$1:$I$89,5,0)</f>
        <v>261.95850000000002</v>
      </c>
      <c r="FG74" s="13">
        <f t="shared" si="101"/>
        <v>63.139668501077942</v>
      </c>
      <c r="FH74" s="20">
        <f t="shared" si="76"/>
        <v>566.21264347271074</v>
      </c>
      <c r="FI74" s="59">
        <f t="shared" si="77"/>
        <v>859.54597680604411</v>
      </c>
      <c r="FJ74" s="59">
        <f ca="1">AVERAGE(OFFSET($FI$3,0,0,'Données projet'!$E$16+1,1))-AVERAGE(OFFSET($H$3,0,0,'Données projet'!$E$16+1,1))</f>
        <v>286.77702855541287</v>
      </c>
      <c r="FK74" s="59">
        <f t="shared" si="102"/>
        <v>227.12211541860779</v>
      </c>
      <c r="FL74" s="15">
        <f>IF(ISNA(VLOOKUP(A74,'Données projet'!$A$217:$I$237,3,0)),0,VLOOKUP(A74,'Données projet'!$A$217:$I$237,3,0))</f>
        <v>6</v>
      </c>
      <c r="FM74" s="15">
        <f>IF(ISNA(VLOOKUP(A74,'Données projet'!$A$217:$I$237,4,0)),0,VLOOKUP(A74,'Données projet'!$A$217:$I$237,4,0))</f>
        <v>39.935897435897431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0</v>
      </c>
      <c r="FR74" s="21">
        <f>EXP(-LN(2)/25)*FR73+(1-EXP(-LN(2)/25))/(LN(2)/25)*Calculateur!FM74*Calculateur!FO74*VLOOKUP('Données projet'!$B$16,Paramètres!$A$1:$I$89,3,0)*0.475*44/12</f>
        <v>0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0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10.314743589743586</v>
      </c>
      <c r="FZ74" s="12">
        <f>IF('Données projet'!$A$244&gt;35,FZ73+FY74-GH73,IF(A74&lt;'Données projet'!$A$244,$FW$205^A74,IF(A74='Données projet'!$A$244,'Données projet'!$B$244,FZ73+FY74-GH73)))</f>
        <v>337.50128205128203</v>
      </c>
      <c r="GA74" s="17">
        <f>FZ74*VLOOKUP('Données projet'!$B$17,Paramètres!$A$1:$I$89,3,0)*VLOOKUP('Données projet'!$B$17,Paramètres!$A$1:$I$89,5,0)</f>
        <v>157.95059999999998</v>
      </c>
      <c r="GB74" s="13">
        <f t="shared" si="103"/>
        <v>40.379921270810094</v>
      </c>
      <c r="GC74" s="20">
        <f t="shared" si="79"/>
        <v>345.42565787999416</v>
      </c>
      <c r="GD74" s="59">
        <f t="shared" si="80"/>
        <v>638.75899121332748</v>
      </c>
      <c r="GE74" s="59">
        <f ca="1">AVERAGE(OFFSET($GD$3,0,0,'Données projet'!$E$17+1,1))-AVERAGE(OFFSET($H$3,0,0,'Données projet'!$E$17+1,1))</f>
        <v>123.2823358462245</v>
      </c>
      <c r="GF74" s="59">
        <f t="shared" si="104"/>
        <v>92.75115399786057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0</v>
      </c>
      <c r="GM74" s="21">
        <f>EXP(-LN(2)/25)*GM73+(1-EXP(-LN(2)/25))/(LN(2)/25)*Calculateur!GH74*Calculateur!GJ74*VLOOKUP('Données projet'!$B$17,Paramètres!$A$1:$I$89,3,0)*0.475*44/12</f>
        <v>0</v>
      </c>
      <c r="GN74" s="21">
        <f>EXP(-LN(2)/2)*GN73+(1-EXP(-LN(2)/2))/(LN(2)/2)*GH74*GK74*VLOOKUP('Données projet'!$B$17,Paramètres!$A$1:$I$89,3,0)*0.475*44/12</f>
        <v>0</v>
      </c>
      <c r="GO74" s="21">
        <f t="shared" si="81"/>
        <v>0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-2.8421709430404007E-13</v>
      </c>
      <c r="GV74" s="17">
        <f>GU74*VLOOKUP('Données projet'!$B$18,Paramètres!$A$1:$I$89,3,0)*VLOOKUP('Données projet'!$B$18,Paramètres!$A$1:$I$89,5,0)</f>
        <v>-1.69961822393816E-13</v>
      </c>
      <c r="GW74" s="13" t="e">
        <f t="shared" si="105"/>
        <v>#NUM!</v>
      </c>
      <c r="GX74" s="20" t="e">
        <f t="shared" si="82"/>
        <v>#NUM!</v>
      </c>
      <c r="GY74" s="59" t="e">
        <f t="shared" si="83"/>
        <v>#NUM!</v>
      </c>
      <c r="GZ74" s="59">
        <f ca="1">AVERAGE(OFFSET($GY$3,0,0,'Données projet'!$E$18+1,1))-AVERAGE(OFFSET($H$3,0,0,'Données projet'!$E$18+1,1))</f>
        <v>171.96009656745713</v>
      </c>
      <c r="HA74" s="59">
        <f t="shared" si="106"/>
        <v>172.37574906747716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>
        <f>EXP(-LN(2)/35)*HG73+(1-EXP(-LN(2)/35))/(LN(2)/35)*HC74*HD74*VLOOKUP('Données projet'!$B$18,Paramètres!$A$1:$I$89,3,0)*0.475*44/12</f>
        <v>0.74058364380019959</v>
      </c>
      <c r="HH74" s="21">
        <f>EXP(-LN(2)/25)*HH73+(1-EXP(-LN(2)/25))/(LN(2)/25)*Calculateur!HC74*Calculateur!HE74*VLOOKUP('Données projet'!$B$18,Paramètres!$A$1:$I$89,3,0)*0.475*44/12</f>
        <v>6.5958370854188999</v>
      </c>
      <c r="HI74" s="21">
        <f>EXP(-LN(2)/2)*HI73+(1-EXP(-LN(2)/2))/(LN(2)/2)*HC74*HF74*VLOOKUP('Données projet'!$B$18,Paramètres!$A$1:$I$89,3,0)*0.475*44/12</f>
        <v>8.1222852551633534E-6</v>
      </c>
      <c r="HJ74" s="22">
        <f t="shared" si="84"/>
        <v>7.3364288515043548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-2.2737367544323206E-13</v>
      </c>
      <c r="O75" s="13">
        <f>N75*VLOOKUP('Données projet'!$B$9,Paramètres!$A$1:$I$89,3,0)*VLOOKUP('Données projet'!$B$9,Paramètres!$A$1:$I$89,5,0)</f>
        <v>-1.2710188457276673E-13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255.5374979188561</v>
      </c>
      <c r="T75" s="59">
        <f t="shared" si="88"/>
        <v>343.10418468620901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1.3450183997879879</v>
      </c>
      <c r="AA75" s="21">
        <f>EXP(-LN(2)/25)*AA74+(1-EXP(-LN(2)/25))/(LN(2)/25)*Calculateur!V75*Calculateur!X75*VLOOKUP('Données projet'!$B$9,Paramètres!$A$1:$I$89,3,0)*0.475*44/12</f>
        <v>4.9809197601748592</v>
      </c>
      <c r="AB75" s="21">
        <f>EXP(-LN(2)/2)*AB74+(1-EXP(-LN(2)/2))/(LN(2)/2)*V75*Y75*VLOOKUP('Données projet'!$B$9,Paramètres!$A$1:$I$89,3,0)*0.475*44/12</f>
        <v>8.07119407393487E-7</v>
      </c>
      <c r="AC75" s="22">
        <f t="shared" si="57"/>
        <v>6.325938967082255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12.913461538461533</v>
      </c>
      <c r="AI75" s="13">
        <f>IF('Données projet'!$A$62&gt;35,AI74+AH75-AQ74,IF(A75&lt;'Données projet'!$A$62,$AF$205^A75,IF(A75='Données projet'!$A$62,'Données projet'!$B$62,AI74+AH75-AQ74)))</f>
        <v>346.46730769230777</v>
      </c>
      <c r="AJ75" s="13">
        <f>AI75*VLOOKUP('Données projet'!$B$10,Paramètres!$A$1:$I$89,3,0)*VLOOKUP('Données projet'!$B$10,Paramètres!$A$1:$I$89,5,0)</f>
        <v>162.14670000000004</v>
      </c>
      <c r="AK75" s="13">
        <f t="shared" si="89"/>
        <v>41.326333369414826</v>
      </c>
      <c r="AL75" s="20">
        <f t="shared" si="58"/>
        <v>354.38219978506419</v>
      </c>
      <c r="AM75" s="59">
        <f t="shared" si="59"/>
        <v>647.7155331183975</v>
      </c>
      <c r="AN75" s="59">
        <f ca="1">AVERAGE(OFFSET($AM$3,0,0,'Données projet'!$E$10+1,1))-AVERAGE(OFFSET($H$3,0,0,'Données projet'!$E$10+1,1))</f>
        <v>158.58786357608489</v>
      </c>
      <c r="AO75" s="59">
        <f t="shared" si="90"/>
        <v>163.20074068819849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-1.7053025658242404E-13</v>
      </c>
      <c r="BE75" s="13">
        <f>BD75*VLOOKUP('Données projet'!$B$11,Paramètres!$A$1:$I$89,3,0)*VLOOKUP('Données projet'!$B$11,Paramètres!$A$1:$I$89,5,0)</f>
        <v>-1.0197709343628959E-13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243.85350804244348</v>
      </c>
      <c r="BJ75" s="59">
        <f t="shared" si="92"/>
        <v>304.60992308960545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1.9699846020453111</v>
      </c>
      <c r="BQ75" s="21">
        <f>EXP(-LN(2)/25)*BQ74+(1-EXP(-LN(2)/25))/(LN(2)/25)*Calculateur!BL75*Calculateur!BN75*VLOOKUP('Données projet'!$B$11,Paramètres!$A$1:$I$89,3,0)*0.475*44/12</f>
        <v>5.5328821034963376</v>
      </c>
      <c r="BR75" s="21">
        <f>EXP(-LN(2)/2)*BR74+(1-EXP(-LN(2)/2))/(LN(2)/2)*BL75*BO75*VLOOKUP('Données projet'!$B$11,Paramètres!$A$1:$I$89,3,0)*0.475*44/12</f>
        <v>1.7825253139837742E-6</v>
      </c>
      <c r="BS75" s="22">
        <f t="shared" si="63"/>
        <v>7.5028684880669632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12.5</v>
      </c>
      <c r="BY75" s="12">
        <f>IF('Données projet'!$A$114&gt;35,BY74+BX75-CG74,IF(A75&lt;'Données projet'!$A$114,$BV$205^A75,IF(A75='Données projet'!$A$114,'Données projet'!$B$114,BY74+BX75-CG74)))</f>
        <v>437.00000000000028</v>
      </c>
      <c r="BZ75" s="13">
        <f>BY75*VLOOKUP('Données projet'!$B$12,Paramètres!$A$1:$I$89,3,0)*VLOOKUP('Données projet'!$B$12,Paramètres!$A$1:$I$89,5,0)</f>
        <v>261.32600000000019</v>
      </c>
      <c r="CA75" s="13">
        <f t="shared" si="93"/>
        <v>63.004943834026825</v>
      </c>
      <c r="CB75" s="20">
        <f t="shared" si="64"/>
        <v>564.87639384426382</v>
      </c>
      <c r="CC75" s="59">
        <f t="shared" si="65"/>
        <v>858.20972717759719</v>
      </c>
      <c r="CD75" s="59">
        <f ca="1">AVERAGE(OFFSET($CC$3,0,0,'Données projet'!$E$12+1,1))-AVERAGE(OFFSET($H$3,0,0,'Données projet'!$E$12+1,1))</f>
        <v>270.30888762640245</v>
      </c>
      <c r="CE75" s="59">
        <f t="shared" si="94"/>
        <v>202.23783851977691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0.9323034896129051</v>
      </c>
      <c r="CL75" s="21">
        <f>EXP(-LN(2)/25)*CL74+(1-EXP(-LN(2)/25))/(LN(2)/25)*Calculateur!CG75*Calculateur!CI75*VLOOKUP('Données projet'!$B$12,Paramètres!$A$1:$I$89,3,0)*0.475*44/12</f>
        <v>3.8371209916282187</v>
      </c>
      <c r="CM75" s="21">
        <f>EXP(-LN(2)/2)*CM74+(1-EXP(-LN(2)/2))/(LN(2)/2)*CG75*CJ75*VLOOKUP('Données projet'!$B$12,Paramètres!$A$1:$I$89,3,0)*0.475*44/12</f>
        <v>8.8179629261315269E-6</v>
      </c>
      <c r="CN75" s="22">
        <f t="shared" si="66"/>
        <v>4.7694332992040502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3.9</v>
      </c>
      <c r="CT75" s="12">
        <f>IF('Données projet'!$A$140&gt;35,CT74+CS75-DB74,IF(A75&lt;'Données projet'!$A$140,$CQ$205^A75,IF(A75='Données projet'!$A$140,'Données projet'!$B$140,CT74+CS75-DB74)))</f>
        <v>310.79999999999967</v>
      </c>
      <c r="CU75" s="17">
        <f>CT75*VLOOKUP('Données projet'!$B$13,Paramètres!$A$1:$I$89,3,0)*VLOOKUP('Données projet'!$B$13,Paramètres!$A$1:$I$89,5,0)</f>
        <v>247.27247999999975</v>
      </c>
      <c r="CV75" s="13">
        <f t="shared" si="95"/>
        <v>60.001511123918704</v>
      </c>
      <c r="CW75" s="20">
        <f t="shared" si="67"/>
        <v>535.16886787415797</v>
      </c>
      <c r="CX75" s="59">
        <f t="shared" si="68"/>
        <v>828.50220120749123</v>
      </c>
      <c r="CY75" s="59">
        <f ca="1">AVERAGE(OFFSET($CX$3,0,0,'Données projet'!$E$13+1,1))-AVERAGE(OFFSET($H$3,0,0,'Données projet'!$E$13+1,1))</f>
        <v>260.20517190557814</v>
      </c>
      <c r="CZ75" s="59">
        <f t="shared" si="96"/>
        <v>307.22009971147133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1.4202990601421723</v>
      </c>
      <c r="DG75" s="21">
        <f>EXP(-LN(2)/25)*DG74+(1-EXP(-LN(2)/25))/(LN(2)/25)*Calculateur!DB75*Calculateur!DD75*VLOOKUP('Données projet'!$B$13,Paramètres!$A$1:$I$89,3,0)*0.475*44/12</f>
        <v>6.4038117331722129</v>
      </c>
      <c r="DH75" s="21">
        <f>EXP(-LN(2)/2)*DH74+(1-EXP(-LN(2)/2))/(LN(2)/2)*DB75*DE75*VLOOKUP('Données projet'!$B$13,Paramètres!$A$1:$I$89,3,0)*0.475*44/12</f>
        <v>1.1462704779032367E-5</v>
      </c>
      <c r="DI75" s="22">
        <f t="shared" si="69"/>
        <v>7.8241222560191641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7.8425925925925934</v>
      </c>
      <c r="DO75" s="12">
        <f>IF('Données projet'!$A$166&gt;35,DO74+DN75-DW74,IF(A75&lt;'Données projet'!$A$166,$DL$205^A75,IF(A75='Données projet'!$A$166,'Données projet'!$B$166,DO74+DN75-DW74)))</f>
        <v>211.27207977207976</v>
      </c>
      <c r="DP75" s="17">
        <f>DO75*VLOOKUP('Données projet'!$B$14,Paramètres!$A$1:$I$89,3,0)*VLOOKUP('Données projet'!$B$14,Paramètres!$A$1:$I$89,5,0)</f>
        <v>214.22988888888889</v>
      </c>
      <c r="DQ75" s="13">
        <f t="shared" si="97"/>
        <v>52.858847294468191</v>
      </c>
      <c r="DR75" s="20">
        <f t="shared" si="70"/>
        <v>465.17954885268017</v>
      </c>
      <c r="DS75" s="59">
        <f t="shared" si="71"/>
        <v>758.51288218601348</v>
      </c>
      <c r="DT75" s="59">
        <f ca="1">AVERAGE(OFFSET($DS$3,0,0,'Données projet'!$E$14+1,1))-AVERAGE(OFFSET($H$3,0,0,'Données projet'!$E$14+1,1))</f>
        <v>263.15518481854753</v>
      </c>
      <c r="DU75" s="59">
        <f t="shared" si="98"/>
        <v>210.80755370263819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0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3.9</v>
      </c>
      <c r="EJ75" s="12">
        <f>IF('Données projet'!$A$192&gt;35,EJ74+EI75-ER74,IF(A75&lt;'Données projet'!$A$192,$EG$205^A75,IF(A75='Données projet'!$A$192,'Données projet'!$B$192,EJ74+EI75-ER74)))</f>
        <v>310.79999999999967</v>
      </c>
      <c r="EK75" s="17">
        <f>EJ75*VLOOKUP('Données projet'!$B$15,Paramètres!$A$1:$I$89,3,0)*VLOOKUP('Données projet'!$B$15,Paramètres!$A$1:$I$89,5,0)</f>
        <v>208.48463999999979</v>
      </c>
      <c r="EL75" s="13">
        <f t="shared" si="99"/>
        <v>51.60430196645391</v>
      </c>
      <c r="EM75" s="20">
        <f t="shared" si="73"/>
        <v>452.98824059157351</v>
      </c>
      <c r="EN75" s="59">
        <f t="shared" si="74"/>
        <v>746.32157392490683</v>
      </c>
      <c r="EO75" s="59">
        <f ca="1">AVERAGE(OFFSET($EN$3,0,0,'Données projet'!$E$15+1,1))-AVERAGE(OFFSET($H$3,0,0,'Données projet'!$E$15+1,1))</f>
        <v>207.93042467236967</v>
      </c>
      <c r="EP75" s="59">
        <f t="shared" si="100"/>
        <v>250.70954318710835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1.1975070507081054</v>
      </c>
      <c r="EW75" s="21">
        <f>EXP(-LN(2)/25)*EW74+(1-EXP(-LN(2)/25))/(LN(2)/25)*Calculateur!ER75*Calculateur!ET75*VLOOKUP('Données projet'!$B$15,Paramètres!$A$1:$I$89,3,0)*0.475*44/12</f>
        <v>5.3992922456157926</v>
      </c>
      <c r="EX75" s="21">
        <f>EXP(-LN(2)/2)*EX74+(1-EXP(-LN(2)/2))/(LN(2)/2)*ER75*EU75*VLOOKUP('Données projet'!$B$15,Paramètres!$A$1:$I$89,3,0)*0.475*44/12</f>
        <v>9.6646334411449361E-6</v>
      </c>
      <c r="EY75" s="22">
        <f t="shared" si="75"/>
        <v>6.5968089609573388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7.8425925925925934</v>
      </c>
      <c r="FE75" s="12">
        <f>IF('Données projet'!$A$218&gt;35,FE74+FD75-FM74,IF(A75&lt;'Données projet'!$A$218,$FB$205^A75,IF(A75='Données projet'!$A$218,'Données projet'!$B$218,FE74+FD75-FM74)))</f>
        <v>211.27207977207976</v>
      </c>
      <c r="FF75" s="17">
        <f>FE75*VLOOKUP('Données projet'!$B$16,Paramètres!$A$1:$I$89,3,0)*VLOOKUP('Données projet'!$B$16,Paramètres!$A$1:$I$89,5,0)</f>
        <v>227.41326666666666</v>
      </c>
      <c r="FG75" s="13">
        <f t="shared" si="101"/>
        <v>55.723001664055722</v>
      </c>
      <c r="FH75" s="20">
        <f t="shared" si="76"/>
        <v>493.12900067600816</v>
      </c>
      <c r="FI75" s="59">
        <f t="shared" si="77"/>
        <v>786.46233400934148</v>
      </c>
      <c r="FJ75" s="59">
        <f ca="1">AVERAGE(OFFSET($FI$3,0,0,'Données projet'!$E$16+1,1))-AVERAGE(OFFSET($H$3,0,0,'Données projet'!$E$16+1,1))</f>
        <v>286.77702855541287</v>
      </c>
      <c r="FK75" s="59">
        <f t="shared" si="102"/>
        <v>227.12211541860779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0</v>
      </c>
      <c r="FR75" s="21">
        <f>EXP(-LN(2)/25)*FR74+(1-EXP(-LN(2)/25))/(LN(2)/25)*Calculateur!FM75*Calculateur!FO75*VLOOKUP('Données projet'!$B$16,Paramètres!$A$1:$I$89,3,0)*0.475*44/12</f>
        <v>0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0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10.314743589743586</v>
      </c>
      <c r="FZ75" s="12">
        <f>IF('Données projet'!$A$244&gt;35,FZ74+FY75-GH74,IF(A75&lt;'Données projet'!$A$244,$FW$205^A75,IF(A75='Données projet'!$A$244,'Données projet'!$B$244,FZ74+FY75-GH74)))</f>
        <v>347.81602564102559</v>
      </c>
      <c r="GA75" s="17">
        <f>FZ75*VLOOKUP('Données projet'!$B$17,Paramètres!$A$1:$I$89,3,0)*VLOOKUP('Données projet'!$B$17,Paramètres!$A$1:$I$89,5,0)</f>
        <v>162.77789999999996</v>
      </c>
      <c r="GB75" s="13">
        <f t="shared" si="103"/>
        <v>41.468449441443077</v>
      </c>
      <c r="GC75" s="20">
        <f t="shared" si="79"/>
        <v>355.72905861051328</v>
      </c>
      <c r="GD75" s="59">
        <f t="shared" si="80"/>
        <v>649.06239194384659</v>
      </c>
      <c r="GE75" s="59">
        <f ca="1">AVERAGE(OFFSET($GD$3,0,0,'Données projet'!$E$17+1,1))-AVERAGE(OFFSET($H$3,0,0,'Données projet'!$E$17+1,1))</f>
        <v>123.2823358462245</v>
      </c>
      <c r="GF75" s="59">
        <f t="shared" si="104"/>
        <v>92.75115399786057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0</v>
      </c>
      <c r="GM75" s="21">
        <f>EXP(-LN(2)/25)*GM74+(1-EXP(-LN(2)/25))/(LN(2)/25)*Calculateur!GH75*Calculateur!GJ75*VLOOKUP('Données projet'!$B$17,Paramètres!$A$1:$I$89,3,0)*0.475*44/12</f>
        <v>0</v>
      </c>
      <c r="GN75" s="21">
        <f>EXP(-LN(2)/2)*GN74+(1-EXP(-LN(2)/2))/(LN(2)/2)*GH75*GK75*VLOOKUP('Données projet'!$B$17,Paramètres!$A$1:$I$89,3,0)*0.475*44/12</f>
        <v>0</v>
      </c>
      <c r="GO75" s="21">
        <f t="shared" si="81"/>
        <v>0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-2.8421709430404007E-13</v>
      </c>
      <c r="GV75" s="17">
        <f>GU75*VLOOKUP('Données projet'!$B$18,Paramètres!$A$1:$I$89,3,0)*VLOOKUP('Données projet'!$B$18,Paramètres!$A$1:$I$89,5,0)</f>
        <v>-1.69961822393816E-13</v>
      </c>
      <c r="GW75" s="13" t="e">
        <f t="shared" si="105"/>
        <v>#NUM!</v>
      </c>
      <c r="GX75" s="20" t="e">
        <f t="shared" si="82"/>
        <v>#NUM!</v>
      </c>
      <c r="GY75" s="59" t="e">
        <f t="shared" si="83"/>
        <v>#NUM!</v>
      </c>
      <c r="GZ75" s="59">
        <f ca="1">AVERAGE(OFFSET($GY$3,0,0,'Données projet'!$E$18+1,1))-AVERAGE(OFFSET($H$3,0,0,'Données projet'!$E$18+1,1))</f>
        <v>171.96009656745713</v>
      </c>
      <c r="HA75" s="59">
        <f t="shared" si="106"/>
        <v>172.37574906747716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>
        <f>EXP(-LN(2)/35)*HG74+(1-EXP(-LN(2)/35))/(LN(2)/35)*HC75*HD75*VLOOKUP('Données projet'!$B$18,Paramètres!$A$1:$I$89,3,0)*0.475*44/12</f>
        <v>0.72606125025669754</v>
      </c>
      <c r="HH75" s="21">
        <f>EXP(-LN(2)/25)*HH74+(1-EXP(-LN(2)/25))/(LN(2)/25)*Calculateur!HC75*Calculateur!HE75*VLOOKUP('Données projet'!$B$18,Paramètres!$A$1:$I$89,3,0)*0.475*44/12</f>
        <v>6.4154735734581232</v>
      </c>
      <c r="HI75" s="21">
        <f>EXP(-LN(2)/2)*HI74+(1-EXP(-LN(2)/2))/(LN(2)/2)*HC75*HF75*VLOOKUP('Données projet'!$B$18,Paramètres!$A$1:$I$89,3,0)*0.475*44/12</f>
        <v>5.7433229826575147E-6</v>
      </c>
      <c r="HJ75" s="22">
        <f t="shared" si="84"/>
        <v>7.1415405670378034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-2.2737367544323206E-13</v>
      </c>
      <c r="O76" s="13">
        <f>N76*VLOOKUP('Données projet'!$B$9,Paramètres!$A$1:$I$89,3,0)*VLOOKUP('Données projet'!$B$9,Paramètres!$A$1:$I$89,5,0)</f>
        <v>-1.2710188457276673E-13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255.5374979188561</v>
      </c>
      <c r="T76" s="59">
        <f t="shared" si="88"/>
        <v>343.10418468620901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1.3186434093483634</v>
      </c>
      <c r="AA76" s="21">
        <f>EXP(-LN(2)/25)*AA75+(1-EXP(-LN(2)/25))/(LN(2)/25)*Calculateur!V76*Calculateur!X76*VLOOKUP('Données projet'!$B$9,Paramètres!$A$1:$I$89,3,0)*0.475*44/12</f>
        <v>4.8447162473976917</v>
      </c>
      <c r="AB76" s="21">
        <f>EXP(-LN(2)/2)*AB75+(1-EXP(-LN(2)/2))/(LN(2)/2)*V76*Y76*VLOOKUP('Données projet'!$B$9,Paramètres!$A$1:$I$89,3,0)*0.475*44/12</f>
        <v>5.7071960619520231E-7</v>
      </c>
      <c r="AC76" s="22">
        <f t="shared" si="57"/>
        <v>6.1633602274656605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12.913461538461533</v>
      </c>
      <c r="AI76" s="13">
        <f>IF('Données projet'!$A$62&gt;35,AI75+AH76-AQ75,IF(A76&lt;'Données projet'!$A$62,$AF$205^A76,IF(A76='Données projet'!$A$62,'Données projet'!$B$62,AI75+AH76-AQ75)))</f>
        <v>359.38076923076932</v>
      </c>
      <c r="AJ76" s="13">
        <f>AI76*VLOOKUP('Données projet'!$B$10,Paramètres!$A$1:$I$89,3,0)*VLOOKUP('Données projet'!$B$10,Paramètres!$A$1:$I$89,5,0)</f>
        <v>168.19020000000003</v>
      </c>
      <c r="AK76" s="13">
        <f t="shared" si="89"/>
        <v>42.684436447240749</v>
      </c>
      <c r="AL76" s="20">
        <f t="shared" si="58"/>
        <v>367.27332514561107</v>
      </c>
      <c r="AM76" s="59">
        <f t="shared" si="59"/>
        <v>660.60665847894438</v>
      </c>
      <c r="AN76" s="59">
        <f ca="1">AVERAGE(OFFSET($AM$3,0,0,'Données projet'!$E$10+1,1))-AVERAGE(OFFSET($H$3,0,0,'Données projet'!$E$10+1,1))</f>
        <v>158.58786357608489</v>
      </c>
      <c r="AO76" s="59">
        <f t="shared" si="90"/>
        <v>163.20074068819849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-1.7053025658242404E-13</v>
      </c>
      <c r="BE76" s="13">
        <f>BD76*VLOOKUP('Données projet'!$B$11,Paramètres!$A$1:$I$89,3,0)*VLOOKUP('Données projet'!$B$11,Paramètres!$A$1:$I$89,5,0)</f>
        <v>-1.0197709343628959E-13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243.85350804244348</v>
      </c>
      <c r="BJ76" s="59">
        <f t="shared" si="92"/>
        <v>304.60992308960545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1.9313544055711644</v>
      </c>
      <c r="BQ76" s="21">
        <f>EXP(-LN(2)/25)*BQ75+(1-EXP(-LN(2)/25))/(LN(2)/25)*Calculateur!BL76*Calculateur!BN76*VLOOKUP('Données projet'!$B$11,Paramètres!$A$1:$I$89,3,0)*0.475*44/12</f>
        <v>5.3815851514146056</v>
      </c>
      <c r="BR76" s="21">
        <f>EXP(-LN(2)/2)*BR75+(1-EXP(-LN(2)/2))/(LN(2)/2)*BL76*BO76*VLOOKUP('Données projet'!$B$11,Paramètres!$A$1:$I$89,3,0)*0.475*44/12</f>
        <v>1.2604357371546066E-6</v>
      </c>
      <c r="BS76" s="22">
        <f t="shared" si="63"/>
        <v>7.3129408174215067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12.5</v>
      </c>
      <c r="BY76" s="12">
        <f>IF('Données projet'!$A$114&gt;35,BY75+BX76-CG75,IF(A76&lt;'Données projet'!$A$114,$BV$205^A76,IF(A76='Données projet'!$A$114,'Données projet'!$B$114,BY75+BX76-CG75)))</f>
        <v>449.50000000000028</v>
      </c>
      <c r="BZ76" s="13">
        <f>BY76*VLOOKUP('Données projet'!$B$12,Paramètres!$A$1:$I$89,3,0)*VLOOKUP('Données projet'!$B$12,Paramètres!$A$1:$I$89,5,0)</f>
        <v>268.80100000000022</v>
      </c>
      <c r="CA76" s="13">
        <f t="shared" si="93"/>
        <v>64.594745353205028</v>
      </c>
      <c r="CB76" s="20">
        <f t="shared" si="64"/>
        <v>580.66425649016571</v>
      </c>
      <c r="CC76" s="59">
        <f t="shared" si="65"/>
        <v>873.99758982349908</v>
      </c>
      <c r="CD76" s="59">
        <f ca="1">AVERAGE(OFFSET($CC$3,0,0,'Données projet'!$E$12+1,1))-AVERAGE(OFFSET($H$3,0,0,'Données projet'!$E$12+1,1))</f>
        <v>270.30888762640245</v>
      </c>
      <c r="CE76" s="59">
        <f t="shared" si="94"/>
        <v>202.23783851977691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0.91402158683057533</v>
      </c>
      <c r="CL76" s="21">
        <f>EXP(-LN(2)/25)*CL75+(1-EXP(-LN(2)/25))/(LN(2)/25)*Calculateur!CG76*Calculateur!CI76*VLOOKUP('Données projet'!$B$12,Paramètres!$A$1:$I$89,3,0)*0.475*44/12</f>
        <v>3.7321947163267222</v>
      </c>
      <c r="CM76" s="21">
        <f>EXP(-LN(2)/2)*CM75+(1-EXP(-LN(2)/2))/(LN(2)/2)*CG76*CJ76*VLOOKUP('Données projet'!$B$12,Paramètres!$A$1:$I$89,3,0)*0.475*44/12</f>
        <v>6.235241381319174E-6</v>
      </c>
      <c r="CN76" s="22">
        <f t="shared" si="66"/>
        <v>4.6462225383986784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3.9</v>
      </c>
      <c r="CT76" s="12">
        <f>IF('Données projet'!$A$140&gt;35,CT75+CS76-DB75,IF(A76&lt;'Données projet'!$A$140,$CQ$205^A76,IF(A76='Données projet'!$A$140,'Données projet'!$B$140,CT75+CS76-DB75)))</f>
        <v>314.69999999999965</v>
      </c>
      <c r="CU76" s="17">
        <f>CT76*VLOOKUP('Données projet'!$B$13,Paramètres!$A$1:$I$89,3,0)*VLOOKUP('Données projet'!$B$13,Paramètres!$A$1:$I$89,5,0)</f>
        <v>250.37531999999973</v>
      </c>
      <c r="CV76" s="13">
        <f t="shared" si="95"/>
        <v>60.666302963242082</v>
      </c>
      <c r="CW76" s="20">
        <f t="shared" si="67"/>
        <v>541.73082666097946</v>
      </c>
      <c r="CX76" s="59">
        <f t="shared" si="68"/>
        <v>835.06415999431283</v>
      </c>
      <c r="CY76" s="59">
        <f ca="1">AVERAGE(OFFSET($CX$3,0,0,'Données projet'!$E$13+1,1))-AVERAGE(OFFSET($H$3,0,0,'Données projet'!$E$13+1,1))</f>
        <v>260.20517190557814</v>
      </c>
      <c r="CZ76" s="59">
        <f t="shared" si="96"/>
        <v>307.22009971147133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1.3924478618696714</v>
      </c>
      <c r="DG76" s="21">
        <f>EXP(-LN(2)/25)*DG75+(1-EXP(-LN(2)/25))/(LN(2)/25)*Calculateur!DB76*Calculateur!DD76*VLOOKUP('Données projet'!$B$13,Paramètres!$A$1:$I$89,3,0)*0.475*44/12</f>
        <v>6.2286991645667955</v>
      </c>
      <c r="DH76" s="21">
        <f>EXP(-LN(2)/2)*DH75+(1-EXP(-LN(2)/2))/(LN(2)/2)*DB76*DE76*VLOOKUP('Données projet'!$B$13,Paramètres!$A$1:$I$89,3,0)*0.475*44/12</f>
        <v>8.1053562799932324E-6</v>
      </c>
      <c r="DI76" s="22">
        <f t="shared" si="69"/>
        <v>7.6211551317927473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7.8425925925925934</v>
      </c>
      <c r="DO76" s="12">
        <f>IF('Données projet'!$A$166&gt;35,DO75+DN76-DW75,IF(A76&lt;'Données projet'!$A$166,$DL$205^A76,IF(A76='Données projet'!$A$166,'Données projet'!$B$166,DO75+DN76-DW75)))</f>
        <v>219.11467236467234</v>
      </c>
      <c r="DP76" s="17">
        <f>DO76*VLOOKUP('Données projet'!$B$14,Paramètres!$A$1:$I$89,3,0)*VLOOKUP('Données projet'!$B$14,Paramètres!$A$1:$I$89,5,0)</f>
        <v>222.18227777777776</v>
      </c>
      <c r="DQ76" s="13">
        <f t="shared" si="97"/>
        <v>54.588920195757801</v>
      </c>
      <c r="DR76" s="20">
        <f t="shared" si="70"/>
        <v>482.04316980390769</v>
      </c>
      <c r="DS76" s="59">
        <f t="shared" si="71"/>
        <v>775.376503137241</v>
      </c>
      <c r="DT76" s="59">
        <f ca="1">AVERAGE(OFFSET($DS$3,0,0,'Données projet'!$E$14+1,1))-AVERAGE(OFFSET($H$3,0,0,'Données projet'!$E$14+1,1))</f>
        <v>263.15518481854753</v>
      </c>
      <c r="DU76" s="59">
        <f t="shared" si="98"/>
        <v>210.80755370263819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0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3.9</v>
      </c>
      <c r="EJ76" s="12">
        <f>IF('Données projet'!$A$192&gt;35,EJ75+EI76-ER75,IF(A76&lt;'Données projet'!$A$192,$EG$205^A76,IF(A76='Données projet'!$A$192,'Données projet'!$B$192,EJ75+EI76-ER75)))</f>
        <v>314.69999999999965</v>
      </c>
      <c r="EK76" s="17">
        <f>EJ76*VLOOKUP('Données projet'!$B$15,Paramètres!$A$1:$I$89,3,0)*VLOOKUP('Données projet'!$B$15,Paramètres!$A$1:$I$89,5,0)</f>
        <v>211.10075999999978</v>
      </c>
      <c r="EL76" s="13">
        <f t="shared" si="99"/>
        <v>52.176056213616526</v>
      </c>
      <c r="EM76" s="20">
        <f t="shared" si="73"/>
        <v>458.54045490538175</v>
      </c>
      <c r="EN76" s="59">
        <f t="shared" si="74"/>
        <v>751.87378823871506</v>
      </c>
      <c r="EO76" s="59">
        <f ca="1">AVERAGE(OFFSET($EN$3,0,0,'Données projet'!$E$15+1,1))-AVERAGE(OFFSET($H$3,0,0,'Données projet'!$E$15+1,1))</f>
        <v>207.93042467236967</v>
      </c>
      <c r="EP76" s="59">
        <f t="shared" si="100"/>
        <v>250.70954318710835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1.1740246678508985</v>
      </c>
      <c r="EW76" s="21">
        <f>EXP(-LN(2)/25)*EW75+(1-EXP(-LN(2)/25))/(LN(2)/25)*Calculateur!ER76*Calculateur!ET76*VLOOKUP('Données projet'!$B$15,Paramètres!$A$1:$I$89,3,0)*0.475*44/12</f>
        <v>5.2516483152229894</v>
      </c>
      <c r="EX76" s="21">
        <f>EXP(-LN(2)/2)*EX75+(1-EXP(-LN(2)/2))/(LN(2)/2)*ER76*EU76*VLOOKUP('Données projet'!$B$15,Paramètres!$A$1:$I$89,3,0)*0.475*44/12</f>
        <v>6.8339278439158622E-6</v>
      </c>
      <c r="EY76" s="22">
        <f t="shared" si="75"/>
        <v>6.4256798170017317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7.8425925925925934</v>
      </c>
      <c r="FE76" s="12">
        <f>IF('Données projet'!$A$218&gt;35,FE75+FD76-FM75,IF(A76&lt;'Données projet'!$A$218,$FB$205^A76,IF(A76='Données projet'!$A$218,'Données projet'!$B$218,FE75+FD76-FM75)))</f>
        <v>219.11467236467234</v>
      </c>
      <c r="FF76" s="17">
        <f>FE76*VLOOKUP('Données projet'!$B$16,Paramètres!$A$1:$I$89,3,0)*VLOOKUP('Données projet'!$B$16,Paramètres!$A$1:$I$89,5,0)</f>
        <v>235.8550333333333</v>
      </c>
      <c r="FG76" s="13">
        <f t="shared" si="101"/>
        <v>57.546818491169695</v>
      </c>
      <c r="FH76" s="20">
        <f t="shared" si="76"/>
        <v>511.00822526100939</v>
      </c>
      <c r="FI76" s="59">
        <f t="shared" si="77"/>
        <v>804.3415585943427</v>
      </c>
      <c r="FJ76" s="59">
        <f ca="1">AVERAGE(OFFSET($FI$3,0,0,'Données projet'!$E$16+1,1))-AVERAGE(OFFSET($H$3,0,0,'Données projet'!$E$16+1,1))</f>
        <v>286.77702855541287</v>
      </c>
      <c r="FK76" s="59">
        <f t="shared" si="102"/>
        <v>227.12211541860779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0</v>
      </c>
      <c r="FR76" s="21">
        <f>EXP(-LN(2)/25)*FR75+(1-EXP(-LN(2)/25))/(LN(2)/25)*Calculateur!FM76*Calculateur!FO76*VLOOKUP('Données projet'!$B$16,Paramètres!$A$1:$I$89,3,0)*0.475*44/12</f>
        <v>0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0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>
        <f>VLOOKUP(A76,'Données projet'!$A$243:$I$263,2,0)</f>
        <v>358.1307692307692</v>
      </c>
      <c r="FX76" s="12">
        <f>VLOOKUP(A76,'Données projet'!$A$243:$I$263,9,0)</f>
        <v>10.314743589743586</v>
      </c>
      <c r="FY76" s="12">
        <f t="array" ref="FY76">INDEX(FX:FX,MIN(IF(ISNUMBER(FX76:FX272),ROW(FX76:FX272),"")))</f>
        <v>10.314743589743586</v>
      </c>
      <c r="FZ76" s="12">
        <f>IF('Données projet'!$A$244&gt;35,FZ75+FY76-GH75,IF(A76&lt;'Données projet'!$A$244,$FW$205^A76,IF(A76='Données projet'!$A$244,'Données projet'!$B$244,FZ75+FY76-GH75)))</f>
        <v>358.13076923076915</v>
      </c>
      <c r="GA76" s="17">
        <f>FZ76*VLOOKUP('Données projet'!$B$17,Paramètres!$A$1:$I$89,3,0)*VLOOKUP('Données projet'!$B$17,Paramètres!$A$1:$I$89,5,0)</f>
        <v>167.60519999999997</v>
      </c>
      <c r="GB76" s="13">
        <f t="shared" si="103"/>
        <v>42.553225987206702</v>
      </c>
      <c r="GC76" s="20">
        <f t="shared" si="79"/>
        <v>366.02592526105167</v>
      </c>
      <c r="GD76" s="59">
        <f t="shared" si="80"/>
        <v>659.35925859438498</v>
      </c>
      <c r="GE76" s="59">
        <f ca="1">AVERAGE(OFFSET($GD$3,0,0,'Données projet'!$E$17+1,1))-AVERAGE(OFFSET($H$3,0,0,'Données projet'!$E$17+1,1))</f>
        <v>123.2823358462245</v>
      </c>
      <c r="GF76" s="59">
        <f t="shared" si="104"/>
        <v>92.75115399786057</v>
      </c>
      <c r="GG76" s="15">
        <f>IF(ISNA(VLOOKUP(A76,'Données projet'!$A$243:$I$263,3,0)),0,VLOOKUP(A76,'Données projet'!$A$243:$I$263,3,0))</f>
        <v>3</v>
      </c>
      <c r="GH76" s="15">
        <f>IF(ISNA(VLOOKUP(A76,'Données projet'!$A$243:$I$263,4,0)),0,VLOOKUP(A76,'Données projet'!$A$243:$I$263,4,0))</f>
        <v>93.584615384615375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0</v>
      </c>
      <c r="GM76" s="21">
        <f>EXP(-LN(2)/25)*GM75+(1-EXP(-LN(2)/25))/(LN(2)/25)*Calculateur!GH76*Calculateur!GJ76*VLOOKUP('Données projet'!$B$17,Paramètres!$A$1:$I$89,3,0)*0.475*44/12</f>
        <v>0</v>
      </c>
      <c r="GN76" s="21">
        <f>EXP(-LN(2)/2)*GN75+(1-EXP(-LN(2)/2))/(LN(2)/2)*GH76*GK76*VLOOKUP('Données projet'!$B$17,Paramètres!$A$1:$I$89,3,0)*0.475*44/12</f>
        <v>0</v>
      </c>
      <c r="GO76" s="21">
        <f t="shared" si="81"/>
        <v>0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-2.8421709430404007E-13</v>
      </c>
      <c r="GV76" s="17">
        <f>GU76*VLOOKUP('Données projet'!$B$18,Paramètres!$A$1:$I$89,3,0)*VLOOKUP('Données projet'!$B$18,Paramètres!$A$1:$I$89,5,0)</f>
        <v>-1.69961822393816E-13</v>
      </c>
      <c r="GW76" s="13" t="e">
        <f t="shared" si="105"/>
        <v>#NUM!</v>
      </c>
      <c r="GX76" s="20" t="e">
        <f t="shared" si="82"/>
        <v>#NUM!</v>
      </c>
      <c r="GY76" s="59" t="e">
        <f t="shared" si="83"/>
        <v>#NUM!</v>
      </c>
      <c r="GZ76" s="59">
        <f ca="1">AVERAGE(OFFSET($GY$3,0,0,'Données projet'!$E$18+1,1))-AVERAGE(OFFSET($H$3,0,0,'Données projet'!$E$18+1,1))</f>
        <v>171.96009656745713</v>
      </c>
      <c r="HA76" s="59">
        <f t="shared" si="106"/>
        <v>172.37574906747716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>
        <f>EXP(-LN(2)/35)*HG75+(1-EXP(-LN(2)/35))/(LN(2)/35)*HC76*HD76*VLOOKUP('Données projet'!$B$18,Paramètres!$A$1:$I$89,3,0)*0.475*44/12</f>
        <v>0.71182363199279819</v>
      </c>
      <c r="HH76" s="21">
        <f>EXP(-LN(2)/25)*HH75+(1-EXP(-LN(2)/25))/(LN(2)/25)*Calculateur!HC76*Calculateur!HE76*VLOOKUP('Données projet'!$B$18,Paramètres!$A$1:$I$89,3,0)*0.475*44/12</f>
        <v>6.2400421112168187</v>
      </c>
      <c r="HI76" s="21">
        <f>EXP(-LN(2)/2)*HI75+(1-EXP(-LN(2)/2))/(LN(2)/2)*HC76*HF76*VLOOKUP('Données projet'!$B$18,Paramètres!$A$1:$I$89,3,0)*0.475*44/12</f>
        <v>4.0611426275816767E-6</v>
      </c>
      <c r="HJ76" s="22">
        <f t="shared" si="84"/>
        <v>6.9518698043522447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-2.2737367544323206E-13</v>
      </c>
      <c r="O77" s="13">
        <f>N77*VLOOKUP('Données projet'!$B$9,Paramètres!$A$1:$I$89,3,0)*VLOOKUP('Données projet'!$B$9,Paramètres!$A$1:$I$89,5,0)</f>
        <v>-1.2710188457276673E-13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255.5374979188561</v>
      </c>
      <c r="T77" s="59">
        <f t="shared" si="88"/>
        <v>343.10418468620901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1.2927856163841045</v>
      </c>
      <c r="AA77" s="21">
        <f>EXP(-LN(2)/25)*AA76+(1-EXP(-LN(2)/25))/(LN(2)/25)*Calculateur!V77*Calculateur!X77*VLOOKUP('Données projet'!$B$9,Paramètres!$A$1:$I$89,3,0)*0.475*44/12</f>
        <v>4.7122372268400472</v>
      </c>
      <c r="AB77" s="21">
        <f>EXP(-LN(2)/2)*AB76+(1-EXP(-LN(2)/2))/(LN(2)/2)*V77*Y77*VLOOKUP('Données projet'!$B$9,Paramètres!$A$1:$I$89,3,0)*0.475*44/12</f>
        <v>4.035597036967435E-7</v>
      </c>
      <c r="AC77" s="22">
        <f t="shared" si="57"/>
        <v>6.005023246783856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12.913461538461533</v>
      </c>
      <c r="AI77" s="13">
        <f>IF('Données projet'!$A$62&gt;35,AI76+AH77-AQ76,IF(A77&lt;'Données projet'!$A$62,$AF$205^A77,IF(A77='Données projet'!$A$62,'Données projet'!$B$62,AI76+AH77-AQ76)))</f>
        <v>372.29423076923086</v>
      </c>
      <c r="AJ77" s="13">
        <f>AI77*VLOOKUP('Données projet'!$B$10,Paramètres!$A$1:$I$89,3,0)*VLOOKUP('Données projet'!$B$10,Paramètres!$A$1:$I$89,5,0)</f>
        <v>174.23370000000006</v>
      </c>
      <c r="AK77" s="13">
        <f t="shared" si="89"/>
        <v>44.036869769028705</v>
      </c>
      <c r="AL77" s="20">
        <f t="shared" si="58"/>
        <v>380.15457568105836</v>
      </c>
      <c r="AM77" s="59">
        <f t="shared" si="59"/>
        <v>673.48790901439168</v>
      </c>
      <c r="AN77" s="59">
        <f ca="1">AVERAGE(OFFSET($AM$3,0,0,'Données projet'!$E$10+1,1))-AVERAGE(OFFSET($H$3,0,0,'Données projet'!$E$10+1,1))</f>
        <v>158.58786357608489</v>
      </c>
      <c r="AO77" s="59">
        <f t="shared" si="90"/>
        <v>163.20074068819849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-1.7053025658242404E-13</v>
      </c>
      <c r="BE77" s="13">
        <f>BD77*VLOOKUP('Données projet'!$B$11,Paramètres!$A$1:$I$89,3,0)*VLOOKUP('Données projet'!$B$11,Paramètres!$A$1:$I$89,5,0)</f>
        <v>-1.0197709343628959E-13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243.85350804244348</v>
      </c>
      <c r="BJ77" s="59">
        <f t="shared" si="92"/>
        <v>304.60992308960545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1.8934817236877826</v>
      </c>
      <c r="BQ77" s="21">
        <f>EXP(-LN(2)/25)*BQ76+(1-EXP(-LN(2)/25))/(LN(2)/25)*Calculateur!BL77*Calculateur!BN77*VLOOKUP('Données projet'!$B$11,Paramètres!$A$1:$I$89,3,0)*0.475*44/12</f>
        <v>5.23442542244391</v>
      </c>
      <c r="BR77" s="21">
        <f>EXP(-LN(2)/2)*BR76+(1-EXP(-LN(2)/2))/(LN(2)/2)*BL77*BO77*VLOOKUP('Données projet'!$B$11,Paramètres!$A$1:$I$89,3,0)*0.475*44/12</f>
        <v>8.9126265699188712E-7</v>
      </c>
      <c r="BS77" s="22">
        <f t="shared" si="63"/>
        <v>7.1279080373943486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12.5</v>
      </c>
      <c r="BY77" s="12">
        <f>IF('Données projet'!$A$114&gt;35,BY76+BX77-CG76,IF(A77&lt;'Données projet'!$A$114,$BV$205^A77,IF(A77='Données projet'!$A$114,'Données projet'!$B$114,BY76+BX77-CG76)))</f>
        <v>462.00000000000028</v>
      </c>
      <c r="BZ77" s="13">
        <f>BY77*VLOOKUP('Données projet'!$B$12,Paramètres!$A$1:$I$89,3,0)*VLOOKUP('Données projet'!$B$12,Paramètres!$A$1:$I$89,5,0)</f>
        <v>276.27600000000018</v>
      </c>
      <c r="CA77" s="13">
        <f t="shared" si="93"/>
        <v>66.179408416217214</v>
      </c>
      <c r="CB77" s="20">
        <f t="shared" si="64"/>
        <v>596.44316965824521</v>
      </c>
      <c r="CC77" s="59">
        <f t="shared" si="65"/>
        <v>889.77650299157858</v>
      </c>
      <c r="CD77" s="59">
        <f ca="1">AVERAGE(OFFSET($CC$3,0,0,'Données projet'!$E$12+1,1))-AVERAGE(OFFSET($H$3,0,0,'Données projet'!$E$12+1,1))</f>
        <v>270.30888762640245</v>
      </c>
      <c r="CE77" s="59">
        <f t="shared" si="94"/>
        <v>202.23783851977691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0.89609818101094729</v>
      </c>
      <c r="CL77" s="21">
        <f>EXP(-LN(2)/25)*CL76+(1-EXP(-LN(2)/25))/(LN(2)/25)*Calculateur!CG77*Calculateur!CI77*VLOOKUP('Données projet'!$B$12,Paramètres!$A$1:$I$89,3,0)*0.475*44/12</f>
        <v>3.6301376555411777</v>
      </c>
      <c r="CM77" s="21">
        <f>EXP(-LN(2)/2)*CM76+(1-EXP(-LN(2)/2))/(LN(2)/2)*CG77*CJ77*VLOOKUP('Données projet'!$B$12,Paramètres!$A$1:$I$89,3,0)*0.475*44/12</f>
        <v>4.4089814630657635E-6</v>
      </c>
      <c r="CN77" s="22">
        <f t="shared" si="66"/>
        <v>4.5262402455335886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3.9</v>
      </c>
      <c r="CT77" s="12">
        <f>IF('Données projet'!$A$140&gt;35,CT76+CS77-DB76,IF(A77&lt;'Données projet'!$A$140,$CQ$205^A77,IF(A77='Données projet'!$A$140,'Données projet'!$B$140,CT76+CS77-DB76)))</f>
        <v>318.59999999999962</v>
      </c>
      <c r="CU77" s="17">
        <f>CT77*VLOOKUP('Données projet'!$B$13,Paramètres!$A$1:$I$89,3,0)*VLOOKUP('Données projet'!$B$13,Paramètres!$A$1:$I$89,5,0)</f>
        <v>253.47815999999972</v>
      </c>
      <c r="CV77" s="13">
        <f t="shared" si="95"/>
        <v>61.330136494642396</v>
      </c>
      <c r="CW77" s="20">
        <f t="shared" si="67"/>
        <v>548.29111639483494</v>
      </c>
      <c r="CX77" s="59">
        <f t="shared" si="68"/>
        <v>841.6244497281682</v>
      </c>
      <c r="CY77" s="59">
        <f ca="1">AVERAGE(OFFSET($CX$3,0,0,'Données projet'!$E$13+1,1))-AVERAGE(OFFSET($H$3,0,0,'Données projet'!$E$13+1,1))</f>
        <v>260.20517190557814</v>
      </c>
      <c r="CZ77" s="59">
        <f t="shared" si="96"/>
        <v>307.22009971147133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1.3651428086077406</v>
      </c>
      <c r="DG77" s="21">
        <f>EXP(-LN(2)/25)*DG76+(1-EXP(-LN(2)/25))/(LN(2)/25)*Calculateur!DB77*Calculateur!DD77*VLOOKUP('Données projet'!$B$13,Paramètres!$A$1:$I$89,3,0)*0.475*44/12</f>
        <v>6.0583750583586635</v>
      </c>
      <c r="DH77" s="21">
        <f>EXP(-LN(2)/2)*DH76+(1-EXP(-LN(2)/2))/(LN(2)/2)*DB77*DE77*VLOOKUP('Données projet'!$B$13,Paramètres!$A$1:$I$89,3,0)*0.475*44/12</f>
        <v>5.7313523895161834E-6</v>
      </c>
      <c r="DI77" s="22">
        <f t="shared" si="69"/>
        <v>7.423523598318793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7.8425925925925934</v>
      </c>
      <c r="DO77" s="12">
        <f>IF('Données projet'!$A$166&gt;35,DO76+DN77-DW76,IF(A77&lt;'Données projet'!$A$166,$DL$205^A77,IF(A77='Données projet'!$A$166,'Données projet'!$B$166,DO76+DN77-DW76)))</f>
        <v>226.95726495726493</v>
      </c>
      <c r="DP77" s="17">
        <f>DO77*VLOOKUP('Données projet'!$B$14,Paramètres!$A$1:$I$89,3,0)*VLOOKUP('Données projet'!$B$14,Paramètres!$A$1:$I$89,5,0)</f>
        <v>230.13466666666665</v>
      </c>
      <c r="DQ77" s="13">
        <f t="shared" si="97"/>
        <v>56.311798620954733</v>
      </c>
      <c r="DR77" s="20">
        <f t="shared" si="70"/>
        <v>498.89426037594058</v>
      </c>
      <c r="DS77" s="59">
        <f t="shared" si="71"/>
        <v>792.22759370927383</v>
      </c>
      <c r="DT77" s="59">
        <f ca="1">AVERAGE(OFFSET($DS$3,0,0,'Données projet'!$E$14+1,1))-AVERAGE(OFFSET($H$3,0,0,'Données projet'!$E$14+1,1))</f>
        <v>263.15518481854753</v>
      </c>
      <c r="DU77" s="59">
        <f t="shared" si="98"/>
        <v>210.80755370263819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0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3.9</v>
      </c>
      <c r="EJ77" s="12">
        <f>IF('Données projet'!$A$192&gt;35,EJ76+EI77-ER76,IF(A77&lt;'Données projet'!$A$192,$EG$205^A77,IF(A77='Données projet'!$A$192,'Données projet'!$B$192,EJ76+EI77-ER76)))</f>
        <v>318.59999999999962</v>
      </c>
      <c r="EK77" s="17">
        <f>EJ77*VLOOKUP('Données projet'!$B$15,Paramètres!$A$1:$I$89,3,0)*VLOOKUP('Données projet'!$B$15,Paramètres!$A$1:$I$89,5,0)</f>
        <v>213.71687999999978</v>
      </c>
      <c r="EL77" s="13">
        <f t="shared" si="99"/>
        <v>52.746986268012868</v>
      </c>
      <c r="EM77" s="20">
        <f t="shared" si="73"/>
        <v>464.09123375012194</v>
      </c>
      <c r="EN77" s="59">
        <f t="shared" si="74"/>
        <v>757.42456708345526</v>
      </c>
      <c r="EO77" s="59">
        <f ca="1">AVERAGE(OFFSET($EN$3,0,0,'Données projet'!$E$15+1,1))-AVERAGE(OFFSET($H$3,0,0,'Données projet'!$E$15+1,1))</f>
        <v>207.93042467236967</v>
      </c>
      <c r="EP77" s="59">
        <f t="shared" si="100"/>
        <v>250.70954318710835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1.1510027601986823</v>
      </c>
      <c r="EW77" s="21">
        <f>EXP(-LN(2)/25)*EW76+(1-EXP(-LN(2)/25))/(LN(2)/25)*Calculateur!ER77*Calculateur!ET77*VLOOKUP('Données projet'!$B$15,Paramètres!$A$1:$I$89,3,0)*0.475*44/12</f>
        <v>5.1080417158710345</v>
      </c>
      <c r="EX77" s="21">
        <f>EXP(-LN(2)/2)*EX76+(1-EXP(-LN(2)/2))/(LN(2)/2)*ER77*EU77*VLOOKUP('Données projet'!$B$15,Paramètres!$A$1:$I$89,3,0)*0.475*44/12</f>
        <v>4.832316720572468E-6</v>
      </c>
      <c r="EY77" s="22">
        <f t="shared" si="75"/>
        <v>6.2590493083864374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7.8425925925925934</v>
      </c>
      <c r="FE77" s="12">
        <f>IF('Données projet'!$A$218&gt;35,FE76+FD77-FM76,IF(A77&lt;'Données projet'!$A$218,$FB$205^A77,IF(A77='Données projet'!$A$218,'Données projet'!$B$218,FE76+FD77-FM76)))</f>
        <v>226.95726495726493</v>
      </c>
      <c r="FF77" s="17">
        <f>FE77*VLOOKUP('Données projet'!$B$16,Paramètres!$A$1:$I$89,3,0)*VLOOKUP('Données projet'!$B$16,Paramètres!$A$1:$I$89,5,0)</f>
        <v>244.29679999999996</v>
      </c>
      <c r="FG77" s="13">
        <f t="shared" si="101"/>
        <v>59.363051009813006</v>
      </c>
      <c r="FH77" s="20">
        <f t="shared" si="76"/>
        <v>528.87424050875768</v>
      </c>
      <c r="FI77" s="59">
        <f t="shared" si="77"/>
        <v>822.20757384209105</v>
      </c>
      <c r="FJ77" s="59">
        <f ca="1">AVERAGE(OFFSET($FI$3,0,0,'Données projet'!$E$16+1,1))-AVERAGE(OFFSET($H$3,0,0,'Données projet'!$E$16+1,1))</f>
        <v>286.77702855541287</v>
      </c>
      <c r="FK77" s="59">
        <f t="shared" si="102"/>
        <v>227.12211541860779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0</v>
      </c>
      <c r="FR77" s="21">
        <f>EXP(-LN(2)/25)*FR76+(1-EXP(-LN(2)/25))/(LN(2)/25)*Calculateur!FM77*Calculateur!FO77*VLOOKUP('Données projet'!$B$16,Paramètres!$A$1:$I$89,3,0)*0.475*44/12</f>
        <v>0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0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9.52371794871795</v>
      </c>
      <c r="FZ77" s="12">
        <f>IF('Données projet'!$A$244&gt;35,FZ76+FY77-GH76,IF(A77&lt;'Données projet'!$A$244,$FW$205^A77,IF(A77='Données projet'!$A$244,'Données projet'!$B$244,FZ76+FY77-GH76)))</f>
        <v>274.06987179487169</v>
      </c>
      <c r="GA77" s="17">
        <f>FZ77*VLOOKUP('Données projet'!$B$17,Paramètres!$A$1:$I$89,3,0)*VLOOKUP('Données projet'!$B$17,Paramètres!$A$1:$I$89,5,0)</f>
        <v>128.26469999999995</v>
      </c>
      <c r="GB77" s="13">
        <f t="shared" si="103"/>
        <v>33.595069382484645</v>
      </c>
      <c r="GC77" s="20">
        <f t="shared" si="79"/>
        <v>281.90576500782731</v>
      </c>
      <c r="GD77" s="59">
        <f t="shared" si="80"/>
        <v>575.23909834116057</v>
      </c>
      <c r="GE77" s="59">
        <f ca="1">AVERAGE(OFFSET($GD$3,0,0,'Données projet'!$E$17+1,1))-AVERAGE(OFFSET($H$3,0,0,'Données projet'!$E$17+1,1))</f>
        <v>123.2823358462245</v>
      </c>
      <c r="GF77" s="59">
        <f t="shared" si="104"/>
        <v>92.75115399786057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0</v>
      </c>
      <c r="GM77" s="21">
        <f>EXP(-LN(2)/25)*GM76+(1-EXP(-LN(2)/25))/(LN(2)/25)*Calculateur!GH77*Calculateur!GJ77*VLOOKUP('Données projet'!$B$17,Paramètres!$A$1:$I$89,3,0)*0.475*44/12</f>
        <v>0</v>
      </c>
      <c r="GN77" s="21">
        <f>EXP(-LN(2)/2)*GN76+(1-EXP(-LN(2)/2))/(LN(2)/2)*GH77*GK77*VLOOKUP('Données projet'!$B$17,Paramètres!$A$1:$I$89,3,0)*0.475*44/12</f>
        <v>0</v>
      </c>
      <c r="GO77" s="21">
        <f t="shared" si="81"/>
        <v>0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-2.8421709430404007E-13</v>
      </c>
      <c r="GV77" s="17">
        <f>GU77*VLOOKUP('Données projet'!$B$18,Paramètres!$A$1:$I$89,3,0)*VLOOKUP('Données projet'!$B$18,Paramètres!$A$1:$I$89,5,0)</f>
        <v>-1.69961822393816E-13</v>
      </c>
      <c r="GW77" s="13" t="e">
        <f t="shared" si="105"/>
        <v>#NUM!</v>
      </c>
      <c r="GX77" s="20" t="e">
        <f t="shared" si="82"/>
        <v>#NUM!</v>
      </c>
      <c r="GY77" s="59" t="e">
        <f t="shared" si="83"/>
        <v>#NUM!</v>
      </c>
      <c r="GZ77" s="59">
        <f ca="1">AVERAGE(OFFSET($GY$3,0,0,'Données projet'!$E$18+1,1))-AVERAGE(OFFSET($H$3,0,0,'Données projet'!$E$18+1,1))</f>
        <v>171.96009656745713</v>
      </c>
      <c r="HA77" s="59">
        <f t="shared" si="106"/>
        <v>172.37574906747716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>
        <f>EXP(-LN(2)/35)*HG76+(1-EXP(-LN(2)/35))/(LN(2)/35)*HC77*HD77*VLOOKUP('Données projet'!$B$18,Paramètres!$A$1:$I$89,3,0)*0.475*44/12</f>
        <v>0.6978652047389643</v>
      </c>
      <c r="HH77" s="21">
        <f>EXP(-LN(2)/25)*HH76+(1-EXP(-LN(2)/25))/(LN(2)/25)*Calculateur!HC77*Calculateur!HE77*VLOOKUP('Données projet'!$B$18,Paramètres!$A$1:$I$89,3,0)*0.475*44/12</f>
        <v>6.0694078315360418</v>
      </c>
      <c r="HI77" s="21">
        <f>EXP(-LN(2)/2)*HI76+(1-EXP(-LN(2)/2))/(LN(2)/2)*HC77*HF77*VLOOKUP('Données projet'!$B$18,Paramètres!$A$1:$I$89,3,0)*0.475*44/12</f>
        <v>2.8716614913287573E-6</v>
      </c>
      <c r="HJ77" s="22">
        <f t="shared" si="84"/>
        <v>6.7672759079364981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-2.2737367544323206E-13</v>
      </c>
      <c r="O78" s="13">
        <f>N78*VLOOKUP('Données projet'!$B$9,Paramètres!$A$1:$I$89,3,0)*VLOOKUP('Données projet'!$B$9,Paramètres!$A$1:$I$89,5,0)</f>
        <v>-1.2710188457276673E-13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255.5374979188561</v>
      </c>
      <c r="T78" s="59">
        <f t="shared" si="88"/>
        <v>343.10418468620901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1.2674348789681782</v>
      </c>
      <c r="AA78" s="21">
        <f>EXP(-LN(2)/25)*AA77+(1-EXP(-LN(2)/25))/(LN(2)/25)*Calculateur!V78*Calculateur!X78*VLOOKUP('Données projet'!$B$9,Paramètres!$A$1:$I$89,3,0)*0.475*44/12</f>
        <v>4.5833808520663206</v>
      </c>
      <c r="AB78" s="21">
        <f>EXP(-LN(2)/2)*AB77+(1-EXP(-LN(2)/2))/(LN(2)/2)*V78*Y78*VLOOKUP('Données projet'!$B$9,Paramètres!$A$1:$I$89,3,0)*0.475*44/12</f>
        <v>2.8535980309760115E-7</v>
      </c>
      <c r="AC78" s="22">
        <f t="shared" si="57"/>
        <v>5.8508160163943019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12.913461538461533</v>
      </c>
      <c r="AI78" s="13">
        <f>IF('Données projet'!$A$62&gt;35,AI77+AH78-AQ77,IF(A78&lt;'Données projet'!$A$62,$AF$205^A78,IF(A78='Données projet'!$A$62,'Données projet'!$B$62,AI77+AH78-AQ77)))</f>
        <v>385.20769230769241</v>
      </c>
      <c r="AJ78" s="13">
        <f>AI78*VLOOKUP('Données projet'!$B$10,Paramètres!$A$1:$I$89,3,0)*VLOOKUP('Données projet'!$B$10,Paramètres!$A$1:$I$89,5,0)</f>
        <v>180.27720000000005</v>
      </c>
      <c r="AK78" s="13">
        <f t="shared" si="89"/>
        <v>45.383852535093837</v>
      </c>
      <c r="AL78" s="20">
        <f t="shared" si="58"/>
        <v>393.02633316528846</v>
      </c>
      <c r="AM78" s="59">
        <f t="shared" si="59"/>
        <v>686.35966649862178</v>
      </c>
      <c r="AN78" s="59">
        <f ca="1">AVERAGE(OFFSET($AM$3,0,0,'Données projet'!$E$10+1,1))-AVERAGE(OFFSET($H$3,0,0,'Données projet'!$E$10+1,1))</f>
        <v>158.58786357608489</v>
      </c>
      <c r="AO78" s="59">
        <f t="shared" si="90"/>
        <v>163.20074068819849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0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-1.7053025658242404E-13</v>
      </c>
      <c r="BE78" s="13">
        <f>BD78*VLOOKUP('Données projet'!$B$11,Paramètres!$A$1:$I$89,3,0)*VLOOKUP('Données projet'!$B$11,Paramètres!$A$1:$I$89,5,0)</f>
        <v>-1.0197709343628959E-13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243.85350804244348</v>
      </c>
      <c r="BJ78" s="59">
        <f t="shared" si="92"/>
        <v>304.60992308960545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1.8563517019960787</v>
      </c>
      <c r="BQ78" s="21">
        <f>EXP(-LN(2)/25)*BQ77+(1-EXP(-LN(2)/25))/(LN(2)/25)*Calculateur!BL78*Calculateur!BN78*VLOOKUP('Données projet'!$B$11,Paramètres!$A$1:$I$89,3,0)*0.475*44/12</f>
        <v>5.0912897840007121</v>
      </c>
      <c r="BR78" s="21">
        <f>EXP(-LN(2)/2)*BR77+(1-EXP(-LN(2)/2))/(LN(2)/2)*BL78*BO78*VLOOKUP('Données projet'!$B$11,Paramètres!$A$1:$I$89,3,0)*0.475*44/12</f>
        <v>6.3021786857730328E-7</v>
      </c>
      <c r="BS78" s="22">
        <f t="shared" si="63"/>
        <v>6.9476421162146593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12.5</v>
      </c>
      <c r="BY78" s="12">
        <f>IF('Données projet'!$A$114&gt;35,BY77+BX78-CG77,IF(A78&lt;'Données projet'!$A$114,$BV$205^A78,IF(A78='Données projet'!$A$114,'Données projet'!$B$114,BY77+BX78-CG77)))</f>
        <v>474.50000000000028</v>
      </c>
      <c r="BZ78" s="13">
        <f>BY78*VLOOKUP('Données projet'!$B$12,Paramètres!$A$1:$I$89,3,0)*VLOOKUP('Données projet'!$B$12,Paramètres!$A$1:$I$89,5,0)</f>
        <v>283.7510000000002</v>
      </c>
      <c r="CA78" s="13">
        <f t="shared" si="93"/>
        <v>67.759088027504106</v>
      </c>
      <c r="CB78" s="20">
        <f t="shared" si="64"/>
        <v>612.21340331456997</v>
      </c>
      <c r="CC78" s="59">
        <f t="shared" si="65"/>
        <v>905.54673664790334</v>
      </c>
      <c r="CD78" s="59">
        <f ca="1">AVERAGE(OFFSET($CC$3,0,0,'Données projet'!$E$12+1,1))-AVERAGE(OFFSET($H$3,0,0,'Données projet'!$E$12+1,1))</f>
        <v>270.30888762640245</v>
      </c>
      <c r="CE78" s="59">
        <f t="shared" si="94"/>
        <v>202.23783851977691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0.87852624224724418</v>
      </c>
      <c r="CL78" s="21">
        <f>EXP(-LN(2)/25)*CL77+(1-EXP(-LN(2)/25))/(LN(2)/25)*Calculateur!CG78*Calculateur!CI78*VLOOKUP('Données projet'!$B$12,Paramètres!$A$1:$I$89,3,0)*0.475*44/12</f>
        <v>3.5308713504497615</v>
      </c>
      <c r="CM78" s="21">
        <f>EXP(-LN(2)/2)*CM77+(1-EXP(-LN(2)/2))/(LN(2)/2)*CG78*CJ78*VLOOKUP('Données projet'!$B$12,Paramètres!$A$1:$I$89,3,0)*0.475*44/12</f>
        <v>3.117620690659587E-6</v>
      </c>
      <c r="CN78" s="22">
        <f t="shared" si="66"/>
        <v>4.409400710317696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3.9</v>
      </c>
      <c r="CT78" s="12">
        <f>IF('Données projet'!$A$140&gt;35,CT77+CS78-DB77,IF(A78&lt;'Données projet'!$A$140,$CQ$205^A78,IF(A78='Données projet'!$A$140,'Données projet'!$B$140,CT77+CS78-DB77)))</f>
        <v>322.4999999999996</v>
      </c>
      <c r="CU78" s="17">
        <f>CT78*VLOOKUP('Données projet'!$B$13,Paramètres!$A$1:$I$89,3,0)*VLOOKUP('Données projet'!$B$13,Paramètres!$A$1:$I$89,5,0)</f>
        <v>256.58099999999968</v>
      </c>
      <c r="CV78" s="13">
        <f t="shared" si="95"/>
        <v>61.993024805604399</v>
      </c>
      <c r="CW78" s="20">
        <f t="shared" si="67"/>
        <v>554.84975986976053</v>
      </c>
      <c r="CX78" s="59">
        <f t="shared" si="68"/>
        <v>848.1830932030939</v>
      </c>
      <c r="CY78" s="59">
        <f ca="1">AVERAGE(OFFSET($CX$3,0,0,'Données projet'!$E$13+1,1))-AVERAGE(OFFSET($H$3,0,0,'Données projet'!$E$13+1,1))</f>
        <v>260.20517190557814</v>
      </c>
      <c r="CZ78" s="59">
        <f t="shared" si="96"/>
        <v>307.22009971147133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1.3383731907858383</v>
      </c>
      <c r="DG78" s="21">
        <f>EXP(-LN(2)/25)*DG77+(1-EXP(-LN(2)/25))/(LN(2)/25)*Calculateur!DB78*Calculateur!DD78*VLOOKUP('Données projet'!$B$13,Paramètres!$A$1:$I$89,3,0)*0.475*44/12</f>
        <v>5.8927084737917479</v>
      </c>
      <c r="DH78" s="21">
        <f>EXP(-LN(2)/2)*DH77+(1-EXP(-LN(2)/2))/(LN(2)/2)*DB78*DE78*VLOOKUP('Données projet'!$B$13,Paramètres!$A$1:$I$89,3,0)*0.475*44/12</f>
        <v>4.0526781399966162E-6</v>
      </c>
      <c r="DI78" s="22">
        <f t="shared" si="69"/>
        <v>7.2310857172557261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7.8425925925925934</v>
      </c>
      <c r="DO78" s="12">
        <f>IF('Données projet'!$A$166&gt;35,DO77+DN78-DW77,IF(A78&lt;'Données projet'!$A$166,$DL$205^A78,IF(A78='Données projet'!$A$166,'Données projet'!$B$166,DO77+DN78-DW77)))</f>
        <v>234.79985754985751</v>
      </c>
      <c r="DP78" s="17">
        <f>DO78*VLOOKUP('Données projet'!$B$14,Paramètres!$A$1:$I$89,3,0)*VLOOKUP('Données projet'!$B$14,Paramètres!$A$1:$I$89,5,0)</f>
        <v>238.08705555555554</v>
      </c>
      <c r="DQ78" s="13">
        <f t="shared" si="97"/>
        <v>58.027759670447047</v>
      </c>
      <c r="DR78" s="20">
        <f t="shared" si="70"/>
        <v>515.73330318528781</v>
      </c>
      <c r="DS78" s="59">
        <f t="shared" si="71"/>
        <v>809.06663651862118</v>
      </c>
      <c r="DT78" s="59">
        <f ca="1">AVERAGE(OFFSET($DS$3,0,0,'Données projet'!$E$14+1,1))-AVERAGE(OFFSET($H$3,0,0,'Données projet'!$E$14+1,1))</f>
        <v>263.15518481854753</v>
      </c>
      <c r="DU78" s="59">
        <f t="shared" si="98"/>
        <v>210.80755370263819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0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3.9</v>
      </c>
      <c r="EJ78" s="12">
        <f>IF('Données projet'!$A$192&gt;35,EJ77+EI78-ER77,IF(A78&lt;'Données projet'!$A$192,$EG$205^A78,IF(A78='Données projet'!$A$192,'Données projet'!$B$192,EJ77+EI78-ER77)))</f>
        <v>322.4999999999996</v>
      </c>
      <c r="EK78" s="17">
        <f>EJ78*VLOOKUP('Données projet'!$B$15,Paramètres!$A$1:$I$89,3,0)*VLOOKUP('Données projet'!$B$15,Paramètres!$A$1:$I$89,5,0)</f>
        <v>216.33299999999977</v>
      </c>
      <c r="EL78" s="13">
        <f t="shared" si="99"/>
        <v>53.317103385534544</v>
      </c>
      <c r="EM78" s="20">
        <f t="shared" si="73"/>
        <v>469.64059672980551</v>
      </c>
      <c r="EN78" s="59">
        <f t="shared" si="74"/>
        <v>762.97393006313882</v>
      </c>
      <c r="EO78" s="59">
        <f ca="1">AVERAGE(OFFSET($EN$3,0,0,'Données projet'!$E$15+1,1))-AVERAGE(OFFSET($H$3,0,0,'Données projet'!$E$15+1,1))</f>
        <v>207.93042467236967</v>
      </c>
      <c r="EP78" s="59">
        <f t="shared" si="100"/>
        <v>250.70954318710835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1.1284322981135488</v>
      </c>
      <c r="EW78" s="21">
        <f>EXP(-LN(2)/25)*EW77+(1-EXP(-LN(2)/25))/(LN(2)/25)*Calculateur!ER78*Calculateur!ET78*VLOOKUP('Données projet'!$B$15,Paramètres!$A$1:$I$89,3,0)*0.475*44/12</f>
        <v>4.9683620465303022</v>
      </c>
      <c r="EX78" s="21">
        <f>EXP(-LN(2)/2)*EX77+(1-EXP(-LN(2)/2))/(LN(2)/2)*ER78*EU78*VLOOKUP('Données projet'!$B$15,Paramètres!$A$1:$I$89,3,0)*0.475*44/12</f>
        <v>3.4169639219579311E-6</v>
      </c>
      <c r="EY78" s="22">
        <f t="shared" si="75"/>
        <v>6.0967977616077729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7.8425925925925934</v>
      </c>
      <c r="FE78" s="12">
        <f>IF('Données projet'!$A$218&gt;35,FE77+FD78-FM77,IF(A78&lt;'Données projet'!$A$218,$FB$205^A78,IF(A78='Données projet'!$A$218,'Données projet'!$B$218,FE77+FD78-FM77)))</f>
        <v>234.79985754985751</v>
      </c>
      <c r="FF78" s="17">
        <f>FE78*VLOOKUP('Données projet'!$B$16,Paramètres!$A$1:$I$89,3,0)*VLOOKUP('Données projet'!$B$16,Paramètres!$A$1:$I$89,5,0)</f>
        <v>252.7385666666666</v>
      </c>
      <c r="FG78" s="13">
        <f t="shared" si="101"/>
        <v>61.171991335046357</v>
      </c>
      <c r="FH78" s="20">
        <f t="shared" si="76"/>
        <v>546.72755518631664</v>
      </c>
      <c r="FI78" s="59">
        <f t="shared" si="77"/>
        <v>840.06088851965001</v>
      </c>
      <c r="FJ78" s="59">
        <f ca="1">AVERAGE(OFFSET($FI$3,0,0,'Données projet'!$E$16+1,1))-AVERAGE(OFFSET($H$3,0,0,'Données projet'!$E$16+1,1))</f>
        <v>286.77702855541287</v>
      </c>
      <c r="FK78" s="59">
        <f t="shared" si="102"/>
        <v>227.12211541860779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0</v>
      </c>
      <c r="FR78" s="21">
        <f>EXP(-LN(2)/25)*FR77+(1-EXP(-LN(2)/25))/(LN(2)/25)*Calculateur!FM78*Calculateur!FO78*VLOOKUP('Données projet'!$B$16,Paramètres!$A$1:$I$89,3,0)*0.475*44/12</f>
        <v>0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0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9.52371794871795</v>
      </c>
      <c r="FZ78" s="12">
        <f>IF('Données projet'!$A$244&gt;35,FZ77+FY78-GH77,IF(A78&lt;'Données projet'!$A$244,$FW$205^A78,IF(A78='Données projet'!$A$244,'Données projet'!$B$244,FZ77+FY78-GH77)))</f>
        <v>283.59358974358963</v>
      </c>
      <c r="GA78" s="17">
        <f>FZ78*VLOOKUP('Données projet'!$B$17,Paramètres!$A$1:$I$89,3,0)*VLOOKUP('Données projet'!$B$17,Paramètres!$A$1:$I$89,5,0)</f>
        <v>132.72179999999994</v>
      </c>
      <c r="GB78" s="13">
        <f t="shared" si="103"/>
        <v>34.624526937017947</v>
      </c>
      <c r="GC78" s="20">
        <f t="shared" si="79"/>
        <v>291.4615194153061</v>
      </c>
      <c r="GD78" s="59">
        <f t="shared" si="80"/>
        <v>584.79485274863941</v>
      </c>
      <c r="GE78" s="59">
        <f ca="1">AVERAGE(OFFSET($GD$3,0,0,'Données projet'!$E$17+1,1))-AVERAGE(OFFSET($H$3,0,0,'Données projet'!$E$17+1,1))</f>
        <v>123.2823358462245</v>
      </c>
      <c r="GF78" s="59">
        <f t="shared" si="104"/>
        <v>92.75115399786057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0</v>
      </c>
      <c r="GM78" s="21">
        <f>EXP(-LN(2)/25)*GM77+(1-EXP(-LN(2)/25))/(LN(2)/25)*Calculateur!GH78*Calculateur!GJ78*VLOOKUP('Données projet'!$B$17,Paramètres!$A$1:$I$89,3,0)*0.475*44/12</f>
        <v>0</v>
      </c>
      <c r="GN78" s="21">
        <f>EXP(-LN(2)/2)*GN77+(1-EXP(-LN(2)/2))/(LN(2)/2)*GH78*GK78*VLOOKUP('Données projet'!$B$17,Paramètres!$A$1:$I$89,3,0)*0.475*44/12</f>
        <v>0</v>
      </c>
      <c r="GO78" s="21">
        <f t="shared" si="81"/>
        <v>0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-2.8421709430404007E-13</v>
      </c>
      <c r="GV78" s="17">
        <f>GU78*VLOOKUP('Données projet'!$B$18,Paramètres!$A$1:$I$89,3,0)*VLOOKUP('Données projet'!$B$18,Paramètres!$A$1:$I$89,5,0)</f>
        <v>-1.69961822393816E-13</v>
      </c>
      <c r="GW78" s="13" t="e">
        <f t="shared" si="105"/>
        <v>#NUM!</v>
      </c>
      <c r="GX78" s="20" t="e">
        <f t="shared" si="82"/>
        <v>#NUM!</v>
      </c>
      <c r="GY78" s="59" t="e">
        <f t="shared" si="83"/>
        <v>#NUM!</v>
      </c>
      <c r="GZ78" s="59">
        <f ca="1">AVERAGE(OFFSET($GY$3,0,0,'Données projet'!$E$18+1,1))-AVERAGE(OFFSET($H$3,0,0,'Données projet'!$E$18+1,1))</f>
        <v>171.96009656745713</v>
      </c>
      <c r="HA78" s="59">
        <f t="shared" si="106"/>
        <v>172.37574906747716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>
        <f>EXP(-LN(2)/35)*HG77+(1-EXP(-LN(2)/35))/(LN(2)/35)*HC78*HD78*VLOOKUP('Données projet'!$B$18,Paramètres!$A$1:$I$89,3,0)*0.475*44/12</f>
        <v>0.68418049372977807</v>
      </c>
      <c r="HH78" s="21">
        <f>EXP(-LN(2)/25)*HH77+(1-EXP(-LN(2)/25))/(LN(2)/25)*Calculateur!HC78*Calculateur!HE78*VLOOKUP('Données projet'!$B$18,Paramètres!$A$1:$I$89,3,0)*0.475*44/12</f>
        <v>5.9034395552064023</v>
      </c>
      <c r="HI78" s="21">
        <f>EXP(-LN(2)/2)*HI77+(1-EXP(-LN(2)/2))/(LN(2)/2)*HC78*HF78*VLOOKUP('Données projet'!$B$18,Paramètres!$A$1:$I$89,3,0)*0.475*44/12</f>
        <v>2.0305713137908383E-6</v>
      </c>
      <c r="HJ78" s="22">
        <f t="shared" si="84"/>
        <v>6.5876220795074945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-2.2737367544323206E-13</v>
      </c>
      <c r="O79" s="13">
        <f>N79*VLOOKUP('Données projet'!$B$9,Paramètres!$A$1:$I$89,3,0)*VLOOKUP('Données projet'!$B$9,Paramètres!$A$1:$I$89,5,0)</f>
        <v>-1.2710188457276673E-13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255.5374979188561</v>
      </c>
      <c r="T79" s="59">
        <f t="shared" si="88"/>
        <v>343.10418468620901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1.2425812540505552</v>
      </c>
      <c r="AA79" s="21">
        <f>EXP(-LN(2)/25)*AA78+(1-EXP(-LN(2)/25))/(LN(2)/25)*Calculateur!V79*Calculateur!X79*VLOOKUP('Données projet'!$B$9,Paramètres!$A$1:$I$89,3,0)*0.475*44/12</f>
        <v>4.4580480616370437</v>
      </c>
      <c r="AB79" s="21">
        <f>EXP(-LN(2)/2)*AB78+(1-EXP(-LN(2)/2))/(LN(2)/2)*V79*Y79*VLOOKUP('Données projet'!$B$9,Paramètres!$A$1:$I$89,3,0)*0.475*44/12</f>
        <v>2.0177985184837175E-7</v>
      </c>
      <c r="AC79" s="22">
        <f t="shared" si="57"/>
        <v>5.7006295174674504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12.913461538461533</v>
      </c>
      <c r="AI79" s="13">
        <f>IF('Données projet'!$A$62&gt;35,AI78+AH79-AQ78,IF(A79&lt;'Données projet'!$A$62,$AF$205^A79,IF(A79='Données projet'!$A$62,'Données projet'!$B$62,AI78+AH79-AQ78)))</f>
        <v>398.12115384615396</v>
      </c>
      <c r="AJ79" s="13">
        <f>AI79*VLOOKUP('Données projet'!$B$10,Paramètres!$A$1:$I$89,3,0)*VLOOKUP('Données projet'!$B$10,Paramètres!$A$1:$I$89,5,0)</f>
        <v>186.32070000000004</v>
      </c>
      <c r="AK79" s="13">
        <f t="shared" si="89"/>
        <v>46.725588415193215</v>
      </c>
      <c r="AL79" s="20">
        <f t="shared" si="58"/>
        <v>405.88895232312825</v>
      </c>
      <c r="AM79" s="59">
        <f t="shared" si="59"/>
        <v>699.22228565646151</v>
      </c>
      <c r="AN79" s="59">
        <f ca="1">AVERAGE(OFFSET($AM$3,0,0,'Données projet'!$E$10+1,1))-AVERAGE(OFFSET($H$3,0,0,'Données projet'!$E$10+1,1))</f>
        <v>158.58786357608489</v>
      </c>
      <c r="AO79" s="59">
        <f t="shared" si="90"/>
        <v>163.20074068819849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0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-1.7053025658242404E-13</v>
      </c>
      <c r="BE79" s="13">
        <f>BD79*VLOOKUP('Données projet'!$B$11,Paramètres!$A$1:$I$89,3,0)*VLOOKUP('Données projet'!$B$11,Paramètres!$A$1:$I$89,5,0)</f>
        <v>-1.0197709343628959E-13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243.85350804244348</v>
      </c>
      <c r="BJ79" s="59">
        <f t="shared" si="92"/>
        <v>304.60992308960545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1.8199497773826721</v>
      </c>
      <c r="BQ79" s="21">
        <f>EXP(-LN(2)/25)*BQ78+(1-EXP(-LN(2)/25))/(LN(2)/25)*Calculateur!BL79*Calculateur!BN79*VLOOKUP('Données projet'!$B$11,Paramètres!$A$1:$I$89,3,0)*0.475*44/12</f>
        <v>4.952068197117919</v>
      </c>
      <c r="BR79" s="21">
        <f>EXP(-LN(2)/2)*BR78+(1-EXP(-LN(2)/2))/(LN(2)/2)*BL79*BO79*VLOOKUP('Données projet'!$B$11,Paramètres!$A$1:$I$89,3,0)*0.475*44/12</f>
        <v>4.4563132849594356E-7</v>
      </c>
      <c r="BS79" s="22">
        <f t="shared" si="63"/>
        <v>6.7720184201319196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12.5</v>
      </c>
      <c r="BY79" s="12">
        <f>IF('Données projet'!$A$114&gt;35,BY78+BX79-CG78,IF(A79&lt;'Données projet'!$A$114,$BV$205^A79,IF(A79='Données projet'!$A$114,'Données projet'!$B$114,BY78+BX79-CG78)))</f>
        <v>487.00000000000028</v>
      </c>
      <c r="BZ79" s="13">
        <f>BY79*VLOOKUP('Données projet'!$B$12,Paramètres!$A$1:$I$89,3,0)*VLOOKUP('Données projet'!$B$12,Paramètres!$A$1:$I$89,5,0)</f>
        <v>291.22600000000023</v>
      </c>
      <c r="CA79" s="13">
        <f t="shared" si="93"/>
        <v>69.333930559700164</v>
      </c>
      <c r="CB79" s="20">
        <f t="shared" si="64"/>
        <v>627.97521239147818</v>
      </c>
      <c r="CC79" s="59">
        <f t="shared" si="65"/>
        <v>921.30854572481144</v>
      </c>
      <c r="CD79" s="59">
        <f ca="1">AVERAGE(OFFSET($CC$3,0,0,'Données projet'!$E$12+1,1))-AVERAGE(OFFSET($H$3,0,0,'Données projet'!$E$12+1,1))</f>
        <v>270.30888762640245</v>
      </c>
      <c r="CE79" s="59">
        <f t="shared" si="94"/>
        <v>202.23783851977691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0.86129887848487285</v>
      </c>
      <c r="CL79" s="21">
        <f>EXP(-LN(2)/25)*CL78+(1-EXP(-LN(2)/25))/(LN(2)/25)*Calculateur!CG79*Calculateur!CI79*VLOOKUP('Données projet'!$B$12,Paramètres!$A$1:$I$89,3,0)*0.475*44/12</f>
        <v>3.4343194876912584</v>
      </c>
      <c r="CM79" s="21">
        <f>EXP(-LN(2)/2)*CM78+(1-EXP(-LN(2)/2))/(LN(2)/2)*CG79*CJ79*VLOOKUP('Données projet'!$B$12,Paramètres!$A$1:$I$89,3,0)*0.475*44/12</f>
        <v>2.2044907315328817E-6</v>
      </c>
      <c r="CN79" s="22">
        <f t="shared" si="66"/>
        <v>4.2956205706668626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3.9</v>
      </c>
      <c r="CT79" s="12">
        <f>IF('Données projet'!$A$140&gt;35,CT78+CS79-DB78,IF(A79&lt;'Données projet'!$A$140,$CQ$205^A79,IF(A79='Données projet'!$A$140,'Données projet'!$B$140,CT78+CS79-DB78)))</f>
        <v>326.39999999999958</v>
      </c>
      <c r="CU79" s="17">
        <f>CT79*VLOOKUP('Données projet'!$B$13,Paramètres!$A$1:$I$89,3,0)*VLOOKUP('Données projet'!$B$13,Paramètres!$A$1:$I$89,5,0)</f>
        <v>259.68383999999969</v>
      </c>
      <c r="CV79" s="13">
        <f t="shared" si="95"/>
        <v>62.654980648867301</v>
      </c>
      <c r="CW79" s="20">
        <f t="shared" si="67"/>
        <v>561.40677929677668</v>
      </c>
      <c r="CX79" s="59">
        <f t="shared" si="68"/>
        <v>854.74011263010993</v>
      </c>
      <c r="CY79" s="59">
        <f ca="1">AVERAGE(OFFSET($CX$3,0,0,'Données projet'!$E$13+1,1))-AVERAGE(OFFSET($H$3,0,0,'Données projet'!$E$13+1,1))</f>
        <v>260.20517190557814</v>
      </c>
      <c r="CZ79" s="59">
        <f t="shared" si="96"/>
        <v>307.22009971147133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1.3121285088415688</v>
      </c>
      <c r="DG79" s="21">
        <f>EXP(-LN(2)/25)*DG78+(1-EXP(-LN(2)/25))/(LN(2)/25)*Calculateur!DB79*Calculateur!DD79*VLOOKUP('Données projet'!$B$13,Paramètres!$A$1:$I$89,3,0)*0.475*44/12</f>
        <v>5.7315720506918417</v>
      </c>
      <c r="DH79" s="21">
        <f>EXP(-LN(2)/2)*DH78+(1-EXP(-LN(2)/2))/(LN(2)/2)*DB79*DE79*VLOOKUP('Données projet'!$B$13,Paramètres!$A$1:$I$89,3,0)*0.475*44/12</f>
        <v>2.8656761947580917E-6</v>
      </c>
      <c r="DI79" s="22">
        <f t="shared" si="69"/>
        <v>7.043703425209606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7.8425925925925934</v>
      </c>
      <c r="DO79" s="12">
        <f>IF('Données projet'!$A$166&gt;35,DO78+DN79-DW78,IF(A79&lt;'Données projet'!$A$166,$DL$205^A79,IF(A79='Données projet'!$A$166,'Données projet'!$B$166,DO78+DN79-DW78)))</f>
        <v>242.64245014245009</v>
      </c>
      <c r="DP79" s="17">
        <f>DO79*VLOOKUP('Données projet'!$B$14,Paramètres!$A$1:$I$89,3,0)*VLOOKUP('Données projet'!$B$14,Paramètres!$A$1:$I$89,5,0)</f>
        <v>246.0394444444444</v>
      </c>
      <c r="DQ79" s="13">
        <f t="shared" si="97"/>
        <v>59.737060883292756</v>
      </c>
      <c r="DR79" s="20">
        <f t="shared" si="70"/>
        <v>532.56074677914216</v>
      </c>
      <c r="DS79" s="59">
        <f t="shared" si="71"/>
        <v>825.89408011247542</v>
      </c>
      <c r="DT79" s="59">
        <f ca="1">AVERAGE(OFFSET($DS$3,0,0,'Données projet'!$E$14+1,1))-AVERAGE(OFFSET($H$3,0,0,'Données projet'!$E$14+1,1))</f>
        <v>263.15518481854753</v>
      </c>
      <c r="DU79" s="59">
        <f t="shared" si="98"/>
        <v>210.80755370263819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0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3.9</v>
      </c>
      <c r="EJ79" s="12">
        <f>IF('Données projet'!$A$192&gt;35,EJ78+EI79-ER78,IF(A79&lt;'Données projet'!$A$192,$EG$205^A79,IF(A79='Données projet'!$A$192,'Données projet'!$B$192,EJ78+EI79-ER78)))</f>
        <v>326.39999999999958</v>
      </c>
      <c r="EK79" s="17">
        <f>EJ79*VLOOKUP('Données projet'!$B$15,Paramètres!$A$1:$I$89,3,0)*VLOOKUP('Données projet'!$B$15,Paramètres!$A$1:$I$89,5,0)</f>
        <v>218.94911999999971</v>
      </c>
      <c r="EL79" s="13">
        <f t="shared" si="99"/>
        <v>53.886418534175526</v>
      </c>
      <c r="EM79" s="20">
        <f t="shared" si="73"/>
        <v>475.18856294702186</v>
      </c>
      <c r="EN79" s="59">
        <f t="shared" si="74"/>
        <v>768.52189628035512</v>
      </c>
      <c r="EO79" s="59">
        <f ca="1">AVERAGE(OFFSET($EN$3,0,0,'Données projet'!$E$15+1,1))-AVERAGE(OFFSET($H$3,0,0,'Données projet'!$E$15+1,1))</f>
        <v>207.93042467236967</v>
      </c>
      <c r="EP79" s="59">
        <f t="shared" si="100"/>
        <v>250.70954318710835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1.1063044290232824</v>
      </c>
      <c r="EW79" s="21">
        <f>EXP(-LN(2)/25)*EW78+(1-EXP(-LN(2)/25))/(LN(2)/25)*Calculateur!ER79*Calculateur!ET79*VLOOKUP('Données projet'!$B$15,Paramètres!$A$1:$I$89,3,0)*0.475*44/12</f>
        <v>4.8325019250931263</v>
      </c>
      <c r="EX79" s="21">
        <f>EXP(-LN(2)/2)*EX78+(1-EXP(-LN(2)/2))/(LN(2)/2)*ER79*EU79*VLOOKUP('Données projet'!$B$15,Paramètres!$A$1:$I$89,3,0)*0.475*44/12</f>
        <v>2.416158360286234E-6</v>
      </c>
      <c r="EY79" s="22">
        <f t="shared" si="75"/>
        <v>5.9388087702747692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7.8425925925925934</v>
      </c>
      <c r="FE79" s="12">
        <f>IF('Données projet'!$A$218&gt;35,FE78+FD79-FM78,IF(A79&lt;'Données projet'!$A$218,$FB$205^A79,IF(A79='Données projet'!$A$218,'Données projet'!$B$218,FE78+FD79-FM78)))</f>
        <v>242.64245014245009</v>
      </c>
      <c r="FF79" s="17">
        <f>FE79*VLOOKUP('Données projet'!$B$16,Paramètres!$A$1:$I$89,3,0)*VLOOKUP('Données projet'!$B$16,Paramètres!$A$1:$I$89,5,0)</f>
        <v>261.18033333333324</v>
      </c>
      <c r="FG79" s="13">
        <f t="shared" si="101"/>
        <v>62.973910960670537</v>
      </c>
      <c r="FH79" s="20">
        <f t="shared" si="76"/>
        <v>564.56864214538984</v>
      </c>
      <c r="FI79" s="59">
        <f t="shared" si="77"/>
        <v>857.90197547872322</v>
      </c>
      <c r="FJ79" s="59">
        <f ca="1">AVERAGE(OFFSET($FI$3,0,0,'Données projet'!$E$16+1,1))-AVERAGE(OFFSET($H$3,0,0,'Données projet'!$E$16+1,1))</f>
        <v>286.77702855541287</v>
      </c>
      <c r="FK79" s="59">
        <f t="shared" si="102"/>
        <v>227.12211541860779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0</v>
      </c>
      <c r="FR79" s="21">
        <f>EXP(-LN(2)/25)*FR78+(1-EXP(-LN(2)/25))/(LN(2)/25)*Calculateur!FM79*Calculateur!FO79*VLOOKUP('Données projet'!$B$16,Paramètres!$A$1:$I$89,3,0)*0.475*44/12</f>
        <v>0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0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9.52371794871795</v>
      </c>
      <c r="FZ79" s="12">
        <f>IF('Données projet'!$A$244&gt;35,FZ78+FY79-GH78,IF(A79&lt;'Données projet'!$A$244,$FW$205^A79,IF(A79='Données projet'!$A$244,'Données projet'!$B$244,FZ78+FY79-GH78)))</f>
        <v>293.11730769230758</v>
      </c>
      <c r="GA79" s="17">
        <f>FZ79*VLOOKUP('Données projet'!$B$17,Paramètres!$A$1:$I$89,3,0)*VLOOKUP('Données projet'!$B$17,Paramètres!$A$1:$I$89,5,0)</f>
        <v>137.17889999999994</v>
      </c>
      <c r="GB79" s="13">
        <f t="shared" si="103"/>
        <v>35.649967423044082</v>
      </c>
      <c r="GC79" s="20">
        <f t="shared" si="79"/>
        <v>301.01027742846833</v>
      </c>
      <c r="GD79" s="59">
        <f t="shared" si="80"/>
        <v>594.34361076180164</v>
      </c>
      <c r="GE79" s="59">
        <f ca="1">AVERAGE(OFFSET($GD$3,0,0,'Données projet'!$E$17+1,1))-AVERAGE(OFFSET($H$3,0,0,'Données projet'!$E$17+1,1))</f>
        <v>123.2823358462245</v>
      </c>
      <c r="GF79" s="59">
        <f t="shared" si="104"/>
        <v>92.75115399786057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0</v>
      </c>
      <c r="GM79" s="21">
        <f>EXP(-LN(2)/25)*GM78+(1-EXP(-LN(2)/25))/(LN(2)/25)*Calculateur!GH79*Calculateur!GJ79*VLOOKUP('Données projet'!$B$17,Paramètres!$A$1:$I$89,3,0)*0.475*44/12</f>
        <v>0</v>
      </c>
      <c r="GN79" s="21">
        <f>EXP(-LN(2)/2)*GN78+(1-EXP(-LN(2)/2))/(LN(2)/2)*GH79*GK79*VLOOKUP('Données projet'!$B$17,Paramètres!$A$1:$I$89,3,0)*0.475*44/12</f>
        <v>0</v>
      </c>
      <c r="GO79" s="21">
        <f t="shared" si="81"/>
        <v>0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-2.8421709430404007E-13</v>
      </c>
      <c r="GV79" s="17">
        <f>GU79*VLOOKUP('Données projet'!$B$18,Paramètres!$A$1:$I$89,3,0)*VLOOKUP('Données projet'!$B$18,Paramètres!$A$1:$I$89,5,0)</f>
        <v>-1.69961822393816E-13</v>
      </c>
      <c r="GW79" s="13" t="e">
        <f t="shared" si="105"/>
        <v>#NUM!</v>
      </c>
      <c r="GX79" s="20" t="e">
        <f t="shared" si="82"/>
        <v>#NUM!</v>
      </c>
      <c r="GY79" s="59" t="e">
        <f t="shared" si="83"/>
        <v>#NUM!</v>
      </c>
      <c r="GZ79" s="59">
        <f ca="1">AVERAGE(OFFSET($GY$3,0,0,'Données projet'!$E$18+1,1))-AVERAGE(OFFSET($H$3,0,0,'Données projet'!$E$18+1,1))</f>
        <v>171.96009656745713</v>
      </c>
      <c r="HA79" s="59">
        <f t="shared" si="106"/>
        <v>172.37574906747716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>
        <f>EXP(-LN(2)/35)*HG78+(1-EXP(-LN(2)/35))/(LN(2)/35)*HC79*HD79*VLOOKUP('Données projet'!$B$18,Paramètres!$A$1:$I$89,3,0)*0.475*44/12</f>
        <v>0.6707641315566325</v>
      </c>
      <c r="HH79" s="21">
        <f>EXP(-LN(2)/25)*HH78+(1-EXP(-LN(2)/25))/(LN(2)/25)*Calculateur!HC79*Calculateur!HE79*VLOOKUP('Données projet'!$B$18,Paramètres!$A$1:$I$89,3,0)*0.475*44/12</f>
        <v>5.7420096901208897</v>
      </c>
      <c r="HI79" s="21">
        <f>EXP(-LN(2)/2)*HI78+(1-EXP(-LN(2)/2))/(LN(2)/2)*HC79*HF79*VLOOKUP('Données projet'!$B$18,Paramètres!$A$1:$I$89,3,0)*0.475*44/12</f>
        <v>1.4358307456643787E-6</v>
      </c>
      <c r="HJ79" s="22">
        <f t="shared" si="84"/>
        <v>6.4127752575082679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-2.2737367544323206E-13</v>
      </c>
      <c r="O80" s="13">
        <f>N80*VLOOKUP('Données projet'!$B$9,Paramètres!$A$1:$I$89,3,0)*VLOOKUP('Données projet'!$B$9,Paramètres!$A$1:$I$89,5,0)</f>
        <v>-1.2710188457276673E-13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255.5374979188561</v>
      </c>
      <c r="T80" s="59">
        <f t="shared" si="88"/>
        <v>343.10418468620901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1.2182149935583524</v>
      </c>
      <c r="AA80" s="21">
        <f>EXP(-LN(2)/25)*AA79+(1-EXP(-LN(2)/25))/(LN(2)/25)*Calculateur!V80*Calculateur!X80*VLOOKUP('Données projet'!$B$9,Paramètres!$A$1:$I$89,3,0)*0.475*44/12</f>
        <v>4.3361425029530203</v>
      </c>
      <c r="AB80" s="21">
        <f>EXP(-LN(2)/2)*AB79+(1-EXP(-LN(2)/2))/(LN(2)/2)*V80*Y80*VLOOKUP('Données projet'!$B$9,Paramètres!$A$1:$I$89,3,0)*0.475*44/12</f>
        <v>1.4267990154880058E-7</v>
      </c>
      <c r="AC80" s="22">
        <f t="shared" si="57"/>
        <v>5.5543576391912746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12.913461538461533</v>
      </c>
      <c r="AI80" s="13">
        <f>IF('Données projet'!$A$62&gt;35,AI79+AH80-AQ79,IF(A80&lt;'Données projet'!$A$62,$AF$205^A80,IF(A80='Données projet'!$A$62,'Données projet'!$B$62,AI79+AH80-AQ79)))</f>
        <v>411.03461538461551</v>
      </c>
      <c r="AJ80" s="13">
        <f>AI80*VLOOKUP('Données projet'!$B$10,Paramètres!$A$1:$I$89,3,0)*VLOOKUP('Données projet'!$B$10,Paramètres!$A$1:$I$89,5,0)</f>
        <v>192.36420000000004</v>
      </c>
      <c r="AK80" s="13">
        <f t="shared" si="89"/>
        <v>48.062267116572606</v>
      </c>
      <c r="AL80" s="20">
        <f t="shared" si="58"/>
        <v>418.74276356136397</v>
      </c>
      <c r="AM80" s="59">
        <f t="shared" si="59"/>
        <v>712.07609689469723</v>
      </c>
      <c r="AN80" s="59">
        <f ca="1">AVERAGE(OFFSET($AM$3,0,0,'Données projet'!$E$10+1,1))-AVERAGE(OFFSET($H$3,0,0,'Données projet'!$E$10+1,1))</f>
        <v>158.58786357608489</v>
      </c>
      <c r="AO80" s="59">
        <f t="shared" si="90"/>
        <v>163.20074068819849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0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-1.7053025658242404E-13</v>
      </c>
      <c r="BE80" s="13">
        <f>BD80*VLOOKUP('Données projet'!$B$11,Paramètres!$A$1:$I$89,3,0)*VLOOKUP('Données projet'!$B$11,Paramètres!$A$1:$I$89,5,0)</f>
        <v>-1.0197709343628959E-13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243.85350804244348</v>
      </c>
      <c r="BJ80" s="59">
        <f t="shared" si="92"/>
        <v>304.60992308960545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1.7842616723079527</v>
      </c>
      <c r="BQ80" s="21">
        <f>EXP(-LN(2)/25)*BQ79+(1-EXP(-LN(2)/25))/(LN(2)/25)*Calculateur!BL80*Calculateur!BN80*VLOOKUP('Données projet'!$B$11,Paramètres!$A$1:$I$89,3,0)*0.475*44/12</f>
        <v>4.816653631849781</v>
      </c>
      <c r="BR80" s="21">
        <f>EXP(-LN(2)/2)*BR79+(1-EXP(-LN(2)/2))/(LN(2)/2)*BL80*BO80*VLOOKUP('Données projet'!$B$11,Paramètres!$A$1:$I$89,3,0)*0.475*44/12</f>
        <v>3.1510893428865164E-7</v>
      </c>
      <c r="BS80" s="22">
        <f t="shared" si="63"/>
        <v>6.6009156192666687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12.5</v>
      </c>
      <c r="BY80" s="12">
        <f>IF('Données projet'!$A$114&gt;35,BY79+BX80-CG79,IF(A80&lt;'Données projet'!$A$114,$BV$205^A80,IF(A80='Données projet'!$A$114,'Données projet'!$B$114,BY79+BX80-CG79)))</f>
        <v>499.50000000000028</v>
      </c>
      <c r="BZ80" s="13">
        <f>BY80*VLOOKUP('Données projet'!$B$12,Paramètres!$A$1:$I$89,3,0)*VLOOKUP('Données projet'!$B$12,Paramètres!$A$1:$I$89,5,0)</f>
        <v>298.70100000000019</v>
      </c>
      <c r="CA80" s="13">
        <f t="shared" si="93"/>
        <v>70.904074443365431</v>
      </c>
      <c r="CB80" s="20">
        <f t="shared" si="64"/>
        <v>643.72883798886176</v>
      </c>
      <c r="CC80" s="59">
        <f t="shared" si="65"/>
        <v>937.06217132219513</v>
      </c>
      <c r="CD80" s="59">
        <f ca="1">AVERAGE(OFFSET($CC$3,0,0,'Données projet'!$E$12+1,1))-AVERAGE(OFFSET($H$3,0,0,'Données projet'!$E$12+1,1))</f>
        <v>270.30888762640245</v>
      </c>
      <c r="CE80" s="59">
        <f t="shared" si="94"/>
        <v>202.23783851977691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0.84440933281822728</v>
      </c>
      <c r="CL80" s="21">
        <f>EXP(-LN(2)/25)*CL79+(1-EXP(-LN(2)/25))/(LN(2)/25)*Calculateur!CG80*Calculateur!CI80*VLOOKUP('Données projet'!$B$12,Paramètres!$A$1:$I$89,3,0)*0.475*44/12</f>
        <v>3.3404078406973281</v>
      </c>
      <c r="CM80" s="21">
        <f>EXP(-LN(2)/2)*CM79+(1-EXP(-LN(2)/2))/(LN(2)/2)*CG80*CJ80*VLOOKUP('Données projet'!$B$12,Paramètres!$A$1:$I$89,3,0)*0.475*44/12</f>
        <v>1.5588103453297935E-6</v>
      </c>
      <c r="CN80" s="22">
        <f t="shared" si="66"/>
        <v>4.1848187323259012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3.9</v>
      </c>
      <c r="CT80" s="12">
        <f>IF('Données projet'!$A$140&gt;35,CT79+CS80-DB79,IF(A80&lt;'Données projet'!$A$140,$CQ$205^A80,IF(A80='Données projet'!$A$140,'Données projet'!$B$140,CT79+CS80-DB79)))</f>
        <v>330.29999999999956</v>
      </c>
      <c r="CU80" s="17">
        <f>CT80*VLOOKUP('Données projet'!$B$13,Paramètres!$A$1:$I$89,3,0)*VLOOKUP('Données projet'!$B$13,Paramètres!$A$1:$I$89,5,0)</f>
        <v>262.78667999999965</v>
      </c>
      <c r="CV80" s="13">
        <f t="shared" si="95"/>
        <v>63.316016454882053</v>
      </c>
      <c r="CW80" s="20">
        <f t="shared" si="67"/>
        <v>567.96219632558564</v>
      </c>
      <c r="CX80" s="59">
        <f t="shared" si="68"/>
        <v>861.29552965891889</v>
      </c>
      <c r="CY80" s="59">
        <f ca="1">AVERAGE(OFFSET($CX$3,0,0,'Données projet'!$E$13+1,1))-AVERAGE(OFFSET($H$3,0,0,'Données projet'!$E$13+1,1))</f>
        <v>260.20517190557814</v>
      </c>
      <c r="CZ80" s="59">
        <f t="shared" si="96"/>
        <v>307.22009971147133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1.2863984691025512</v>
      </c>
      <c r="DG80" s="21">
        <f>EXP(-LN(2)/25)*DG79+(1-EXP(-LN(2)/25))/(LN(2)/25)*Calculateur!DB80*Calculateur!DD80*VLOOKUP('Données projet'!$B$13,Paramètres!$A$1:$I$89,3,0)*0.475*44/12</f>
        <v>5.5748419115553984</v>
      </c>
      <c r="DH80" s="21">
        <f>EXP(-LN(2)/2)*DH79+(1-EXP(-LN(2)/2))/(LN(2)/2)*DB80*DE80*VLOOKUP('Données projet'!$B$13,Paramètres!$A$1:$I$89,3,0)*0.475*44/12</f>
        <v>2.0263390699983081E-6</v>
      </c>
      <c r="DI80" s="22">
        <f t="shared" si="69"/>
        <v>6.8612424069970199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7.8425925925925934</v>
      </c>
      <c r="DO80" s="12">
        <f>IF('Données projet'!$A$166&gt;35,DO79+DN80-DW79,IF(A80&lt;'Données projet'!$A$166,$DL$205^A80,IF(A80='Données projet'!$A$166,'Données projet'!$B$166,DO79+DN80-DW79)))</f>
        <v>250.48504273504267</v>
      </c>
      <c r="DP80" s="17">
        <f>DO80*VLOOKUP('Données projet'!$B$14,Paramètres!$A$1:$I$89,3,0)*VLOOKUP('Données projet'!$B$14,Paramètres!$A$1:$I$89,5,0)</f>
        <v>253.99183333333329</v>
      </c>
      <c r="DQ80" s="13">
        <f t="shared" si="97"/>
        <v>61.439942205271514</v>
      </c>
      <c r="DR80" s="20">
        <f t="shared" si="70"/>
        <v>549.37700906307009</v>
      </c>
      <c r="DS80" s="59">
        <f t="shared" si="71"/>
        <v>842.71034239640335</v>
      </c>
      <c r="DT80" s="59">
        <f ca="1">AVERAGE(OFFSET($DS$3,0,0,'Données projet'!$E$14+1,1))-AVERAGE(OFFSET($H$3,0,0,'Données projet'!$E$14+1,1))</f>
        <v>263.15518481854753</v>
      </c>
      <c r="DU80" s="59">
        <f t="shared" si="98"/>
        <v>210.80755370263819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0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3.9</v>
      </c>
      <c r="EJ80" s="12">
        <f>IF('Données projet'!$A$192&gt;35,EJ79+EI80-ER79,IF(A80&lt;'Données projet'!$A$192,$EG$205^A80,IF(A80='Données projet'!$A$192,'Données projet'!$B$192,EJ79+EI80-ER79)))</f>
        <v>330.29999999999956</v>
      </c>
      <c r="EK80" s="17">
        <f>EJ80*VLOOKUP('Données projet'!$B$15,Paramètres!$A$1:$I$89,3,0)*VLOOKUP('Données projet'!$B$15,Paramètres!$A$1:$I$89,5,0)</f>
        <v>221.5652399999997</v>
      </c>
      <c r="EL80" s="13">
        <f t="shared" si="99"/>
        <v>54.454942404745644</v>
      </c>
      <c r="EM80" s="20">
        <f t="shared" si="73"/>
        <v>480.73515102159814</v>
      </c>
      <c r="EN80" s="59">
        <f t="shared" si="74"/>
        <v>774.06848435493146</v>
      </c>
      <c r="EO80" s="59">
        <f ca="1">AVERAGE(OFFSET($EN$3,0,0,'Données projet'!$E$15+1,1))-AVERAGE(OFFSET($H$3,0,0,'Données projet'!$E$15+1,1))</f>
        <v>207.93042467236967</v>
      </c>
      <c r="EP80" s="59">
        <f t="shared" si="100"/>
        <v>250.70954318710835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1.0846104739492086</v>
      </c>
      <c r="EW80" s="21">
        <f>EXP(-LN(2)/25)*EW79+(1-EXP(-LN(2)/25))/(LN(2)/25)*Calculateur!ER80*Calculateur!ET80*VLOOKUP('Données projet'!$B$15,Paramètres!$A$1:$I$89,3,0)*0.475*44/12</f>
        <v>4.7003569058212236</v>
      </c>
      <c r="EX80" s="21">
        <f>EXP(-LN(2)/2)*EX79+(1-EXP(-LN(2)/2))/(LN(2)/2)*ER80*EU80*VLOOKUP('Données projet'!$B$15,Paramètres!$A$1:$I$89,3,0)*0.475*44/12</f>
        <v>1.7084819609789656E-6</v>
      </c>
      <c r="EY80" s="22">
        <f t="shared" si="75"/>
        <v>5.7849690882523932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7.8425925925925934</v>
      </c>
      <c r="FE80" s="12">
        <f>IF('Données projet'!$A$218&gt;35,FE79+FD80-FM79,IF(A80&lt;'Données projet'!$A$218,$FB$205^A80,IF(A80='Données projet'!$A$218,'Données projet'!$B$218,FE79+FD80-FM79)))</f>
        <v>250.48504273504267</v>
      </c>
      <c r="FF80" s="17">
        <f>FE80*VLOOKUP('Données projet'!$B$16,Paramètres!$A$1:$I$89,3,0)*VLOOKUP('Données projet'!$B$16,Paramètres!$A$1:$I$89,5,0)</f>
        <v>269.62209999999988</v>
      </c>
      <c r="FG80" s="13">
        <f t="shared" si="101"/>
        <v>64.769062833916962</v>
      </c>
      <c r="FH80" s="20">
        <f t="shared" si="76"/>
        <v>582.39794193573846</v>
      </c>
      <c r="FI80" s="59">
        <f t="shared" si="77"/>
        <v>875.73127526907183</v>
      </c>
      <c r="FJ80" s="59">
        <f ca="1">AVERAGE(OFFSET($FI$3,0,0,'Données projet'!$E$16+1,1))-AVERAGE(OFFSET($H$3,0,0,'Données projet'!$E$16+1,1))</f>
        <v>286.77702855541287</v>
      </c>
      <c r="FK80" s="59">
        <f t="shared" si="102"/>
        <v>227.12211541860779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0</v>
      </c>
      <c r="FR80" s="21">
        <f>EXP(-LN(2)/25)*FR79+(1-EXP(-LN(2)/25))/(LN(2)/25)*Calculateur!FM80*Calculateur!FO80*VLOOKUP('Données projet'!$B$16,Paramètres!$A$1:$I$89,3,0)*0.475*44/12</f>
        <v>0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0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9.52371794871795</v>
      </c>
      <c r="FZ80" s="12">
        <f>IF('Données projet'!$A$244&gt;35,FZ79+FY80-GH79,IF(A80&lt;'Données projet'!$A$244,$FW$205^A80,IF(A80='Données projet'!$A$244,'Données projet'!$B$244,FZ79+FY80-GH79)))</f>
        <v>302.64102564102552</v>
      </c>
      <c r="GA80" s="17">
        <f>FZ80*VLOOKUP('Données projet'!$B$17,Paramètres!$A$1:$I$89,3,0)*VLOOKUP('Données projet'!$B$17,Paramètres!$A$1:$I$89,5,0)</f>
        <v>141.63599999999994</v>
      </c>
      <c r="GB80" s="13">
        <f t="shared" si="103"/>
        <v>36.671536328944384</v>
      </c>
      <c r="GC80" s="20">
        <f t="shared" si="79"/>
        <v>310.55229243957797</v>
      </c>
      <c r="GD80" s="59">
        <f t="shared" si="80"/>
        <v>603.88562577291123</v>
      </c>
      <c r="GE80" s="59">
        <f ca="1">AVERAGE(OFFSET($GD$3,0,0,'Données projet'!$E$17+1,1))-AVERAGE(OFFSET($H$3,0,0,'Données projet'!$E$17+1,1))</f>
        <v>123.2823358462245</v>
      </c>
      <c r="GF80" s="59">
        <f t="shared" si="104"/>
        <v>92.75115399786057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0</v>
      </c>
      <c r="GM80" s="21">
        <f>EXP(-LN(2)/25)*GM79+(1-EXP(-LN(2)/25))/(LN(2)/25)*Calculateur!GH80*Calculateur!GJ80*VLOOKUP('Données projet'!$B$17,Paramètres!$A$1:$I$89,3,0)*0.475*44/12</f>
        <v>0</v>
      </c>
      <c r="GN80" s="21">
        <f>EXP(-LN(2)/2)*GN79+(1-EXP(-LN(2)/2))/(LN(2)/2)*GH80*GK80*VLOOKUP('Données projet'!$B$17,Paramètres!$A$1:$I$89,3,0)*0.475*44/12</f>
        <v>0</v>
      </c>
      <c r="GO80" s="21">
        <f t="shared" si="81"/>
        <v>0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-2.8421709430404007E-13</v>
      </c>
      <c r="GV80" s="17">
        <f>GU80*VLOOKUP('Données projet'!$B$18,Paramètres!$A$1:$I$89,3,0)*VLOOKUP('Données projet'!$B$18,Paramètres!$A$1:$I$89,5,0)</f>
        <v>-1.69961822393816E-13</v>
      </c>
      <c r="GW80" s="13" t="e">
        <f t="shared" si="105"/>
        <v>#NUM!</v>
      </c>
      <c r="GX80" s="20" t="e">
        <f t="shared" si="82"/>
        <v>#NUM!</v>
      </c>
      <c r="GY80" s="59" t="e">
        <f t="shared" si="83"/>
        <v>#NUM!</v>
      </c>
      <c r="GZ80" s="59">
        <f ca="1">AVERAGE(OFFSET($GY$3,0,0,'Données projet'!$E$18+1,1))-AVERAGE(OFFSET($H$3,0,0,'Données projet'!$E$18+1,1))</f>
        <v>171.96009656745713</v>
      </c>
      <c r="HA80" s="59">
        <f t="shared" si="106"/>
        <v>172.37574906747716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>
        <f>EXP(-LN(2)/35)*HG79+(1-EXP(-LN(2)/35))/(LN(2)/35)*HC80*HD80*VLOOKUP('Données projet'!$B$18,Paramètres!$A$1:$I$89,3,0)*0.475*44/12</f>
        <v>0.65761085606252934</v>
      </c>
      <c r="HH80" s="21">
        <f>EXP(-LN(2)/25)*HH79+(1-EXP(-LN(2)/25))/(LN(2)/25)*Calculateur!HC80*Calculateur!HE80*VLOOKUP('Données projet'!$B$18,Paramètres!$A$1:$I$89,3,0)*0.475*44/12</f>
        <v>5.5849941331853676</v>
      </c>
      <c r="HI80" s="21">
        <f>EXP(-LN(2)/2)*HI79+(1-EXP(-LN(2)/2))/(LN(2)/2)*HC80*HF80*VLOOKUP('Données projet'!$B$18,Paramètres!$A$1:$I$89,3,0)*0.475*44/12</f>
        <v>1.0152856568954192E-6</v>
      </c>
      <c r="HJ80" s="22">
        <f t="shared" si="84"/>
        <v>6.2426060045335543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-2.2737367544323206E-13</v>
      </c>
      <c r="O81" s="13">
        <f>N81*VLOOKUP('Données projet'!$B$9,Paramètres!$A$1:$I$89,3,0)*VLOOKUP('Données projet'!$B$9,Paramètres!$A$1:$I$89,5,0)</f>
        <v>-1.2710188457276673E-13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255.5374979188561</v>
      </c>
      <c r="T81" s="59">
        <f t="shared" si="88"/>
        <v>343.10418468620901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1.1943265405724504</v>
      </c>
      <c r="AA81" s="21">
        <f>EXP(-LN(2)/25)*AA80+(1-EXP(-LN(2)/25))/(LN(2)/25)*Calculateur!V81*Calculateur!X81*VLOOKUP('Données projet'!$B$9,Paramètres!$A$1:$I$89,3,0)*0.475*44/12</f>
        <v>4.217570458181946</v>
      </c>
      <c r="AB81" s="21">
        <f>EXP(-LN(2)/2)*AB80+(1-EXP(-LN(2)/2))/(LN(2)/2)*V81*Y81*VLOOKUP('Données projet'!$B$9,Paramètres!$A$1:$I$89,3,0)*0.475*44/12</f>
        <v>1.0088992592418587E-7</v>
      </c>
      <c r="AC81" s="22">
        <f t="shared" si="57"/>
        <v>5.4118970996443219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12.913461538461533</v>
      </c>
      <c r="AI81" s="13">
        <f>IF('Données projet'!$A$62&gt;35,AI80+AH81-AQ80,IF(A81&lt;'Données projet'!$A$62,$AF$205^A81,IF(A81='Données projet'!$A$62,'Données projet'!$B$62,AI80+AH81-AQ80)))</f>
        <v>423.94807692307705</v>
      </c>
      <c r="AJ81" s="13">
        <f>AI81*VLOOKUP('Données projet'!$B$10,Paramètres!$A$1:$I$89,3,0)*VLOOKUP('Données projet'!$B$10,Paramètres!$A$1:$I$89,5,0)</f>
        <v>198.40770000000006</v>
      </c>
      <c r="AK81" s="13">
        <f t="shared" si="89"/>
        <v>49.394065749424826</v>
      </c>
      <c r="AL81" s="20">
        <f t="shared" si="58"/>
        <v>431.58807534691499</v>
      </c>
      <c r="AM81" s="59">
        <f t="shared" si="59"/>
        <v>724.92140868024831</v>
      </c>
      <c r="AN81" s="59">
        <f ca="1">AVERAGE(OFFSET($AM$3,0,0,'Données projet'!$E$10+1,1))-AVERAGE(OFFSET($H$3,0,0,'Données projet'!$E$10+1,1))</f>
        <v>158.58786357608489</v>
      </c>
      <c r="AO81" s="59">
        <f t="shared" si="90"/>
        <v>163.20074068819849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0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-1.7053025658242404E-13</v>
      </c>
      <c r="BE81" s="13">
        <f>BD81*VLOOKUP('Données projet'!$B$11,Paramètres!$A$1:$I$89,3,0)*VLOOKUP('Données projet'!$B$11,Paramètres!$A$1:$I$89,5,0)</f>
        <v>-1.0197709343628959E-13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243.85350804244348</v>
      </c>
      <c r="BJ81" s="59">
        <f t="shared" si="92"/>
        <v>304.60992308960545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1.7492733892061541</v>
      </c>
      <c r="BQ81" s="21">
        <f>EXP(-LN(2)/25)*BQ80+(1-EXP(-LN(2)/25))/(LN(2)/25)*Calculateur!BL81*Calculateur!BN81*VLOOKUP('Données projet'!$B$11,Paramètres!$A$1:$I$89,3,0)*0.475*44/12</f>
        <v>4.6849419849900427</v>
      </c>
      <c r="BR81" s="21">
        <f>EXP(-LN(2)/2)*BR80+(1-EXP(-LN(2)/2))/(LN(2)/2)*BL81*BO81*VLOOKUP('Données projet'!$B$11,Paramètres!$A$1:$I$89,3,0)*0.475*44/12</f>
        <v>2.2281566424797178E-7</v>
      </c>
      <c r="BS81" s="22">
        <f t="shared" si="63"/>
        <v>6.4342155970118613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12.5</v>
      </c>
      <c r="BY81" s="12">
        <f>IF('Données projet'!$A$114&gt;35,BY80+BX81-CG80,IF(A81&lt;'Données projet'!$A$114,$BV$205^A81,IF(A81='Données projet'!$A$114,'Données projet'!$B$114,BY80+BX81-CG80)))</f>
        <v>512.00000000000023</v>
      </c>
      <c r="BZ81" s="13">
        <f>BY81*VLOOKUP('Données projet'!$B$12,Paramètres!$A$1:$I$89,3,0)*VLOOKUP('Données projet'!$B$12,Paramètres!$A$1:$I$89,5,0)</f>
        <v>306.17600000000016</v>
      </c>
      <c r="CA81" s="13">
        <f t="shared" si="93"/>
        <v>72.469650785730451</v>
      </c>
      <c r="CB81" s="20">
        <f t="shared" si="64"/>
        <v>659.47450845181413</v>
      </c>
      <c r="CC81" s="59">
        <f t="shared" si="65"/>
        <v>952.8078417851475</v>
      </c>
      <c r="CD81" s="59">
        <f ca="1">AVERAGE(OFFSET($CC$3,0,0,'Données projet'!$E$12+1,1))-AVERAGE(OFFSET($H$3,0,0,'Données projet'!$E$12+1,1))</f>
        <v>270.30888762640245</v>
      </c>
      <c r="CE81" s="59">
        <f t="shared" si="94"/>
        <v>202.23783851977691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0.82785098084049902</v>
      </c>
      <c r="CL81" s="21">
        <f>EXP(-LN(2)/25)*CL80+(1-EXP(-LN(2)/25))/(LN(2)/25)*Calculateur!CG81*Calculateur!CI81*VLOOKUP('Données projet'!$B$12,Paramètres!$A$1:$I$89,3,0)*0.475*44/12</f>
        <v>3.2490642126290461</v>
      </c>
      <c r="CM81" s="21">
        <f>EXP(-LN(2)/2)*CM80+(1-EXP(-LN(2)/2))/(LN(2)/2)*CG81*CJ81*VLOOKUP('Données projet'!$B$12,Paramètres!$A$1:$I$89,3,0)*0.475*44/12</f>
        <v>1.1022453657664409E-6</v>
      </c>
      <c r="CN81" s="22">
        <f t="shared" si="66"/>
        <v>4.076916295714911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3.9</v>
      </c>
      <c r="CT81" s="12">
        <f>IF('Données projet'!$A$140&gt;35,CT80+CS81-DB80,IF(A81&lt;'Données projet'!$A$140,$CQ$205^A81,IF(A81='Données projet'!$A$140,'Données projet'!$B$140,CT80+CS81-DB80)))</f>
        <v>334.19999999999953</v>
      </c>
      <c r="CU81" s="17">
        <f>CT81*VLOOKUP('Données projet'!$B$13,Paramètres!$A$1:$I$89,3,0)*VLOOKUP('Données projet'!$B$13,Paramètres!$A$1:$I$89,5,0)</f>
        <v>265.88951999999961</v>
      </c>
      <c r="CV81" s="13">
        <f t="shared" si="95"/>
        <v>63.97614434366357</v>
      </c>
      <c r="CW81" s="20">
        <f t="shared" si="67"/>
        <v>574.51603206521338</v>
      </c>
      <c r="CX81" s="59">
        <f t="shared" si="68"/>
        <v>867.84936539854675</v>
      </c>
      <c r="CY81" s="59">
        <f ca="1">AVERAGE(OFFSET($CX$3,0,0,'Données projet'!$E$13+1,1))-AVERAGE(OFFSET($H$3,0,0,'Données projet'!$E$13+1,1))</f>
        <v>260.20517190557814</v>
      </c>
      <c r="CZ81" s="59">
        <f t="shared" si="96"/>
        <v>307.22009971147133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1.261172979749041</v>
      </c>
      <c r="DG81" s="21">
        <f>EXP(-LN(2)/25)*DG80+(1-EXP(-LN(2)/25))/(LN(2)/25)*Calculateur!DB81*Calculateur!DD81*VLOOKUP('Données projet'!$B$13,Paramètres!$A$1:$I$89,3,0)*0.475*44/12</f>
        <v>5.4223975663157216</v>
      </c>
      <c r="DH81" s="21">
        <f>EXP(-LN(2)/2)*DH80+(1-EXP(-LN(2)/2))/(LN(2)/2)*DB81*DE81*VLOOKUP('Données projet'!$B$13,Paramètres!$A$1:$I$89,3,0)*0.475*44/12</f>
        <v>1.4328380973790459E-6</v>
      </c>
      <c r="DI81" s="22">
        <f t="shared" si="69"/>
        <v>6.6835719789028598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7.8425925925925934</v>
      </c>
      <c r="DO81" s="12">
        <f>IF('Données projet'!$A$166&gt;35,DO80+DN81-DW80,IF(A81&lt;'Données projet'!$A$166,$DL$205^A81,IF(A81='Données projet'!$A$166,'Données projet'!$B$166,DO80+DN81-DW80)))</f>
        <v>258.32763532763528</v>
      </c>
      <c r="DP81" s="17">
        <f>DO81*VLOOKUP('Données projet'!$B$14,Paramètres!$A$1:$I$89,3,0)*VLOOKUP('Données projet'!$B$14,Paramètres!$A$1:$I$89,5,0)</f>
        <v>261.94422222222221</v>
      </c>
      <c r="DQ81" s="13">
        <f t="shared" si="97"/>
        <v>63.136627703535808</v>
      </c>
      <c r="DR81" s="20">
        <f t="shared" si="70"/>
        <v>566.18248028736184</v>
      </c>
      <c r="DS81" s="59">
        <f t="shared" si="71"/>
        <v>859.5158136206951</v>
      </c>
      <c r="DT81" s="59">
        <f ca="1">AVERAGE(OFFSET($DS$3,0,0,'Données projet'!$E$14+1,1))-AVERAGE(OFFSET($H$3,0,0,'Données projet'!$E$14+1,1))</f>
        <v>263.15518481854753</v>
      </c>
      <c r="DU81" s="59">
        <f t="shared" si="98"/>
        <v>210.80755370263819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0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3.9</v>
      </c>
      <c r="EJ81" s="12">
        <f>IF('Données projet'!$A$192&gt;35,EJ80+EI81-ER80,IF(A81&lt;'Données projet'!$A$192,$EG$205^A81,IF(A81='Données projet'!$A$192,'Données projet'!$B$192,EJ80+EI81-ER80)))</f>
        <v>334.19999999999953</v>
      </c>
      <c r="EK81" s="17">
        <f>EJ81*VLOOKUP('Données projet'!$B$15,Paramètres!$A$1:$I$89,3,0)*VLOOKUP('Données projet'!$B$15,Paramètres!$A$1:$I$89,5,0)</f>
        <v>224.18135999999967</v>
      </c>
      <c r="EL81" s="13">
        <f t="shared" si="99"/>
        <v>55.022685421064054</v>
      </c>
      <c r="EM81" s="20">
        <f t="shared" si="73"/>
        <v>486.28037910835252</v>
      </c>
      <c r="EN81" s="59">
        <f t="shared" si="74"/>
        <v>779.61371244168583</v>
      </c>
      <c r="EO81" s="59">
        <f ca="1">AVERAGE(OFFSET($EN$3,0,0,'Données projet'!$E$15+1,1))-AVERAGE(OFFSET($H$3,0,0,'Données projet'!$E$15+1,1))</f>
        <v>207.93042467236967</v>
      </c>
      <c r="EP81" s="59">
        <f t="shared" si="100"/>
        <v>250.70954318710835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1.0633419241021314</v>
      </c>
      <c r="EW81" s="21">
        <f>EXP(-LN(2)/25)*EW80+(1-EXP(-LN(2)/25))/(LN(2)/25)*Calculateur!ER81*Calculateur!ET81*VLOOKUP('Données projet'!$B$15,Paramètres!$A$1:$I$89,3,0)*0.475*44/12</f>
        <v>4.5718253990505158</v>
      </c>
      <c r="EX81" s="21">
        <f>EXP(-LN(2)/2)*EX80+(1-EXP(-LN(2)/2))/(LN(2)/2)*ER81*EU81*VLOOKUP('Données projet'!$B$15,Paramètres!$A$1:$I$89,3,0)*0.475*44/12</f>
        <v>1.208079180143117E-6</v>
      </c>
      <c r="EY81" s="22">
        <f t="shared" si="75"/>
        <v>5.6351685312318267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7.8425925925925934</v>
      </c>
      <c r="FE81" s="12">
        <f>IF('Données projet'!$A$218&gt;35,FE80+FD81-FM80,IF(A81&lt;'Données projet'!$A$218,$FB$205^A81,IF(A81='Données projet'!$A$218,'Données projet'!$B$218,FE80+FD81-FM80)))</f>
        <v>258.32763532763528</v>
      </c>
      <c r="FF81" s="17">
        <f>FE81*VLOOKUP('Données projet'!$B$16,Paramètres!$A$1:$I$89,3,0)*VLOOKUP('Données projet'!$B$16,Paramètres!$A$1:$I$89,5,0)</f>
        <v>278.06386666666663</v>
      </c>
      <c r="FG81" s="13">
        <f t="shared" si="101"/>
        <v>66.557683163007169</v>
      </c>
      <c r="FH81" s="20">
        <f t="shared" si="76"/>
        <v>600.2158659533485</v>
      </c>
      <c r="FI81" s="59">
        <f t="shared" si="77"/>
        <v>893.54919928668187</v>
      </c>
      <c r="FJ81" s="59">
        <f ca="1">AVERAGE(OFFSET($FI$3,0,0,'Données projet'!$E$16+1,1))-AVERAGE(OFFSET($H$3,0,0,'Données projet'!$E$16+1,1))</f>
        <v>286.77702855541287</v>
      </c>
      <c r="FK81" s="59">
        <f t="shared" si="102"/>
        <v>227.12211541860779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0</v>
      </c>
      <c r="FR81" s="21">
        <f>EXP(-LN(2)/25)*FR80+(1-EXP(-LN(2)/25))/(LN(2)/25)*Calculateur!FM81*Calculateur!FO81*VLOOKUP('Données projet'!$B$16,Paramètres!$A$1:$I$89,3,0)*0.475*44/12</f>
        <v>0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0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9.52371794871795</v>
      </c>
      <c r="FZ81" s="12">
        <f>IF('Données projet'!$A$244&gt;35,FZ80+FY81-GH80,IF(A81&lt;'Données projet'!$A$244,$FW$205^A81,IF(A81='Données projet'!$A$244,'Données projet'!$B$244,FZ80+FY81-GH80)))</f>
        <v>312.16474358974347</v>
      </c>
      <c r="GA81" s="17">
        <f>FZ81*VLOOKUP('Données projet'!$B$17,Paramètres!$A$1:$I$89,3,0)*VLOOKUP('Données projet'!$B$17,Paramètres!$A$1:$I$89,5,0)</f>
        <v>146.09309999999994</v>
      </c>
      <c r="GB81" s="13">
        <f t="shared" si="103"/>
        <v>37.689369466401395</v>
      </c>
      <c r="GC81" s="20">
        <f t="shared" si="79"/>
        <v>320.08780098731563</v>
      </c>
      <c r="GD81" s="59">
        <f t="shared" si="80"/>
        <v>613.42113432064889</v>
      </c>
      <c r="GE81" s="59">
        <f ca="1">AVERAGE(OFFSET($GD$3,0,0,'Données projet'!$E$17+1,1))-AVERAGE(OFFSET($H$3,0,0,'Données projet'!$E$17+1,1))</f>
        <v>123.2823358462245</v>
      </c>
      <c r="GF81" s="59">
        <f t="shared" si="104"/>
        <v>92.75115399786057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0</v>
      </c>
      <c r="GM81" s="21">
        <f>EXP(-LN(2)/25)*GM80+(1-EXP(-LN(2)/25))/(LN(2)/25)*Calculateur!GH81*Calculateur!GJ81*VLOOKUP('Données projet'!$B$17,Paramètres!$A$1:$I$89,3,0)*0.475*44/12</f>
        <v>0</v>
      </c>
      <c r="GN81" s="21">
        <f>EXP(-LN(2)/2)*GN80+(1-EXP(-LN(2)/2))/(LN(2)/2)*GH81*GK81*VLOOKUP('Données projet'!$B$17,Paramètres!$A$1:$I$89,3,0)*0.475*44/12</f>
        <v>0</v>
      </c>
      <c r="GO81" s="21">
        <f t="shared" si="81"/>
        <v>0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-2.8421709430404007E-13</v>
      </c>
      <c r="GV81" s="17">
        <f>GU81*VLOOKUP('Données projet'!$B$18,Paramètres!$A$1:$I$89,3,0)*VLOOKUP('Données projet'!$B$18,Paramètres!$A$1:$I$89,5,0)</f>
        <v>-1.69961822393816E-13</v>
      </c>
      <c r="GW81" s="13" t="e">
        <f t="shared" si="105"/>
        <v>#NUM!</v>
      </c>
      <c r="GX81" s="20" t="e">
        <f t="shared" si="82"/>
        <v>#NUM!</v>
      </c>
      <c r="GY81" s="59" t="e">
        <f t="shared" si="83"/>
        <v>#NUM!</v>
      </c>
      <c r="GZ81" s="59">
        <f ca="1">AVERAGE(OFFSET($GY$3,0,0,'Données projet'!$E$18+1,1))-AVERAGE(OFFSET($H$3,0,0,'Données projet'!$E$18+1,1))</f>
        <v>171.96009656745713</v>
      </c>
      <c r="HA81" s="59">
        <f t="shared" si="106"/>
        <v>172.37574906747716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>
        <f>EXP(-LN(2)/35)*HG80+(1-EXP(-LN(2)/35))/(LN(2)/35)*HC81*HD81*VLOOKUP('Données projet'!$B$18,Paramètres!$A$1:$I$89,3,0)*0.475*44/12</f>
        <v>0.64471550827815971</v>
      </c>
      <c r="HH81" s="21">
        <f>EXP(-LN(2)/25)*HH80+(1-EXP(-LN(2)/25))/(LN(2)/25)*Calculateur!HC81*Calculateur!HE81*VLOOKUP('Données projet'!$B$18,Paramètres!$A$1:$I$89,3,0)*0.475*44/12</f>
        <v>5.4322721749113372</v>
      </c>
      <c r="HI81" s="21">
        <f>EXP(-LN(2)/2)*HI80+(1-EXP(-LN(2)/2))/(LN(2)/2)*HC81*HF81*VLOOKUP('Données projet'!$B$18,Paramètres!$A$1:$I$89,3,0)*0.475*44/12</f>
        <v>7.1791537283218934E-7</v>
      </c>
      <c r="HJ81" s="22">
        <f t="shared" si="84"/>
        <v>6.0769884011048694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-2.2737367544323206E-13</v>
      </c>
      <c r="O82" s="13">
        <f>N82*VLOOKUP('Données projet'!$B$9,Paramètres!$A$1:$I$89,3,0)*VLOOKUP('Données projet'!$B$9,Paramètres!$A$1:$I$89,5,0)</f>
        <v>-1.2710188457276673E-13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255.5374979188561</v>
      </c>
      <c r="T82" s="59">
        <f t="shared" si="88"/>
        <v>343.10418468620901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1.1709065255790843</v>
      </c>
      <c r="AA82" s="21">
        <f>EXP(-LN(2)/25)*AA81+(1-EXP(-LN(2)/25))/(LN(2)/25)*Calculateur!V82*Calculateur!X82*VLOOKUP('Données projet'!$B$9,Paramètres!$A$1:$I$89,3,0)*0.475*44/12</f>
        <v>4.1022407722105694</v>
      </c>
      <c r="AB82" s="21">
        <f>EXP(-LN(2)/2)*AB81+(1-EXP(-LN(2)/2))/(LN(2)/2)*V82*Y82*VLOOKUP('Données projet'!$B$9,Paramètres!$A$1:$I$89,3,0)*0.475*44/12</f>
        <v>7.1339950774400288E-8</v>
      </c>
      <c r="AC82" s="22">
        <f t="shared" si="57"/>
        <v>5.2731473691296049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>
        <f>VLOOKUP(A82,'Données projet'!$A$61:$I$81,2,0)</f>
        <v>436.86153846153843</v>
      </c>
      <c r="AG82" s="12">
        <f>VLOOKUP(A82,'Données projet'!$A$61:$I$81,9,0)</f>
        <v>12.913461538461533</v>
      </c>
      <c r="AH82" s="12">
        <f t="array" ref="AH82">INDEX(AG:AG,MIN(IF(ISNUMBER(AG82:AG278),ROW(AG82:AG278),"")))</f>
        <v>12.913461538461533</v>
      </c>
      <c r="AI82" s="13">
        <f>IF('Données projet'!$A$62&gt;35,AI81+AH82-AQ81,IF(A82&lt;'Données projet'!$A$62,$AF$205^A82,IF(A82='Données projet'!$A$62,'Données projet'!$B$62,AI81+AH82-AQ81)))</f>
        <v>436.8615384615386</v>
      </c>
      <c r="AJ82" s="13">
        <f>AI82*VLOOKUP('Données projet'!$B$10,Paramètres!$A$1:$I$89,3,0)*VLOOKUP('Données projet'!$B$10,Paramètres!$A$1:$I$89,5,0)</f>
        <v>204.45120000000009</v>
      </c>
      <c r="AK82" s="13">
        <f t="shared" si="89"/>
        <v>50.721150021305952</v>
      </c>
      <c r="AL82" s="20">
        <f t="shared" si="58"/>
        <v>444.42517628710794</v>
      </c>
      <c r="AM82" s="59">
        <f t="shared" si="59"/>
        <v>737.75850962044126</v>
      </c>
      <c r="AN82" s="59">
        <f ca="1">AVERAGE(OFFSET($AM$3,0,0,'Données projet'!$E$10+1,1))-AVERAGE(OFFSET($H$3,0,0,'Données projet'!$E$10+1,1))</f>
        <v>158.58786357608489</v>
      </c>
      <c r="AO82" s="59">
        <f t="shared" si="90"/>
        <v>163.20074068819849</v>
      </c>
      <c r="AP82" s="15">
        <f>IF(ISNA(VLOOKUP(A82,'Données projet'!$A$61:$I$81,3,0)),0,VLOOKUP(A82,'Données projet'!$A$61:$I$81,3,0))</f>
        <v>6</v>
      </c>
      <c r="AQ82" s="15">
        <f>IF(ISNA(VLOOKUP(A82,'Données projet'!$A$61:$I$81,4,0)),0,VLOOKUP(A82,'Données projet'!$A$61:$I$81,4,0))</f>
        <v>77.338461538461544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0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-1.7053025658242404E-13</v>
      </c>
      <c r="BE82" s="13">
        <f>BD82*VLOOKUP('Données projet'!$B$11,Paramètres!$A$1:$I$89,3,0)*VLOOKUP('Données projet'!$B$11,Paramètres!$A$1:$I$89,5,0)</f>
        <v>-1.0197709343628959E-13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243.85350804244348</v>
      </c>
      <c r="BJ82" s="59">
        <f t="shared" si="92"/>
        <v>304.60992308960545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1.7149712049952361</v>
      </c>
      <c r="BQ82" s="21">
        <f>EXP(-LN(2)/25)*BQ81+(1-EXP(-LN(2)/25))/(LN(2)/25)*Calculateur!BL82*Calculateur!BN82*VLOOKUP('Données projet'!$B$11,Paramètres!$A$1:$I$89,3,0)*0.475*44/12</f>
        <v>4.5568320000400986</v>
      </c>
      <c r="BR82" s="21">
        <f>EXP(-LN(2)/2)*BR81+(1-EXP(-LN(2)/2))/(LN(2)/2)*BL82*BO82*VLOOKUP('Données projet'!$B$11,Paramètres!$A$1:$I$89,3,0)*0.475*44/12</f>
        <v>1.5755446714432582E-7</v>
      </c>
      <c r="BS82" s="22">
        <f t="shared" si="63"/>
        <v>6.271803362589802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12.5</v>
      </c>
      <c r="BY82" s="12">
        <f>IF('Données projet'!$A$114&gt;35,BY81+BX82-CG81,IF(A82&lt;'Données projet'!$A$114,$BV$205^A82,IF(A82='Données projet'!$A$114,'Données projet'!$B$114,BY81+BX82-CG81)))</f>
        <v>524.50000000000023</v>
      </c>
      <c r="BZ82" s="13">
        <f>BY82*VLOOKUP('Données projet'!$B$12,Paramètres!$A$1:$I$89,3,0)*VLOOKUP('Données projet'!$B$12,Paramètres!$A$1:$I$89,5,0)</f>
        <v>313.65100000000018</v>
      </c>
      <c r="CA82" s="13">
        <f t="shared" si="93"/>
        <v>74.030783927316818</v>
      </c>
      <c r="CB82" s="20">
        <f t="shared" si="64"/>
        <v>675.21244034007702</v>
      </c>
      <c r="CC82" s="59">
        <f t="shared" si="65"/>
        <v>968.54577367341039</v>
      </c>
      <c r="CD82" s="59">
        <f ca="1">AVERAGE(OFFSET($CC$3,0,0,'Données projet'!$E$12+1,1))-AVERAGE(OFFSET($H$3,0,0,'Données projet'!$E$12+1,1))</f>
        <v>270.30888762640245</v>
      </c>
      <c r="CE82" s="59">
        <f t="shared" si="94"/>
        <v>202.23783851977691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0.8116173280454565</v>
      </c>
      <c r="CL82" s="21">
        <f>EXP(-LN(2)/25)*CL81+(1-EXP(-LN(2)/25))/(LN(2)/25)*Calculateur!CG82*Calculateur!CI82*VLOOKUP('Données projet'!$B$12,Paramètres!$A$1:$I$89,3,0)*0.475*44/12</f>
        <v>3.1602183808738435</v>
      </c>
      <c r="CM82" s="21">
        <f>EXP(-LN(2)/2)*CM81+(1-EXP(-LN(2)/2))/(LN(2)/2)*CG82*CJ82*VLOOKUP('Données projet'!$B$12,Paramètres!$A$1:$I$89,3,0)*0.475*44/12</f>
        <v>7.7940517266489675E-7</v>
      </c>
      <c r="CN82" s="22">
        <f t="shared" si="66"/>
        <v>3.971836488324473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3.9</v>
      </c>
      <c r="CT82" s="12">
        <f>IF('Données projet'!$A$140&gt;35,CT81+CS82-DB81,IF(A82&lt;'Données projet'!$A$140,$CQ$205^A82,IF(A82='Données projet'!$A$140,'Données projet'!$B$140,CT81+CS82-DB81)))</f>
        <v>338.09999999999951</v>
      </c>
      <c r="CU82" s="17">
        <f>CT82*VLOOKUP('Données projet'!$B$13,Paramètres!$A$1:$I$89,3,0)*VLOOKUP('Données projet'!$B$13,Paramètres!$A$1:$I$89,5,0)</f>
        <v>268.99235999999962</v>
      </c>
      <c r="CV82" s="13">
        <f t="shared" si="95"/>
        <v>64.63537613607356</v>
      </c>
      <c r="CW82" s="20">
        <f t="shared" si="67"/>
        <v>581.06830710366069</v>
      </c>
      <c r="CX82" s="59">
        <f t="shared" si="68"/>
        <v>874.40164043699406</v>
      </c>
      <c r="CY82" s="59">
        <f ca="1">AVERAGE(OFFSET($CX$3,0,0,'Données projet'!$E$13+1,1))-AVERAGE(OFFSET($H$3,0,0,'Données projet'!$E$13+1,1))</f>
        <v>260.20517190557814</v>
      </c>
      <c r="CZ82" s="59">
        <f t="shared" si="96"/>
        <v>307.22009971147133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1.2364421468557238</v>
      </c>
      <c r="DG82" s="21">
        <f>EXP(-LN(2)/25)*DG81+(1-EXP(-LN(2)/25))/(LN(2)/25)*Calculateur!DB82*Calculateur!DD82*VLOOKUP('Données projet'!$B$13,Paramètres!$A$1:$I$89,3,0)*0.475*44/12</f>
        <v>5.2741218197133231</v>
      </c>
      <c r="DH82" s="21">
        <f>EXP(-LN(2)/2)*DH81+(1-EXP(-LN(2)/2))/(LN(2)/2)*DB82*DE82*VLOOKUP('Données projet'!$B$13,Paramètres!$A$1:$I$89,3,0)*0.475*44/12</f>
        <v>1.013169534999154E-6</v>
      </c>
      <c r="DI82" s="22">
        <f t="shared" si="69"/>
        <v>6.5105649797385814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7.8425925925925934</v>
      </c>
      <c r="DO82" s="12">
        <f>IF('Données projet'!$A$166&gt;35,DO81+DN82-DW81,IF(A82&lt;'Données projet'!$A$166,$DL$205^A82,IF(A82='Données projet'!$A$166,'Données projet'!$B$166,DO81+DN82-DW81)))</f>
        <v>266.17022792022789</v>
      </c>
      <c r="DP82" s="17">
        <f>DO82*VLOOKUP('Données projet'!$B$14,Paramètres!$A$1:$I$89,3,0)*VLOOKUP('Données projet'!$B$14,Paramètres!$A$1:$I$89,5,0)</f>
        <v>269.8966111111111</v>
      </c>
      <c r="DQ82" s="13">
        <f t="shared" si="97"/>
        <v>64.827327067191803</v>
      </c>
      <c r="DR82" s="20">
        <f t="shared" si="70"/>
        <v>582.97752566054419</v>
      </c>
      <c r="DS82" s="59">
        <f t="shared" si="71"/>
        <v>876.31085899387745</v>
      </c>
      <c r="DT82" s="59">
        <f ca="1">AVERAGE(OFFSET($DS$3,0,0,'Données projet'!$E$14+1,1))-AVERAGE(OFFSET($H$3,0,0,'Données projet'!$E$14+1,1))</f>
        <v>263.15518481854753</v>
      </c>
      <c r="DU82" s="59">
        <f t="shared" si="98"/>
        <v>210.80755370263819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0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3.9</v>
      </c>
      <c r="EJ82" s="12">
        <f>IF('Données projet'!$A$192&gt;35,EJ81+EI82-ER81,IF(A82&lt;'Données projet'!$A$192,$EG$205^A82,IF(A82='Données projet'!$A$192,'Données projet'!$B$192,EJ81+EI82-ER81)))</f>
        <v>338.09999999999951</v>
      </c>
      <c r="EK82" s="17">
        <f>EJ82*VLOOKUP('Données projet'!$B$15,Paramètres!$A$1:$I$89,3,0)*VLOOKUP('Données projet'!$B$15,Paramètres!$A$1:$I$89,5,0)</f>
        <v>226.79747999999967</v>
      </c>
      <c r="EL82" s="13">
        <f t="shared" si="99"/>
        <v>55.589657749663466</v>
      </c>
      <c r="EM82" s="20">
        <f t="shared" si="73"/>
        <v>491.82426491399656</v>
      </c>
      <c r="EN82" s="59">
        <f t="shared" si="74"/>
        <v>785.15759824732982</v>
      </c>
      <c r="EO82" s="59">
        <f ca="1">AVERAGE(OFFSET($EN$3,0,0,'Données projet'!$E$15+1,1))-AVERAGE(OFFSET($H$3,0,0,'Données projet'!$E$15+1,1))</f>
        <v>207.93042467236967</v>
      </c>
      <c r="EP82" s="59">
        <f t="shared" si="100"/>
        <v>250.70954318710835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1.0424904375450208</v>
      </c>
      <c r="EW82" s="21">
        <f>EXP(-LN(2)/25)*EW81+(1-EXP(-LN(2)/25))/(LN(2)/25)*Calculateur!ER82*Calculateur!ET82*VLOOKUP('Données projet'!$B$15,Paramètres!$A$1:$I$89,3,0)*0.475*44/12</f>
        <v>4.4468085930916308</v>
      </c>
      <c r="EX82" s="21">
        <f>EXP(-LN(2)/2)*EX81+(1-EXP(-LN(2)/2))/(LN(2)/2)*ER82*EU82*VLOOKUP('Données projet'!$B$15,Paramètres!$A$1:$I$89,3,0)*0.475*44/12</f>
        <v>8.5424098048948278E-7</v>
      </c>
      <c r="EY82" s="22">
        <f t="shared" si="75"/>
        <v>5.4892998848776315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7.8425925925925934</v>
      </c>
      <c r="FE82" s="12">
        <f>IF('Données projet'!$A$218&gt;35,FE81+FD82-FM81,IF(A82&lt;'Données projet'!$A$218,$FB$205^A82,IF(A82='Données projet'!$A$218,'Données projet'!$B$218,FE81+FD82-FM81)))</f>
        <v>266.17022792022789</v>
      </c>
      <c r="FF82" s="17">
        <f>FE82*VLOOKUP('Données projet'!$B$16,Paramètres!$A$1:$I$89,3,0)*VLOOKUP('Données projet'!$B$16,Paramètres!$A$1:$I$89,5,0)</f>
        <v>286.50563333333326</v>
      </c>
      <c r="FG82" s="13">
        <f t="shared" si="101"/>
        <v>68.339992999042508</v>
      </c>
      <c r="FH82" s="20">
        <f t="shared" si="76"/>
        <v>618.02279919555451</v>
      </c>
      <c r="FI82" s="59">
        <f t="shared" si="77"/>
        <v>911.35613252888788</v>
      </c>
      <c r="FJ82" s="59">
        <f ca="1">AVERAGE(OFFSET($FI$3,0,0,'Données projet'!$E$16+1,1))-AVERAGE(OFFSET($H$3,0,0,'Données projet'!$E$16+1,1))</f>
        <v>286.77702855541287</v>
      </c>
      <c r="FK82" s="59">
        <f t="shared" si="102"/>
        <v>227.12211541860779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0</v>
      </c>
      <c r="FR82" s="21">
        <f>EXP(-LN(2)/25)*FR81+(1-EXP(-LN(2)/25))/(LN(2)/25)*Calculateur!FM82*Calculateur!FO82*VLOOKUP('Données projet'!$B$16,Paramètres!$A$1:$I$89,3,0)*0.475*44/12</f>
        <v>0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0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9.52371794871795</v>
      </c>
      <c r="FZ82" s="12">
        <f>IF('Données projet'!$A$244&gt;35,FZ81+FY82-GH81,IF(A82&lt;'Données projet'!$A$244,$FW$205^A82,IF(A82='Données projet'!$A$244,'Données projet'!$B$244,FZ81+FY82-GH81)))</f>
        <v>321.68846153846141</v>
      </c>
      <c r="GA82" s="17">
        <f>FZ82*VLOOKUP('Données projet'!$B$17,Paramètres!$A$1:$I$89,3,0)*VLOOKUP('Données projet'!$B$17,Paramètres!$A$1:$I$89,5,0)</f>
        <v>150.55019999999993</v>
      </c>
      <c r="GB82" s="13">
        <f t="shared" si="103"/>
        <v>38.703593889379775</v>
      </c>
      <c r="GC82" s="20">
        <f t="shared" si="79"/>
        <v>329.61702435733633</v>
      </c>
      <c r="GD82" s="59">
        <f t="shared" si="80"/>
        <v>622.95035769066965</v>
      </c>
      <c r="GE82" s="59">
        <f ca="1">AVERAGE(OFFSET($GD$3,0,0,'Données projet'!$E$17+1,1))-AVERAGE(OFFSET($H$3,0,0,'Données projet'!$E$17+1,1))</f>
        <v>123.2823358462245</v>
      </c>
      <c r="GF82" s="59">
        <f t="shared" si="104"/>
        <v>92.75115399786057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0</v>
      </c>
      <c r="GM82" s="21">
        <f>EXP(-LN(2)/25)*GM81+(1-EXP(-LN(2)/25))/(LN(2)/25)*Calculateur!GH82*Calculateur!GJ82*VLOOKUP('Données projet'!$B$17,Paramètres!$A$1:$I$89,3,0)*0.475*44/12</f>
        <v>0</v>
      </c>
      <c r="GN82" s="21">
        <f>EXP(-LN(2)/2)*GN81+(1-EXP(-LN(2)/2))/(LN(2)/2)*GH82*GK82*VLOOKUP('Données projet'!$B$17,Paramètres!$A$1:$I$89,3,0)*0.475*44/12</f>
        <v>0</v>
      </c>
      <c r="GO82" s="21">
        <f t="shared" si="81"/>
        <v>0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-2.8421709430404007E-13</v>
      </c>
      <c r="GV82" s="17">
        <f>GU82*VLOOKUP('Données projet'!$B$18,Paramètres!$A$1:$I$89,3,0)*VLOOKUP('Données projet'!$B$18,Paramètres!$A$1:$I$89,5,0)</f>
        <v>-1.69961822393816E-13</v>
      </c>
      <c r="GW82" s="13" t="e">
        <f t="shared" si="105"/>
        <v>#NUM!</v>
      </c>
      <c r="GX82" s="20" t="e">
        <f t="shared" si="82"/>
        <v>#NUM!</v>
      </c>
      <c r="GY82" s="59" t="e">
        <f t="shared" si="83"/>
        <v>#NUM!</v>
      </c>
      <c r="GZ82" s="59">
        <f ca="1">AVERAGE(OFFSET($GY$3,0,0,'Données projet'!$E$18+1,1))-AVERAGE(OFFSET($H$3,0,0,'Données projet'!$E$18+1,1))</f>
        <v>171.96009656745713</v>
      </c>
      <c r="HA82" s="59">
        <f t="shared" si="106"/>
        <v>172.37574906747716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>
        <f>EXP(-LN(2)/35)*HG81+(1-EXP(-LN(2)/35))/(LN(2)/35)*HC82*HD82*VLOOKUP('Données projet'!$B$18,Paramètres!$A$1:$I$89,3,0)*0.475*44/12</f>
        <v>0.63207303039845608</v>
      </c>
      <c r="HH82" s="21">
        <f>EXP(-LN(2)/25)*HH81+(1-EXP(-LN(2)/25))/(LN(2)/25)*Calculateur!HC82*Calculateur!HE82*VLOOKUP('Données projet'!$B$18,Paramètres!$A$1:$I$89,3,0)*0.475*44/12</f>
        <v>5.2837264066176086</v>
      </c>
      <c r="HI82" s="21">
        <f>EXP(-LN(2)/2)*HI81+(1-EXP(-LN(2)/2))/(LN(2)/2)*HC82*HF82*VLOOKUP('Données projet'!$B$18,Paramètres!$A$1:$I$89,3,0)*0.475*44/12</f>
        <v>5.0764282844770959E-7</v>
      </c>
      <c r="HJ82" s="22">
        <f t="shared" si="84"/>
        <v>5.9157999446588931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-2.2737367544323206E-13</v>
      </c>
      <c r="O83" s="13">
        <f>N83*VLOOKUP('Données projet'!$B$9,Paramètres!$A$1:$I$89,3,0)*VLOOKUP('Données projet'!$B$9,Paramètres!$A$1:$I$89,5,0)</f>
        <v>-1.2710188457276673E-13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255.5374979188561</v>
      </c>
      <c r="T83" s="59">
        <f t="shared" si="88"/>
        <v>343.10418468620901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1.1479457627949394</v>
      </c>
      <c r="AA83" s="21">
        <f>EXP(-LN(2)/25)*AA82+(1-EXP(-LN(2)/25))/(LN(2)/25)*Calculateur!V83*Calculateur!X83*VLOOKUP('Données projet'!$B$9,Paramètres!$A$1:$I$89,3,0)*0.475*44/12</f>
        <v>3.9900647825670048</v>
      </c>
      <c r="AB83" s="21">
        <f>EXP(-LN(2)/2)*AB82+(1-EXP(-LN(2)/2))/(LN(2)/2)*V83*Y83*VLOOKUP('Données projet'!$B$9,Paramètres!$A$1:$I$89,3,0)*0.475*44/12</f>
        <v>5.0444962962092937E-8</v>
      </c>
      <c r="AC83" s="22">
        <f t="shared" si="57"/>
        <v>5.1380105958069073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12.124038461538468</v>
      </c>
      <c r="AI83" s="13">
        <f>IF('Données projet'!$A$62&gt;35,AI82+AH83-AQ82,IF(A83&lt;'Données projet'!$A$62,$AF$205^A83,IF(A83='Données projet'!$A$62,'Données projet'!$B$62,AI82+AH83-AQ82)))</f>
        <v>371.64711538461552</v>
      </c>
      <c r="AJ83" s="13">
        <f>AI83*VLOOKUP('Données projet'!$B$10,Paramètres!$A$1:$I$89,3,0)*VLOOKUP('Données projet'!$B$10,Paramètres!$A$1:$I$89,5,0)</f>
        <v>173.93085000000008</v>
      </c>
      <c r="AK83" s="13">
        <f t="shared" si="89"/>
        <v>43.969228534222836</v>
      </c>
      <c r="AL83" s="20">
        <f t="shared" si="58"/>
        <v>379.50930344710491</v>
      </c>
      <c r="AM83" s="59">
        <f t="shared" si="59"/>
        <v>672.84263678043817</v>
      </c>
      <c r="AN83" s="59">
        <f ca="1">AVERAGE(OFFSET($AM$3,0,0,'Données projet'!$E$10+1,1))-AVERAGE(OFFSET($H$3,0,0,'Données projet'!$E$10+1,1))</f>
        <v>158.58786357608489</v>
      </c>
      <c r="AO83" s="59">
        <f t="shared" si="90"/>
        <v>163.20074068819849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0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-1.7053025658242404E-13</v>
      </c>
      <c r="BE83" s="13">
        <f>BD83*VLOOKUP('Données projet'!$B$11,Paramètres!$A$1:$I$89,3,0)*VLOOKUP('Données projet'!$B$11,Paramètres!$A$1:$I$89,5,0)</f>
        <v>-1.0197709343628959E-13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243.85350804244348</v>
      </c>
      <c r="BJ83" s="59">
        <f t="shared" si="92"/>
        <v>304.60992308960545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1.6813416656944278</v>
      </c>
      <c r="BQ83" s="21">
        <f>EXP(-LN(2)/25)*BQ82+(1-EXP(-LN(2)/25))/(LN(2)/25)*Calculateur!BL83*Calculateur!BN83*VLOOKUP('Données projet'!$B$11,Paramètres!$A$1:$I$89,3,0)*0.475*44/12</f>
        <v>4.4322251893656217</v>
      </c>
      <c r="BR83" s="21">
        <f>EXP(-LN(2)/2)*BR82+(1-EXP(-LN(2)/2))/(LN(2)/2)*BL83*BO83*VLOOKUP('Données projet'!$B$11,Paramètres!$A$1:$I$89,3,0)*0.475*44/12</f>
        <v>1.1140783212398589E-7</v>
      </c>
      <c r="BS83" s="22">
        <f t="shared" si="63"/>
        <v>6.1135669664678822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537</v>
      </c>
      <c r="BW83" s="12">
        <f>VLOOKUP(A83,'Données projet'!$A$113:$I$133,9,0)</f>
        <v>12.5</v>
      </c>
      <c r="BX83" s="12">
        <f t="array" ref="BX83">INDEX(BW:BW,MIN(IF(ISNUMBER(BW83:BW279),ROW(BW83:BW279),"")))</f>
        <v>12.5</v>
      </c>
      <c r="BY83" s="12">
        <f>IF('Données projet'!$A$114&gt;35,BY82+BX83-CG82,IF(A83&lt;'Données projet'!$A$114,$BV$205^A83,IF(A83='Données projet'!$A$114,'Données projet'!$B$114,BY82+BX83-CG82)))</f>
        <v>537.00000000000023</v>
      </c>
      <c r="BZ83" s="13">
        <f>BY83*VLOOKUP('Données projet'!$B$12,Paramètres!$A$1:$I$89,3,0)*VLOOKUP('Données projet'!$B$12,Paramètres!$A$1:$I$89,5,0)</f>
        <v>321.12600000000015</v>
      </c>
      <c r="CA83" s="13">
        <f t="shared" si="93"/>
        <v>75.587591944000323</v>
      </c>
      <c r="CB83" s="20">
        <f t="shared" si="64"/>
        <v>690.94283930246741</v>
      </c>
      <c r="CC83" s="59">
        <f t="shared" si="65"/>
        <v>984.27617263580078</v>
      </c>
      <c r="CD83" s="59">
        <f ca="1">AVERAGE(OFFSET($CC$3,0,0,'Données projet'!$E$12+1,1))-AVERAGE(OFFSET($H$3,0,0,'Données projet'!$E$12+1,1))</f>
        <v>270.30888762640245</v>
      </c>
      <c r="CE83" s="59">
        <f t="shared" si="94"/>
        <v>202.23783851977691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78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0.79570200728017426</v>
      </c>
      <c r="CL83" s="21">
        <f>EXP(-LN(2)/25)*CL82+(1-EXP(-LN(2)/25))/(LN(2)/25)*Calculateur!CG83*Calculateur!CI83*VLOOKUP('Données projet'!$B$12,Paramètres!$A$1:$I$89,3,0)*0.475*44/12</f>
        <v>3.0738020430601862</v>
      </c>
      <c r="CM83" s="21">
        <f>EXP(-LN(2)/2)*CM82+(1-EXP(-LN(2)/2))/(LN(2)/2)*CG83*CJ83*VLOOKUP('Données projet'!$B$12,Paramètres!$A$1:$I$89,3,0)*0.475*44/12</f>
        <v>5.5112268288322043E-7</v>
      </c>
      <c r="CN83" s="22">
        <f t="shared" si="66"/>
        <v>3.8695046014630434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342</v>
      </c>
      <c r="CR83" s="12">
        <f>VLOOKUP(A83,'Données projet'!$A$139:$I$159,9,0)</f>
        <v>3.9</v>
      </c>
      <c r="CS83" s="12">
        <f t="array" ref="CS83">INDEX(CR:CR,MIN(IF(ISNUMBER(CR83:CR279),ROW(CR83:CR279),"")))</f>
        <v>3.9</v>
      </c>
      <c r="CT83" s="12">
        <f>IF('Données projet'!$A$140&gt;35,CT82+CS83-DB82,IF(A83&lt;'Données projet'!$A$140,$CQ$205^A83,IF(A83='Données projet'!$A$140,'Données projet'!$B$140,CT82+CS83-DB82)))</f>
        <v>341.99999999999949</v>
      </c>
      <c r="CU83" s="17">
        <f>CT83*VLOOKUP('Données projet'!$B$13,Paramètres!$A$1:$I$89,3,0)*VLOOKUP('Données projet'!$B$13,Paramètres!$A$1:$I$89,5,0)</f>
        <v>272.09519999999958</v>
      </c>
      <c r="CV83" s="13">
        <f t="shared" si="95"/>
        <v>65.293723364568322</v>
      </c>
      <c r="CW83" s="20">
        <f t="shared" si="67"/>
        <v>587.61904152662237</v>
      </c>
      <c r="CX83" s="59">
        <f t="shared" si="68"/>
        <v>880.95237485995563</v>
      </c>
      <c r="CY83" s="59">
        <f ca="1">AVERAGE(OFFSET($CX$3,0,0,'Données projet'!$E$13+1,1))-AVERAGE(OFFSET($H$3,0,0,'Données projet'!$E$13+1,1))</f>
        <v>260.20517190557814</v>
      </c>
      <c r="CZ83" s="59">
        <f t="shared" si="96"/>
        <v>307.22009971147133</v>
      </c>
      <c r="DA83" s="15">
        <f>IF(ISNA(VLOOKUP(A83,'Données projet'!$A$139:$I$159,3,0)),0,VLOOKUP(A83,'Données projet'!$A$139:$I$159,3,0))</f>
        <v>7</v>
      </c>
      <c r="DB83" s="15">
        <f>IF(ISNA(VLOOKUP(A83,'Données projet'!$A$139:$I$159,4,0)),0,VLOOKUP(A83,'Données projet'!$A$139:$I$159,4,0))</f>
        <v>342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1.212196270511126</v>
      </c>
      <c r="DG83" s="21">
        <f>EXP(-LN(2)/25)*DG82+(1-EXP(-LN(2)/25))/(LN(2)/25)*Calculateur!DB83*Calculateur!DD83*VLOOKUP('Données projet'!$B$13,Paramètres!$A$1:$I$89,3,0)*0.475*44/12</f>
        <v>5.12990068119925</v>
      </c>
      <c r="DH83" s="21">
        <f>EXP(-LN(2)/2)*DH82+(1-EXP(-LN(2)/2))/(LN(2)/2)*DB83*DE83*VLOOKUP('Données projet'!$B$13,Paramètres!$A$1:$I$89,3,0)*0.475*44/12</f>
        <v>7.1641904868952293E-7</v>
      </c>
      <c r="DI83" s="22">
        <f t="shared" si="69"/>
        <v>6.3420976681294245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274.0128205128205</v>
      </c>
      <c r="DM83" s="12">
        <f>VLOOKUP(A83,'Données projet'!$A$165:$I$185,9,0)</f>
        <v>7.8425925925925934</v>
      </c>
      <c r="DN83" s="12">
        <f t="array" ref="DN83">INDEX(DM:DM,MIN(IF(ISNUMBER(DM83:DM279),ROW(DM83:DM279),"")))</f>
        <v>7.8425925925925934</v>
      </c>
      <c r="DO83" s="12">
        <f>IF('Données projet'!$A$166&gt;35,DO82+DN83-DW82,IF(A83&lt;'Données projet'!$A$166,$DL$205^A83,IF(A83='Données projet'!$A$166,'Données projet'!$B$166,DO82+DN83-DW82)))</f>
        <v>274.0128205128205</v>
      </c>
      <c r="DP83" s="17">
        <f>DO83*VLOOKUP('Données projet'!$B$14,Paramètres!$A$1:$I$89,3,0)*VLOOKUP('Données projet'!$B$14,Paramètres!$A$1:$I$89,5,0)</f>
        <v>277.84899999999999</v>
      </c>
      <c r="DQ83" s="13">
        <f t="shared" si="97"/>
        <v>66.512236926053788</v>
      </c>
      <c r="DR83" s="20">
        <f t="shared" si="70"/>
        <v>599.76248764621027</v>
      </c>
      <c r="DS83" s="59">
        <f t="shared" si="71"/>
        <v>893.09582097954353</v>
      </c>
      <c r="DT83" s="59">
        <f ca="1">AVERAGE(OFFSET($DS$3,0,0,'Données projet'!$E$14+1,1))-AVERAGE(OFFSET($H$3,0,0,'Données projet'!$E$14+1,1))</f>
        <v>263.15518481854753</v>
      </c>
      <c r="DU83" s="59">
        <f t="shared" si="98"/>
        <v>210.80755370263819</v>
      </c>
      <c r="DV83" s="15">
        <f>IF(ISNA(VLOOKUP(A83,'Données projet'!$A$165:$I$185,3,0)),0,VLOOKUP(A83,'Données projet'!$A$165:$I$185,3,0))</f>
        <v>7</v>
      </c>
      <c r="DW83" s="15">
        <f>IF(ISNA(VLOOKUP(A83,'Données projet'!$A$165:$I$185,4,0)),0,VLOOKUP(A83,'Données projet'!$A$165:$I$185,4,0))</f>
        <v>45.608974358974358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0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342</v>
      </c>
      <c r="EH83" s="12">
        <f>VLOOKUP(A83,'Données projet'!$A$191:$I$211,9,0)</f>
        <v>3.9</v>
      </c>
      <c r="EI83" s="12">
        <f t="array" ref="EI83">INDEX(EH:EH,MIN(IF(ISNUMBER(EH83:EH279),ROW(EH83:EH279),"")))</f>
        <v>3.9</v>
      </c>
      <c r="EJ83" s="12">
        <f>IF('Données projet'!$A$192&gt;35,EJ82+EI83-ER82,IF(A83&lt;'Données projet'!$A$192,$EG$205^A83,IF(A83='Données projet'!$A$192,'Données projet'!$B$192,EJ82+EI83-ER82)))</f>
        <v>341.99999999999949</v>
      </c>
      <c r="EK83" s="17">
        <f>EJ83*VLOOKUP('Données projet'!$B$15,Paramètres!$A$1:$I$89,3,0)*VLOOKUP('Données projet'!$B$15,Paramètres!$A$1:$I$89,5,0)</f>
        <v>229.41359999999966</v>
      </c>
      <c r="EL83" s="13">
        <f t="shared" si="99"/>
        <v>56.155869309033378</v>
      </c>
      <c r="EM83" s="20">
        <f t="shared" si="73"/>
        <v>497.36682571323246</v>
      </c>
      <c r="EN83" s="59">
        <f t="shared" si="74"/>
        <v>790.70015904656577</v>
      </c>
      <c r="EO83" s="59">
        <f ca="1">AVERAGE(OFFSET($EN$3,0,0,'Données projet'!$E$15+1,1))-AVERAGE(OFFSET($H$3,0,0,'Données projet'!$E$15+1,1))</f>
        <v>207.93042467236967</v>
      </c>
      <c r="EP83" s="59">
        <f t="shared" si="100"/>
        <v>250.70954318710835</v>
      </c>
      <c r="EQ83" s="15">
        <f>IF(ISNA(VLOOKUP(A83,'Données projet'!$A$191:$I$211,3,0)),0,VLOOKUP(A83,'Données projet'!$A$191:$I$211,3,0))</f>
        <v>7</v>
      </c>
      <c r="ER83" s="15">
        <f>IF(ISNA(VLOOKUP(A83,'Données projet'!$A$191:$I$211,4,0)),0,VLOOKUP(A83,'Données projet'!$A$191:$I$211,4,0))</f>
        <v>342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1.0220478359211442</v>
      </c>
      <c r="EW83" s="21">
        <f>EXP(-LN(2)/25)*EW82+(1-EXP(-LN(2)/25))/(LN(2)/25)*Calculateur!ER83*Calculateur!ET83*VLOOKUP('Données projet'!$B$15,Paramètres!$A$1:$I$89,3,0)*0.475*44/12</f>
        <v>4.3252103782660392</v>
      </c>
      <c r="EX83" s="21">
        <f>EXP(-LN(2)/2)*EX82+(1-EXP(-LN(2)/2))/(LN(2)/2)*ER83*EU83*VLOOKUP('Données projet'!$B$15,Paramètres!$A$1:$I$89,3,0)*0.475*44/12</f>
        <v>6.040395900715585E-7</v>
      </c>
      <c r="EY83" s="22">
        <f t="shared" si="75"/>
        <v>5.3472588182267735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274.0128205128205</v>
      </c>
      <c r="FC83" s="12">
        <f>VLOOKUP(A83,'Données projet'!$A$217:$I$237,9,0)</f>
        <v>7.8425925925925934</v>
      </c>
      <c r="FD83" s="12">
        <f t="array" ref="FD83">INDEX(FC:FC,MIN(IF(ISNUMBER(FC83:FC279),ROW(FC83:FC279),"")))</f>
        <v>7.8425925925925934</v>
      </c>
      <c r="FE83" s="12">
        <f>IF('Données projet'!$A$218&gt;35,FE82+FD83-FM82,IF(A83&lt;'Données projet'!$A$218,$FB$205^A83,IF(A83='Données projet'!$A$218,'Données projet'!$B$218,FE82+FD83-FM82)))</f>
        <v>274.0128205128205</v>
      </c>
      <c r="FF83" s="17">
        <f>FE83*VLOOKUP('Données projet'!$B$16,Paramètres!$A$1:$I$89,3,0)*VLOOKUP('Données projet'!$B$16,Paramètres!$A$1:$I$89,5,0)</f>
        <v>294.94739999999996</v>
      </c>
      <c r="FG83" s="13">
        <f t="shared" si="101"/>
        <v>70.116199626215334</v>
      </c>
      <c r="FH83" s="20">
        <f t="shared" si="76"/>
        <v>635.81910268232502</v>
      </c>
      <c r="FI83" s="59">
        <f t="shared" si="77"/>
        <v>929.1524360156584</v>
      </c>
      <c r="FJ83" s="59">
        <f ca="1">AVERAGE(OFFSET($FI$3,0,0,'Données projet'!$E$16+1,1))-AVERAGE(OFFSET($H$3,0,0,'Données projet'!$E$16+1,1))</f>
        <v>286.77702855541287</v>
      </c>
      <c r="FK83" s="59">
        <f t="shared" si="102"/>
        <v>227.12211541860779</v>
      </c>
      <c r="FL83" s="15">
        <f>IF(ISNA(VLOOKUP(A83,'Données projet'!$A$217:$I$237,3,0)),0,VLOOKUP(A83,'Données projet'!$A$217:$I$237,3,0))</f>
        <v>7</v>
      </c>
      <c r="FM83" s="15">
        <f>IF(ISNA(VLOOKUP(A83,'Données projet'!$A$217:$I$237,4,0)),0,VLOOKUP(A83,'Données projet'!$A$217:$I$237,4,0))</f>
        <v>45.608974358974358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0</v>
      </c>
      <c r="FR83" s="21">
        <f>EXP(-LN(2)/25)*FR82+(1-EXP(-LN(2)/25))/(LN(2)/25)*Calculateur!FM83*Calculateur!FO83*VLOOKUP('Données projet'!$B$16,Paramètres!$A$1:$I$89,3,0)*0.475*44/12</f>
        <v>0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0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9.52371794871795</v>
      </c>
      <c r="FZ83" s="12">
        <f>IF('Données projet'!$A$244&gt;35,FZ82+FY83-GH82,IF(A83&lt;'Données projet'!$A$244,$FW$205^A83,IF(A83='Données projet'!$A$244,'Données projet'!$B$244,FZ82+FY83-GH82)))</f>
        <v>331.21217948717936</v>
      </c>
      <c r="GA83" s="17">
        <f>FZ83*VLOOKUP('Données projet'!$B$17,Paramètres!$A$1:$I$89,3,0)*VLOOKUP('Données projet'!$B$17,Paramètres!$A$1:$I$89,5,0)</f>
        <v>155.00729999999993</v>
      </c>
      <c r="GB83" s="13">
        <f t="shared" si="103"/>
        <v>39.714328701221483</v>
      </c>
      <c r="GC83" s="20">
        <f t="shared" si="79"/>
        <v>339.14016998796063</v>
      </c>
      <c r="GD83" s="59">
        <f t="shared" si="80"/>
        <v>632.47350332129395</v>
      </c>
      <c r="GE83" s="59">
        <f ca="1">AVERAGE(OFFSET($GD$3,0,0,'Données projet'!$E$17+1,1))-AVERAGE(OFFSET($H$3,0,0,'Données projet'!$E$17+1,1))</f>
        <v>123.2823358462245</v>
      </c>
      <c r="GF83" s="59">
        <f t="shared" si="104"/>
        <v>92.75115399786057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0</v>
      </c>
      <c r="GM83" s="21">
        <f>EXP(-LN(2)/25)*GM82+(1-EXP(-LN(2)/25))/(LN(2)/25)*Calculateur!GH83*Calculateur!GJ83*VLOOKUP('Données projet'!$B$17,Paramètres!$A$1:$I$89,3,0)*0.475*44/12</f>
        <v>0</v>
      </c>
      <c r="GN83" s="21">
        <f>EXP(-LN(2)/2)*GN82+(1-EXP(-LN(2)/2))/(LN(2)/2)*GH83*GK83*VLOOKUP('Données projet'!$B$17,Paramètres!$A$1:$I$89,3,0)*0.475*44/12</f>
        <v>0</v>
      </c>
      <c r="GO83" s="21">
        <f t="shared" si="81"/>
        <v>0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-2.8421709430404007E-13</v>
      </c>
      <c r="GV83" s="17">
        <f>GU83*VLOOKUP('Données projet'!$B$18,Paramètres!$A$1:$I$89,3,0)*VLOOKUP('Données projet'!$B$18,Paramètres!$A$1:$I$89,5,0)</f>
        <v>-1.69961822393816E-13</v>
      </c>
      <c r="GW83" s="13" t="e">
        <f t="shared" si="105"/>
        <v>#NUM!</v>
      </c>
      <c r="GX83" s="20" t="e">
        <f t="shared" si="82"/>
        <v>#NUM!</v>
      </c>
      <c r="GY83" s="59" t="e">
        <f t="shared" si="83"/>
        <v>#NUM!</v>
      </c>
      <c r="GZ83" s="59">
        <f ca="1">AVERAGE(OFFSET($GY$3,0,0,'Données projet'!$E$18+1,1))-AVERAGE(OFFSET($H$3,0,0,'Données projet'!$E$18+1,1))</f>
        <v>171.96009656745713</v>
      </c>
      <c r="HA83" s="59">
        <f t="shared" si="106"/>
        <v>172.37574906747716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>
        <f>EXP(-LN(2)/35)*HG82+(1-EXP(-LN(2)/35))/(LN(2)/35)*HC83*HD83*VLOOKUP('Données projet'!$B$18,Paramètres!$A$1:$I$89,3,0)*0.475*44/12</f>
        <v>0.6196784637988233</v>
      </c>
      <c r="HH83" s="21">
        <f>EXP(-LN(2)/25)*HH82+(1-EXP(-LN(2)/25))/(LN(2)/25)*Calculateur!HC83*Calculateur!HE83*VLOOKUP('Données projet'!$B$18,Paramètres!$A$1:$I$89,3,0)*0.475*44/12</f>
        <v>5.1392426301695542</v>
      </c>
      <c r="HI83" s="21">
        <f>EXP(-LN(2)/2)*HI82+(1-EXP(-LN(2)/2))/(LN(2)/2)*HC83*HF83*VLOOKUP('Données projet'!$B$18,Paramètres!$A$1:$I$89,3,0)*0.475*44/12</f>
        <v>3.5895768641609467E-7</v>
      </c>
      <c r="HJ83" s="22">
        <f t="shared" si="84"/>
        <v>5.7589214529260637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-2.2737367544323206E-13</v>
      </c>
      <c r="O84" s="13">
        <f>N84*VLOOKUP('Données projet'!$B$9,Paramètres!$A$1:$I$89,3,0)*VLOOKUP('Données projet'!$B$9,Paramètres!$A$1:$I$89,5,0)</f>
        <v>-1.2710188457276673E-13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255.5374979188561</v>
      </c>
      <c r="T84" s="59">
        <f t="shared" si="88"/>
        <v>343.10418468620901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1.1254352465643092</v>
      </c>
      <c r="AA84" s="21">
        <f>EXP(-LN(2)/25)*AA83+(1-EXP(-LN(2)/25))/(LN(2)/25)*Calculateur!V84*Calculateur!X84*VLOOKUP('Données projet'!$B$9,Paramètres!$A$1:$I$89,3,0)*0.475*44/12</f>
        <v>3.8809562512593225</v>
      </c>
      <c r="AB84" s="21">
        <f>EXP(-LN(2)/2)*AB83+(1-EXP(-LN(2)/2))/(LN(2)/2)*V84*Y84*VLOOKUP('Données projet'!$B$9,Paramètres!$A$1:$I$89,3,0)*0.475*44/12</f>
        <v>3.5669975387200144E-8</v>
      </c>
      <c r="AC84" s="22">
        <f t="shared" si="57"/>
        <v>5.0063915334936073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12.124038461538468</v>
      </c>
      <c r="AI84" s="13">
        <f>IF('Données projet'!$A$62&gt;35,AI83+AH84-AQ83,IF(A84&lt;'Données projet'!$A$62,$AF$205^A84,IF(A84='Données projet'!$A$62,'Données projet'!$B$62,AI83+AH84-AQ83)))</f>
        <v>383.77115384615399</v>
      </c>
      <c r="AJ84" s="13">
        <f>AI84*VLOOKUP('Données projet'!$B$10,Paramètres!$A$1:$I$89,3,0)*VLOOKUP('Données projet'!$B$10,Paramètres!$A$1:$I$89,5,0)</f>
        <v>179.60490000000007</v>
      </c>
      <c r="AK84" s="13">
        <f t="shared" si="89"/>
        <v>45.234272457213635</v>
      </c>
      <c r="AL84" s="20">
        <f t="shared" si="58"/>
        <v>391.59489202964716</v>
      </c>
      <c r="AM84" s="59">
        <f t="shared" si="59"/>
        <v>684.92822536298047</v>
      </c>
      <c r="AN84" s="59">
        <f ca="1">AVERAGE(OFFSET($AM$3,0,0,'Données projet'!$E$10+1,1))-AVERAGE(OFFSET($H$3,0,0,'Données projet'!$E$10+1,1))</f>
        <v>158.58786357608489</v>
      </c>
      <c r="AO84" s="59">
        <f t="shared" si="90"/>
        <v>163.20074068819849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0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-1.7053025658242404E-13</v>
      </c>
      <c r="BE84" s="13">
        <f>BD84*VLOOKUP('Données projet'!$B$11,Paramètres!$A$1:$I$89,3,0)*VLOOKUP('Données projet'!$B$11,Paramètres!$A$1:$I$89,5,0)</f>
        <v>-1.0197709343628959E-13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243.85350804244348</v>
      </c>
      <c r="BJ84" s="59">
        <f t="shared" si="92"/>
        <v>304.60992308960545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1.6483715811473147</v>
      </c>
      <c r="BQ84" s="21">
        <f>EXP(-LN(2)/25)*BQ83+(1-EXP(-LN(2)/25))/(LN(2)/25)*Calculateur!BL84*Calculateur!BN84*VLOOKUP('Données projet'!$B$11,Paramètres!$A$1:$I$89,3,0)*0.475*44/12</f>
        <v>4.3110257584818257</v>
      </c>
      <c r="BR84" s="21">
        <f>EXP(-LN(2)/2)*BR83+(1-EXP(-LN(2)/2))/(LN(2)/2)*BL84*BO84*VLOOKUP('Données projet'!$B$11,Paramètres!$A$1:$I$89,3,0)*0.475*44/12</f>
        <v>7.877723357216291E-8</v>
      </c>
      <c r="BS84" s="22">
        <f t="shared" si="63"/>
        <v>5.9593974184063736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10.8</v>
      </c>
      <c r="BY84" s="12">
        <f>IF('Données projet'!$A$114&gt;35,BY83+BX84-CG83,IF(A84&lt;'Données projet'!$A$114,$BV$205^A84,IF(A84='Données projet'!$A$114,'Données projet'!$B$114,BY83+BX84-CG83)))</f>
        <v>469.80000000000018</v>
      </c>
      <c r="BZ84" s="13">
        <f>BY84*VLOOKUP('Données projet'!$B$12,Paramètres!$A$1:$I$89,3,0)*VLOOKUP('Données projet'!$B$12,Paramètres!$A$1:$I$89,5,0)</f>
        <v>280.94040000000012</v>
      </c>
      <c r="CA84" s="13">
        <f t="shared" si="93"/>
        <v>67.165703636653262</v>
      </c>
      <c r="CB84" s="20">
        <f t="shared" si="64"/>
        <v>606.2847971671714</v>
      </c>
      <c r="CC84" s="59">
        <f t="shared" si="65"/>
        <v>899.61813050050478</v>
      </c>
      <c r="CD84" s="59">
        <f ca="1">AVERAGE(OFFSET($CC$3,0,0,'Données projet'!$E$12+1,1))-AVERAGE(OFFSET($H$3,0,0,'Données projet'!$E$12+1,1))</f>
        <v>270.30888762640245</v>
      </c>
      <c r="CE84" s="59">
        <f t="shared" si="94"/>
        <v>202.23783851977691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0.78009877624771207</v>
      </c>
      <c r="CL84" s="21">
        <f>EXP(-LN(2)/25)*CL83+(1-EXP(-LN(2)/25))/(LN(2)/25)*Calculateur!CG84*Calculateur!CI84*VLOOKUP('Données projet'!$B$12,Paramètres!$A$1:$I$89,3,0)*0.475*44/12</f>
        <v>2.989748764548481</v>
      </c>
      <c r="CM84" s="21">
        <f>EXP(-LN(2)/2)*CM83+(1-EXP(-LN(2)/2))/(LN(2)/2)*CG84*CJ84*VLOOKUP('Données projet'!$B$12,Paramètres!$A$1:$I$89,3,0)*0.475*44/12</f>
        <v>3.8970258633244837E-7</v>
      </c>
      <c r="CN84" s="22">
        <f t="shared" si="66"/>
        <v>3.7698479304987793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-5.1159076974727213E-13</v>
      </c>
      <c r="CU84" s="17">
        <f>CT84*VLOOKUP('Données projet'!$B$13,Paramètres!$A$1:$I$89,3,0)*VLOOKUP('Données projet'!$B$13,Paramètres!$A$1:$I$89,5,0)</f>
        <v>-4.0702161641092972E-13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260.20517190557814</v>
      </c>
      <c r="CZ84" s="59">
        <f t="shared" si="96"/>
        <v>307.22009971147133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1.1884258410131214</v>
      </c>
      <c r="DG84" s="21">
        <f>EXP(-LN(2)/25)*DG83+(1-EXP(-LN(2)/25))/(LN(2)/25)*Calculateur!DB84*Calculateur!DD84*VLOOKUP('Données projet'!$B$13,Paramètres!$A$1:$I$89,3,0)*0.475*44/12</f>
        <v>4.9896232773021039</v>
      </c>
      <c r="DH84" s="21">
        <f>EXP(-LN(2)/2)*DH83+(1-EXP(-LN(2)/2))/(LN(2)/2)*DB84*DE84*VLOOKUP('Données projet'!$B$13,Paramètres!$A$1:$I$89,3,0)*0.475*44/12</f>
        <v>5.0658476749957702E-7</v>
      </c>
      <c r="DI84" s="22">
        <f t="shared" si="69"/>
        <v>6.1780496248999937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7.4950142450142483</v>
      </c>
      <c r="DO84" s="12">
        <f>IF('Données projet'!$A$166&gt;35,DO83+DN84-DW83,IF(A84&lt;'Données projet'!$A$166,$DL$205^A84,IF(A84='Données projet'!$A$166,'Données projet'!$B$166,DO83+DN84-DW83)))</f>
        <v>235.89886039886039</v>
      </c>
      <c r="DP84" s="17">
        <f>DO84*VLOOKUP('Données projet'!$B$14,Paramètres!$A$1:$I$89,3,0)*VLOOKUP('Données projet'!$B$14,Paramètres!$A$1:$I$89,5,0)</f>
        <v>239.20144444444443</v>
      </c>
      <c r="DQ84" s="13">
        <f t="shared" si="97"/>
        <v>58.267684051527326</v>
      </c>
      <c r="DR84" s="20">
        <f t="shared" si="70"/>
        <v>518.09206546381745</v>
      </c>
      <c r="DS84" s="59">
        <f t="shared" si="71"/>
        <v>811.42539879715082</v>
      </c>
      <c r="DT84" s="59">
        <f ca="1">AVERAGE(OFFSET($DS$3,0,0,'Données projet'!$E$14+1,1))-AVERAGE(OFFSET($H$3,0,0,'Données projet'!$E$14+1,1))</f>
        <v>263.15518481854753</v>
      </c>
      <c r="DU84" s="59">
        <f t="shared" si="98"/>
        <v>210.80755370263819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0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-5.1159076974727213E-13</v>
      </c>
      <c r="EK84" s="17">
        <f>EJ84*VLOOKUP('Données projet'!$B$15,Paramètres!$A$1:$I$89,3,0)*VLOOKUP('Données projet'!$B$15,Paramètres!$A$1:$I$89,5,0)</f>
        <v>-3.4317508834647017E-13</v>
      </c>
      <c r="EL84" s="13" t="e">
        <f t="shared" si="99"/>
        <v>#NUM!</v>
      </c>
      <c r="EM84" s="20" t="e">
        <f t="shared" si="73"/>
        <v>#NUM!</v>
      </c>
      <c r="EN84" s="59" t="e">
        <f t="shared" si="74"/>
        <v>#NUM!</v>
      </c>
      <c r="EO84" s="59">
        <f ca="1">AVERAGE(OFFSET($EN$3,0,0,'Données projet'!$E$15+1,1))-AVERAGE(OFFSET($H$3,0,0,'Données projet'!$E$15+1,1))</f>
        <v>207.93042467236967</v>
      </c>
      <c r="EP84" s="59">
        <f t="shared" si="100"/>
        <v>250.70954318710835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1.0020061012463561</v>
      </c>
      <c r="EW84" s="21">
        <f>EXP(-LN(2)/25)*EW83+(1-EXP(-LN(2)/25))/(LN(2)/25)*Calculateur!ER84*Calculateur!ET84*VLOOKUP('Données projet'!$B$15,Paramètres!$A$1:$I$89,3,0)*0.475*44/12</f>
        <v>4.2069372730194257</v>
      </c>
      <c r="EX84" s="21">
        <f>EXP(-LN(2)/2)*EX83+(1-EXP(-LN(2)/2))/(LN(2)/2)*ER84*EU84*VLOOKUP('Données projet'!$B$15,Paramètres!$A$1:$I$89,3,0)*0.475*44/12</f>
        <v>4.2712049024474139E-7</v>
      </c>
      <c r="EY84" s="22">
        <f t="shared" si="75"/>
        <v>5.2089438013862717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7.4950142450142483</v>
      </c>
      <c r="FE84" s="12">
        <f>IF('Données projet'!$A$218&gt;35,FE83+FD84-FM83,IF(A84&lt;'Données projet'!$A$218,$FB$205^A84,IF(A84='Données projet'!$A$218,'Données projet'!$B$218,FE83+FD84-FM83)))</f>
        <v>235.89886039886039</v>
      </c>
      <c r="FF84" s="17">
        <f>FE84*VLOOKUP('Données projet'!$B$16,Paramètres!$A$1:$I$89,3,0)*VLOOKUP('Données projet'!$B$16,Paramètres!$A$1:$I$89,5,0)</f>
        <v>253.92153333333331</v>
      </c>
      <c r="FG84" s="13">
        <f t="shared" si="101"/>
        <v>61.424916008407251</v>
      </c>
      <c r="FH84" s="20">
        <f t="shared" si="76"/>
        <v>549.22839927019811</v>
      </c>
      <c r="FI84" s="59">
        <f t="shared" si="77"/>
        <v>842.56173260353148</v>
      </c>
      <c r="FJ84" s="59">
        <f ca="1">AVERAGE(OFFSET($FI$3,0,0,'Données projet'!$E$16+1,1))-AVERAGE(OFFSET($H$3,0,0,'Données projet'!$E$16+1,1))</f>
        <v>286.77702855541287</v>
      </c>
      <c r="FK84" s="59">
        <f t="shared" si="102"/>
        <v>227.12211541860779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0</v>
      </c>
      <c r="FR84" s="21">
        <f>EXP(-LN(2)/25)*FR83+(1-EXP(-LN(2)/25))/(LN(2)/25)*Calculateur!FM84*Calculateur!FO84*VLOOKUP('Données projet'!$B$16,Paramètres!$A$1:$I$89,3,0)*0.475*44/12</f>
        <v>0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0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9.52371794871795</v>
      </c>
      <c r="FZ84" s="12">
        <f>IF('Données projet'!$A$244&gt;35,FZ83+FY84-GH83,IF(A84&lt;'Données projet'!$A$244,$FW$205^A84,IF(A84='Données projet'!$A$244,'Données projet'!$B$244,FZ83+FY84-GH83)))</f>
        <v>340.7358974358973</v>
      </c>
      <c r="GA84" s="17">
        <f>FZ84*VLOOKUP('Données projet'!$B$17,Paramètres!$A$1:$I$89,3,0)*VLOOKUP('Données projet'!$B$17,Paramètres!$A$1:$I$89,5,0)</f>
        <v>159.46439999999993</v>
      </c>
      <c r="GB84" s="13">
        <f t="shared" si="103"/>
        <v>40.721685766303267</v>
      </c>
      <c r="GC84" s="20">
        <f t="shared" si="79"/>
        <v>348.65743270964475</v>
      </c>
      <c r="GD84" s="59">
        <f t="shared" si="80"/>
        <v>641.99076604297807</v>
      </c>
      <c r="GE84" s="59">
        <f ca="1">AVERAGE(OFFSET($GD$3,0,0,'Données projet'!$E$17+1,1))-AVERAGE(OFFSET($H$3,0,0,'Données projet'!$E$17+1,1))</f>
        <v>123.2823358462245</v>
      </c>
      <c r="GF84" s="59">
        <f t="shared" si="104"/>
        <v>92.75115399786057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0</v>
      </c>
      <c r="GM84" s="21">
        <f>EXP(-LN(2)/25)*GM83+(1-EXP(-LN(2)/25))/(LN(2)/25)*Calculateur!GH84*Calculateur!GJ84*VLOOKUP('Données projet'!$B$17,Paramètres!$A$1:$I$89,3,0)*0.475*44/12</f>
        <v>0</v>
      </c>
      <c r="GN84" s="21">
        <f>EXP(-LN(2)/2)*GN83+(1-EXP(-LN(2)/2))/(LN(2)/2)*GH84*GK84*VLOOKUP('Données projet'!$B$17,Paramètres!$A$1:$I$89,3,0)*0.475*44/12</f>
        <v>0</v>
      </c>
      <c r="GO84" s="21">
        <f t="shared" si="81"/>
        <v>0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-2.8421709430404007E-13</v>
      </c>
      <c r="GV84" s="17">
        <f>GU84*VLOOKUP('Données projet'!$B$18,Paramètres!$A$1:$I$89,3,0)*VLOOKUP('Données projet'!$B$18,Paramètres!$A$1:$I$89,5,0)</f>
        <v>-1.69961822393816E-13</v>
      </c>
      <c r="GW84" s="13" t="e">
        <f t="shared" si="105"/>
        <v>#NUM!</v>
      </c>
      <c r="GX84" s="20" t="e">
        <f t="shared" si="82"/>
        <v>#NUM!</v>
      </c>
      <c r="GY84" s="59" t="e">
        <f t="shared" si="83"/>
        <v>#NUM!</v>
      </c>
      <c r="GZ84" s="59">
        <f ca="1">AVERAGE(OFFSET($GY$3,0,0,'Données projet'!$E$18+1,1))-AVERAGE(OFFSET($H$3,0,0,'Données projet'!$E$18+1,1))</f>
        <v>171.96009656745713</v>
      </c>
      <c r="HA84" s="59">
        <f t="shared" si="106"/>
        <v>172.37574906747716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>
        <f>EXP(-LN(2)/35)*HG83+(1-EXP(-LN(2)/35))/(LN(2)/35)*HC84*HD84*VLOOKUP('Données projet'!$B$18,Paramètres!$A$1:$I$89,3,0)*0.475*44/12</f>
        <v>0.60752694709027022</v>
      </c>
      <c r="HH84" s="21">
        <f>EXP(-LN(2)/25)*HH83+(1-EXP(-LN(2)/25))/(LN(2)/25)*Calculateur!HC84*Calculateur!HE84*VLOOKUP('Données projet'!$B$18,Paramètres!$A$1:$I$89,3,0)*0.475*44/12</f>
        <v>4.9987097701865437</v>
      </c>
      <c r="HI84" s="21">
        <f>EXP(-LN(2)/2)*HI83+(1-EXP(-LN(2)/2))/(LN(2)/2)*HC84*HF84*VLOOKUP('Données projet'!$B$18,Paramètres!$A$1:$I$89,3,0)*0.475*44/12</f>
        <v>2.5382141422385479E-7</v>
      </c>
      <c r="HJ84" s="22">
        <f t="shared" si="84"/>
        <v>5.6062369710982285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-2.2737367544323206E-13</v>
      </c>
      <c r="O85" s="13">
        <f>N85*VLOOKUP('Données projet'!$B$9,Paramètres!$A$1:$I$89,3,0)*VLOOKUP('Données projet'!$B$9,Paramètres!$A$1:$I$89,5,0)</f>
        <v>-1.2710188457276673E-13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255.5374979188561</v>
      </c>
      <c r="T85" s="59">
        <f t="shared" si="88"/>
        <v>343.10418468620901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1.1033661478269023</v>
      </c>
      <c r="AA85" s="21">
        <f>EXP(-LN(2)/25)*AA84+(1-EXP(-LN(2)/25))/(LN(2)/25)*Calculateur!V85*Calculateur!X85*VLOOKUP('Données projet'!$B$9,Paramètres!$A$1:$I$89,3,0)*0.475*44/12</f>
        <v>3.7748312984780172</v>
      </c>
      <c r="AB85" s="21">
        <f>EXP(-LN(2)/2)*AB84+(1-EXP(-LN(2)/2))/(LN(2)/2)*V85*Y85*VLOOKUP('Données projet'!$B$9,Paramètres!$A$1:$I$89,3,0)*0.475*44/12</f>
        <v>2.5222481481046469E-8</v>
      </c>
      <c r="AC85" s="22">
        <f t="shared" si="57"/>
        <v>4.8781974715274012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12.124038461538468</v>
      </c>
      <c r="AI85" s="13">
        <f>IF('Données projet'!$A$62&gt;35,AI84+AH85-AQ84,IF(A85&lt;'Données projet'!$A$62,$AF$205^A85,IF(A85='Données projet'!$A$62,'Données projet'!$B$62,AI84+AH85-AQ84)))</f>
        <v>395.89519230769247</v>
      </c>
      <c r="AJ85" s="13">
        <f>AI85*VLOOKUP('Données projet'!$B$10,Paramètres!$A$1:$I$89,3,0)*VLOOKUP('Données projet'!$B$10,Paramètres!$A$1:$I$89,5,0)</f>
        <v>185.27895000000009</v>
      </c>
      <c r="AK85" s="13">
        <f t="shared" si="89"/>
        <v>46.494672172616063</v>
      </c>
      <c r="AL85" s="20">
        <f t="shared" si="58"/>
        <v>403.67239195063979</v>
      </c>
      <c r="AM85" s="59">
        <f t="shared" si="59"/>
        <v>697.00572528397311</v>
      </c>
      <c r="AN85" s="59">
        <f ca="1">AVERAGE(OFFSET($AM$3,0,0,'Données projet'!$E$10+1,1))-AVERAGE(OFFSET($H$3,0,0,'Données projet'!$E$10+1,1))</f>
        <v>158.58786357608489</v>
      </c>
      <c r="AO85" s="59">
        <f t="shared" si="90"/>
        <v>163.20074068819849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0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-1.7053025658242404E-13</v>
      </c>
      <c r="BE85" s="13">
        <f>BD85*VLOOKUP('Données projet'!$B$11,Paramètres!$A$1:$I$89,3,0)*VLOOKUP('Données projet'!$B$11,Paramètres!$A$1:$I$89,5,0)</f>
        <v>-1.0197709343628959E-13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243.85350804244348</v>
      </c>
      <c r="BJ85" s="59">
        <f t="shared" si="92"/>
        <v>304.60992308960545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1.6160480198484046</v>
      </c>
      <c r="BQ85" s="21">
        <f>EXP(-LN(2)/25)*BQ84+(1-EXP(-LN(2)/25))/(LN(2)/25)*Calculateur!BL85*Calculateur!BN85*VLOOKUP('Données projet'!$B$11,Paramètres!$A$1:$I$89,3,0)*0.475*44/12</f>
        <v>4.1931405324091484</v>
      </c>
      <c r="BR85" s="21">
        <f>EXP(-LN(2)/2)*BR84+(1-EXP(-LN(2)/2))/(LN(2)/2)*BL85*BO85*VLOOKUP('Données projet'!$B$11,Paramètres!$A$1:$I$89,3,0)*0.475*44/12</f>
        <v>5.5703916061992945E-8</v>
      </c>
      <c r="BS85" s="22">
        <f t="shared" si="63"/>
        <v>5.8091886079614694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10.8</v>
      </c>
      <c r="BY85" s="12">
        <f>IF('Données projet'!$A$114&gt;35,BY84+BX85-CG84,IF(A85&lt;'Données projet'!$A$114,$BV$205^A85,IF(A85='Données projet'!$A$114,'Données projet'!$B$114,BY84+BX85-CG84)))</f>
        <v>480.60000000000019</v>
      </c>
      <c r="BZ85" s="13">
        <f>BY85*VLOOKUP('Données projet'!$B$12,Paramètres!$A$1:$I$89,3,0)*VLOOKUP('Données projet'!$B$12,Paramètres!$A$1:$I$89,5,0)</f>
        <v>287.39880000000016</v>
      </c>
      <c r="CA85" s="13">
        <f t="shared" si="93"/>
        <v>68.528206713592894</v>
      </c>
      <c r="CB85" s="20">
        <f t="shared" si="64"/>
        <v>619.90620335950791</v>
      </c>
      <c r="CC85" s="59">
        <f t="shared" si="65"/>
        <v>913.23953669284128</v>
      </c>
      <c r="CD85" s="59">
        <f ca="1">AVERAGE(OFFSET($CC$3,0,0,'Données projet'!$E$12+1,1))-AVERAGE(OFFSET($H$3,0,0,'Données projet'!$E$12+1,1))</f>
        <v>270.30888762640245</v>
      </c>
      <c r="CE85" s="59">
        <f t="shared" si="94"/>
        <v>202.23783851977691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0.76480151505876526</v>
      </c>
      <c r="CL85" s="21">
        <f>EXP(-LN(2)/25)*CL84+(1-EXP(-LN(2)/25))/(LN(2)/25)*Calculateur!CG85*Calculateur!CI85*VLOOKUP('Données projet'!$B$12,Paramètres!$A$1:$I$89,3,0)*0.475*44/12</f>
        <v>2.9079939273578486</v>
      </c>
      <c r="CM85" s="21">
        <f>EXP(-LN(2)/2)*CM84+(1-EXP(-LN(2)/2))/(LN(2)/2)*CG85*CJ85*VLOOKUP('Données projet'!$B$12,Paramètres!$A$1:$I$89,3,0)*0.475*44/12</f>
        <v>2.7556134144161022E-7</v>
      </c>
      <c r="CN85" s="22">
        <f t="shared" si="66"/>
        <v>3.6727957179779551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-5.1159076974727213E-13</v>
      </c>
      <c r="CU85" s="17">
        <f>CT85*VLOOKUP('Données projet'!$B$13,Paramètres!$A$1:$I$89,3,0)*VLOOKUP('Données projet'!$B$13,Paramètres!$A$1:$I$89,5,0)</f>
        <v>-4.0702161641092972E-13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260.20517190557814</v>
      </c>
      <c r="CZ85" s="59">
        <f t="shared" si="96"/>
        <v>307.22009971147133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1.1651215351390423</v>
      </c>
      <c r="DG85" s="21">
        <f>EXP(-LN(2)/25)*DG84+(1-EXP(-LN(2)/25))/(LN(2)/25)*Calculateur!DB85*Calculateur!DD85*VLOOKUP('Données projet'!$B$13,Paramètres!$A$1:$I$89,3,0)*0.475*44/12</f>
        <v>4.8531817663913932</v>
      </c>
      <c r="DH85" s="21">
        <f>EXP(-LN(2)/2)*DH84+(1-EXP(-LN(2)/2))/(LN(2)/2)*DB85*DE85*VLOOKUP('Données projet'!$B$13,Paramètres!$A$1:$I$89,3,0)*0.475*44/12</f>
        <v>3.5820952434476146E-7</v>
      </c>
      <c r="DI85" s="22">
        <f t="shared" si="69"/>
        <v>6.01830365973996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7.4950142450142483</v>
      </c>
      <c r="DO85" s="12">
        <f>IF('Données projet'!$A$166&gt;35,DO84+DN85-DW84,IF(A85&lt;'Données projet'!$A$166,$DL$205^A85,IF(A85='Données projet'!$A$166,'Données projet'!$B$166,DO84+DN85-DW84)))</f>
        <v>243.39387464387465</v>
      </c>
      <c r="DP85" s="17">
        <f>DO85*VLOOKUP('Données projet'!$B$14,Paramètres!$A$1:$I$89,3,0)*VLOOKUP('Données projet'!$B$14,Paramètres!$A$1:$I$89,5,0)</f>
        <v>246.80138888888891</v>
      </c>
      <c r="DQ85" s="13">
        <f t="shared" si="97"/>
        <v>59.900493951858685</v>
      </c>
      <c r="DR85" s="20">
        <f t="shared" si="70"/>
        <v>534.17244594763531</v>
      </c>
      <c r="DS85" s="59">
        <f t="shared" si="71"/>
        <v>827.50577928096868</v>
      </c>
      <c r="DT85" s="59">
        <f ca="1">AVERAGE(OFFSET($DS$3,0,0,'Données projet'!$E$14+1,1))-AVERAGE(OFFSET($H$3,0,0,'Données projet'!$E$14+1,1))</f>
        <v>263.15518481854753</v>
      </c>
      <c r="DU85" s="59">
        <f t="shared" si="98"/>
        <v>210.80755370263819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0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-5.1159076974727213E-13</v>
      </c>
      <c r="EK85" s="17">
        <f>EJ85*VLOOKUP('Données projet'!$B$15,Paramètres!$A$1:$I$89,3,0)*VLOOKUP('Données projet'!$B$15,Paramètres!$A$1:$I$89,5,0)</f>
        <v>-3.4317508834647017E-13</v>
      </c>
      <c r="EL85" s="13" t="e">
        <f t="shared" si="99"/>
        <v>#NUM!</v>
      </c>
      <c r="EM85" s="20" t="e">
        <f t="shared" si="73"/>
        <v>#NUM!</v>
      </c>
      <c r="EN85" s="59" t="e">
        <f t="shared" si="74"/>
        <v>#NUM!</v>
      </c>
      <c r="EO85" s="59">
        <f ca="1">AVERAGE(OFFSET($EN$3,0,0,'Données projet'!$E$15+1,1))-AVERAGE(OFFSET($H$3,0,0,'Données projet'!$E$15+1,1))</f>
        <v>207.93042467236967</v>
      </c>
      <c r="EP85" s="59">
        <f t="shared" si="100"/>
        <v>250.70954318710835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0.98235737276428947</v>
      </c>
      <c r="EW85" s="21">
        <f>EXP(-LN(2)/25)*EW84+(1-EXP(-LN(2)/25))/(LN(2)/25)*Calculateur!ER85*Calculateur!ET85*VLOOKUP('Données projet'!$B$15,Paramètres!$A$1:$I$89,3,0)*0.475*44/12</f>
        <v>4.0918983520554937</v>
      </c>
      <c r="EX85" s="21">
        <f>EXP(-LN(2)/2)*EX84+(1-EXP(-LN(2)/2))/(LN(2)/2)*ER85*EU85*VLOOKUP('Données projet'!$B$15,Paramètres!$A$1:$I$89,3,0)*0.475*44/12</f>
        <v>3.0201979503577925E-7</v>
      </c>
      <c r="EY85" s="22">
        <f t="shared" si="75"/>
        <v>5.0742560268395778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7.4950142450142483</v>
      </c>
      <c r="FE85" s="12">
        <f>IF('Données projet'!$A$218&gt;35,FE84+FD85-FM84,IF(A85&lt;'Données projet'!$A$218,$FB$205^A85,IF(A85='Données projet'!$A$218,'Données projet'!$B$218,FE84+FD85-FM84)))</f>
        <v>243.39387464387465</v>
      </c>
      <c r="FF85" s="17">
        <f>FE85*VLOOKUP('Données projet'!$B$16,Paramètres!$A$1:$I$89,3,0)*VLOOKUP('Données projet'!$B$16,Paramètres!$A$1:$I$89,5,0)</f>
        <v>261.98916666666668</v>
      </c>
      <c r="FG85" s="13">
        <f t="shared" si="101"/>
        <v>63.146199643034862</v>
      </c>
      <c r="FH85" s="20">
        <f t="shared" si="76"/>
        <v>566.27742965606353</v>
      </c>
      <c r="FI85" s="59">
        <f t="shared" si="77"/>
        <v>859.61076298939679</v>
      </c>
      <c r="FJ85" s="59">
        <f ca="1">AVERAGE(OFFSET($FI$3,0,0,'Données projet'!$E$16+1,1))-AVERAGE(OFFSET($H$3,0,0,'Données projet'!$E$16+1,1))</f>
        <v>286.77702855541287</v>
      </c>
      <c r="FK85" s="59">
        <f t="shared" si="102"/>
        <v>227.12211541860779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0</v>
      </c>
      <c r="FR85" s="21">
        <f>EXP(-LN(2)/25)*FR84+(1-EXP(-LN(2)/25))/(LN(2)/25)*Calculateur!FM85*Calculateur!FO85*VLOOKUP('Données projet'!$B$16,Paramètres!$A$1:$I$89,3,0)*0.475*44/12</f>
        <v>0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0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9.52371794871795</v>
      </c>
      <c r="FZ85" s="12">
        <f>IF('Données projet'!$A$244&gt;35,FZ84+FY85-GH84,IF(A85&lt;'Données projet'!$A$244,$FW$205^A85,IF(A85='Données projet'!$A$244,'Données projet'!$B$244,FZ84+FY85-GH84)))</f>
        <v>350.25961538461524</v>
      </c>
      <c r="GA85" s="17">
        <f>FZ85*VLOOKUP('Données projet'!$B$17,Paramètres!$A$1:$I$89,3,0)*VLOOKUP('Données projet'!$B$17,Paramètres!$A$1:$I$89,5,0)</f>
        <v>163.92149999999992</v>
      </c>
      <c r="GB85" s="13">
        <f t="shared" si="103"/>
        <v>41.72577033989257</v>
      </c>
      <c r="GC85" s="20">
        <f t="shared" si="79"/>
        <v>358.16899584197944</v>
      </c>
      <c r="GD85" s="59">
        <f t="shared" si="80"/>
        <v>651.50232917531275</v>
      </c>
      <c r="GE85" s="59">
        <f ca="1">AVERAGE(OFFSET($GD$3,0,0,'Données projet'!$E$17+1,1))-AVERAGE(OFFSET($H$3,0,0,'Données projet'!$E$17+1,1))</f>
        <v>123.2823358462245</v>
      </c>
      <c r="GF85" s="59">
        <f t="shared" si="104"/>
        <v>92.75115399786057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0</v>
      </c>
      <c r="GM85" s="21">
        <f>EXP(-LN(2)/25)*GM84+(1-EXP(-LN(2)/25))/(LN(2)/25)*Calculateur!GH85*Calculateur!GJ85*VLOOKUP('Données projet'!$B$17,Paramètres!$A$1:$I$89,3,0)*0.475*44/12</f>
        <v>0</v>
      </c>
      <c r="GN85" s="21">
        <f>EXP(-LN(2)/2)*GN84+(1-EXP(-LN(2)/2))/(LN(2)/2)*GH85*GK85*VLOOKUP('Données projet'!$B$17,Paramètres!$A$1:$I$89,3,0)*0.475*44/12</f>
        <v>0</v>
      </c>
      <c r="GO85" s="21">
        <f t="shared" si="81"/>
        <v>0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-2.8421709430404007E-13</v>
      </c>
      <c r="GV85" s="17">
        <f>GU85*VLOOKUP('Données projet'!$B$18,Paramètres!$A$1:$I$89,3,0)*VLOOKUP('Données projet'!$B$18,Paramètres!$A$1:$I$89,5,0)</f>
        <v>-1.69961822393816E-13</v>
      </c>
      <c r="GW85" s="13" t="e">
        <f t="shared" si="105"/>
        <v>#NUM!</v>
      </c>
      <c r="GX85" s="20" t="e">
        <f t="shared" si="82"/>
        <v>#NUM!</v>
      </c>
      <c r="GY85" s="59" t="e">
        <f t="shared" si="83"/>
        <v>#NUM!</v>
      </c>
      <c r="GZ85" s="59">
        <f ca="1">AVERAGE(OFFSET($GY$3,0,0,'Données projet'!$E$18+1,1))-AVERAGE(OFFSET($H$3,0,0,'Données projet'!$E$18+1,1))</f>
        <v>171.96009656745713</v>
      </c>
      <c r="HA85" s="59">
        <f t="shared" si="106"/>
        <v>172.37574906747716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>
        <f>EXP(-LN(2)/35)*HG84+(1-EXP(-LN(2)/35))/(LN(2)/35)*HC85*HD85*VLOOKUP('Données projet'!$B$18,Paramètres!$A$1:$I$89,3,0)*0.475*44/12</f>
        <v>0.5956137142126785</v>
      </c>
      <c r="HH85" s="21">
        <f>EXP(-LN(2)/25)*HH84+(1-EXP(-LN(2)/25))/(LN(2)/25)*Calculateur!HC85*Calculateur!HE85*VLOOKUP('Données projet'!$B$18,Paramètres!$A$1:$I$89,3,0)*0.475*44/12</f>
        <v>4.8620197886500707</v>
      </c>
      <c r="HI85" s="21">
        <f>EXP(-LN(2)/2)*HI84+(1-EXP(-LN(2)/2))/(LN(2)/2)*HC85*HF85*VLOOKUP('Données projet'!$B$18,Paramètres!$A$1:$I$89,3,0)*0.475*44/12</f>
        <v>1.7947884320804733E-7</v>
      </c>
      <c r="HJ85" s="22">
        <f t="shared" si="84"/>
        <v>5.4576336823415925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-2.2737367544323206E-13</v>
      </c>
      <c r="O86" s="13">
        <f>N86*VLOOKUP('Données projet'!$B$9,Paramètres!$A$1:$I$89,3,0)*VLOOKUP('Données projet'!$B$9,Paramètres!$A$1:$I$89,5,0)</f>
        <v>-1.2710188457276673E-13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255.5374979188561</v>
      </c>
      <c r="T86" s="59">
        <f t="shared" si="88"/>
        <v>343.10418468620901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1.0817298106549151</v>
      </c>
      <c r="AA86" s="21">
        <f>EXP(-LN(2)/25)*AA85+(1-EXP(-LN(2)/25))/(LN(2)/25)*Calculateur!V86*Calculateur!X86*VLOOKUP('Données projet'!$B$9,Paramètres!$A$1:$I$89,3,0)*0.475*44/12</f>
        <v>3.6716083381113855</v>
      </c>
      <c r="AB86" s="21">
        <f>EXP(-LN(2)/2)*AB85+(1-EXP(-LN(2)/2))/(LN(2)/2)*V86*Y86*VLOOKUP('Données projet'!$B$9,Paramètres!$A$1:$I$89,3,0)*0.475*44/12</f>
        <v>1.7834987693600072E-8</v>
      </c>
      <c r="AC86" s="22">
        <f t="shared" si="57"/>
        <v>4.7533381666012886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12.124038461538468</v>
      </c>
      <c r="AI86" s="13">
        <f>IF('Données projet'!$A$62&gt;35,AI85+AH86-AQ85,IF(A86&lt;'Données projet'!$A$62,$AF$205^A86,IF(A86='Données projet'!$A$62,'Données projet'!$B$62,AI85+AH86-AQ85)))</f>
        <v>408.01923076923094</v>
      </c>
      <c r="AJ86" s="13">
        <f>AI86*VLOOKUP('Données projet'!$B$10,Paramètres!$A$1:$I$89,3,0)*VLOOKUP('Données projet'!$B$10,Paramètres!$A$1:$I$89,5,0)</f>
        <v>190.95300000000006</v>
      </c>
      <c r="AK86" s="13">
        <f t="shared" si="89"/>
        <v>47.750586229034354</v>
      </c>
      <c r="AL86" s="20">
        <f t="shared" si="58"/>
        <v>415.7420793489016</v>
      </c>
      <c r="AM86" s="59">
        <f t="shared" si="59"/>
        <v>709.07541268223486</v>
      </c>
      <c r="AN86" s="59">
        <f ca="1">AVERAGE(OFFSET($AM$3,0,0,'Données projet'!$E$10+1,1))-AVERAGE(OFFSET($H$3,0,0,'Données projet'!$E$10+1,1))</f>
        <v>158.58786357608489</v>
      </c>
      <c r="AO86" s="59">
        <f t="shared" si="90"/>
        <v>163.20074068819849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0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-1.7053025658242404E-13</v>
      </c>
      <c r="BE86" s="13">
        <f>BD86*VLOOKUP('Données projet'!$B$11,Paramètres!$A$1:$I$89,3,0)*VLOOKUP('Données projet'!$B$11,Paramètres!$A$1:$I$89,5,0)</f>
        <v>-1.0197709343628959E-13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243.85350804244348</v>
      </c>
      <c r="BJ86" s="59">
        <f t="shared" si="92"/>
        <v>304.60992308960545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1.5843583038711406</v>
      </c>
      <c r="BQ86" s="21">
        <f>EXP(-LN(2)/25)*BQ85+(1-EXP(-LN(2)/25))/(LN(2)/25)*Calculateur!BL86*Calculateur!BN86*VLOOKUP('Données projet'!$B$11,Paramètres!$A$1:$I$89,3,0)*0.475*44/12</f>
        <v>4.0784788840427435</v>
      </c>
      <c r="BR86" s="21">
        <f>EXP(-LN(2)/2)*BR85+(1-EXP(-LN(2)/2))/(LN(2)/2)*BL86*BO86*VLOOKUP('Données projet'!$B$11,Paramètres!$A$1:$I$89,3,0)*0.475*44/12</f>
        <v>3.9388616786081455E-8</v>
      </c>
      <c r="BS86" s="22">
        <f t="shared" si="63"/>
        <v>5.6628372273025009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10.8</v>
      </c>
      <c r="BY86" s="12">
        <f>IF('Données projet'!$A$114&gt;35,BY85+BX86-CG85,IF(A86&lt;'Données projet'!$A$114,$BV$205^A86,IF(A86='Données projet'!$A$114,'Données projet'!$B$114,BY85+BX86-CG85)))</f>
        <v>491.4000000000002</v>
      </c>
      <c r="BZ86" s="13">
        <f>BY86*VLOOKUP('Données projet'!$B$12,Paramètres!$A$1:$I$89,3,0)*VLOOKUP('Données projet'!$B$12,Paramètres!$A$1:$I$89,5,0)</f>
        <v>293.85720000000015</v>
      </c>
      <c r="CA86" s="13">
        <f t="shared" si="93"/>
        <v>69.887150190339838</v>
      </c>
      <c r="CB86" s="20">
        <f t="shared" si="64"/>
        <v>633.52140991484214</v>
      </c>
      <c r="CC86" s="59">
        <f t="shared" si="65"/>
        <v>926.85474324817551</v>
      </c>
      <c r="CD86" s="59">
        <f ca="1">AVERAGE(OFFSET($CC$3,0,0,'Données projet'!$E$12+1,1))-AVERAGE(OFFSET($H$3,0,0,'Données projet'!$E$12+1,1))</f>
        <v>270.30888762640245</v>
      </c>
      <c r="CE86" s="59">
        <f t="shared" si="94"/>
        <v>202.23783851977691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0.74980422383132572</v>
      </c>
      <c r="CL86" s="21">
        <f>EXP(-LN(2)/25)*CL85+(1-EXP(-LN(2)/25))/(LN(2)/25)*Calculateur!CG86*Calculateur!CI86*VLOOKUP('Données projet'!$B$12,Paramètres!$A$1:$I$89,3,0)*0.475*44/12</f>
        <v>2.828474680489494</v>
      </c>
      <c r="CM86" s="21">
        <f>EXP(-LN(2)/2)*CM85+(1-EXP(-LN(2)/2))/(LN(2)/2)*CG86*CJ86*VLOOKUP('Données projet'!$B$12,Paramètres!$A$1:$I$89,3,0)*0.475*44/12</f>
        <v>1.9485129316622419E-7</v>
      </c>
      <c r="CN86" s="22">
        <f t="shared" si="66"/>
        <v>3.578279099172113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-5.1159076974727213E-13</v>
      </c>
      <c r="CU86" s="17">
        <f>CT86*VLOOKUP('Données projet'!$B$13,Paramètres!$A$1:$I$89,3,0)*VLOOKUP('Données projet'!$B$13,Paramètres!$A$1:$I$89,5,0)</f>
        <v>-4.0702161641092972E-13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260.20517190557814</v>
      </c>
      <c r="CZ86" s="59">
        <f t="shared" si="96"/>
        <v>307.22009971147133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1.1422742124889309</v>
      </c>
      <c r="DG86" s="21">
        <f>EXP(-LN(2)/25)*DG85+(1-EXP(-LN(2)/25))/(LN(2)/25)*Calculateur!DB86*Calculateur!DD86*VLOOKUP('Données projet'!$B$13,Paramètres!$A$1:$I$89,3,0)*0.475*44/12</f>
        <v>4.7204712557716837</v>
      </c>
      <c r="DH86" s="21">
        <f>EXP(-LN(2)/2)*DH85+(1-EXP(-LN(2)/2))/(LN(2)/2)*DB86*DE86*VLOOKUP('Données projet'!$B$13,Paramètres!$A$1:$I$89,3,0)*0.475*44/12</f>
        <v>2.5329238374978851E-7</v>
      </c>
      <c r="DI86" s="22">
        <f t="shared" si="69"/>
        <v>5.8627457215529981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7.4950142450142483</v>
      </c>
      <c r="DO86" s="12">
        <f>IF('Données projet'!$A$166&gt;35,DO85+DN86-DW85,IF(A86&lt;'Données projet'!$A$166,$DL$205^A86,IF(A86='Données projet'!$A$166,'Données projet'!$B$166,DO85+DN86-DW85)))</f>
        <v>250.88888888888891</v>
      </c>
      <c r="DP86" s="17">
        <f>DO86*VLOOKUP('Données projet'!$B$14,Paramètres!$A$1:$I$89,3,0)*VLOOKUP('Données projet'!$B$14,Paramètres!$A$1:$I$89,5,0)</f>
        <v>254.40133333333338</v>
      </c>
      <c r="DQ86" s="13">
        <f t="shared" si="97"/>
        <v>61.527460718284551</v>
      </c>
      <c r="DR86" s="20">
        <f t="shared" si="70"/>
        <v>550.24264963990129</v>
      </c>
      <c r="DS86" s="59">
        <f t="shared" si="71"/>
        <v>843.57598297323466</v>
      </c>
      <c r="DT86" s="59">
        <f ca="1">AVERAGE(OFFSET($DS$3,0,0,'Données projet'!$E$14+1,1))-AVERAGE(OFFSET($H$3,0,0,'Données projet'!$E$14+1,1))</f>
        <v>263.15518481854753</v>
      </c>
      <c r="DU86" s="59">
        <f t="shared" si="98"/>
        <v>210.80755370263819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0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-5.1159076974727213E-13</v>
      </c>
      <c r="EK86" s="17">
        <f>EJ86*VLOOKUP('Données projet'!$B$15,Paramètres!$A$1:$I$89,3,0)*VLOOKUP('Données projet'!$B$15,Paramètres!$A$1:$I$89,5,0)</f>
        <v>-3.4317508834647017E-13</v>
      </c>
      <c r="EL86" s="13" t="e">
        <f t="shared" si="99"/>
        <v>#NUM!</v>
      </c>
      <c r="EM86" s="20" t="e">
        <f t="shared" si="73"/>
        <v>#NUM!</v>
      </c>
      <c r="EN86" s="59" t="e">
        <f t="shared" si="74"/>
        <v>#NUM!</v>
      </c>
      <c r="EO86" s="59">
        <f ca="1">AVERAGE(OFFSET($EN$3,0,0,'Données projet'!$E$15+1,1))-AVERAGE(OFFSET($H$3,0,0,'Données projet'!$E$15+1,1))</f>
        <v>207.93042467236967</v>
      </c>
      <c r="EP86" s="59">
        <f t="shared" si="100"/>
        <v>250.70954318710835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0.96309394386321512</v>
      </c>
      <c r="EW86" s="21">
        <f>EXP(-LN(2)/25)*EW85+(1-EXP(-LN(2)/25))/(LN(2)/25)*Calculateur!ER86*Calculateur!ET86*VLOOKUP('Données projet'!$B$15,Paramètres!$A$1:$I$89,3,0)*0.475*44/12</f>
        <v>3.980005176434954</v>
      </c>
      <c r="EX86" s="21">
        <f>EXP(-LN(2)/2)*EX85+(1-EXP(-LN(2)/2))/(LN(2)/2)*ER86*EU86*VLOOKUP('Données projet'!$B$15,Paramètres!$A$1:$I$89,3,0)*0.475*44/12</f>
        <v>2.1356024512237069E-7</v>
      </c>
      <c r="EY86" s="22">
        <f t="shared" si="75"/>
        <v>4.9430993338584139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7.4950142450142483</v>
      </c>
      <c r="FE86" s="12">
        <f>IF('Données projet'!$A$218&gt;35,FE85+FD86-FM85,IF(A86&lt;'Données projet'!$A$218,$FB$205^A86,IF(A86='Données projet'!$A$218,'Données projet'!$B$218,FE85+FD86-FM85)))</f>
        <v>250.88888888888891</v>
      </c>
      <c r="FF86" s="17">
        <f>FE86*VLOOKUP('Données projet'!$B$16,Paramètres!$A$1:$I$89,3,0)*VLOOKUP('Données projet'!$B$16,Paramètres!$A$1:$I$89,5,0)</f>
        <v>270.05680000000001</v>
      </c>
      <c r="FG86" s="13">
        <f t="shared" si="101"/>
        <v>64.861323533797474</v>
      </c>
      <c r="FH86" s="20">
        <f t="shared" si="76"/>
        <v>583.3157318213639</v>
      </c>
      <c r="FI86" s="59">
        <f t="shared" si="77"/>
        <v>876.64906515469715</v>
      </c>
      <c r="FJ86" s="59">
        <f ca="1">AVERAGE(OFFSET($FI$3,0,0,'Données projet'!$E$16+1,1))-AVERAGE(OFFSET($H$3,0,0,'Données projet'!$E$16+1,1))</f>
        <v>286.77702855541287</v>
      </c>
      <c r="FK86" s="59">
        <f t="shared" si="102"/>
        <v>227.12211541860779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0</v>
      </c>
      <c r="FR86" s="21">
        <f>EXP(-LN(2)/25)*FR85+(1-EXP(-LN(2)/25))/(LN(2)/25)*Calculateur!FM86*Calculateur!FO86*VLOOKUP('Données projet'!$B$16,Paramètres!$A$1:$I$89,3,0)*0.475*44/12</f>
        <v>0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0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9.52371794871795</v>
      </c>
      <c r="FZ86" s="12">
        <f>IF('Données projet'!$A$244&gt;35,FZ85+FY86-GH85,IF(A86&lt;'Données projet'!$A$244,$FW$205^A86,IF(A86='Données projet'!$A$244,'Données projet'!$B$244,FZ85+FY86-GH85)))</f>
        <v>359.78333333333319</v>
      </c>
      <c r="GA86" s="17">
        <f>FZ86*VLOOKUP('Données projet'!$B$17,Paramètres!$A$1:$I$89,3,0)*VLOOKUP('Données projet'!$B$17,Paramètres!$A$1:$I$89,5,0)</f>
        <v>168.37859999999992</v>
      </c>
      <c r="GB86" s="13">
        <f t="shared" si="103"/>
        <v>42.726681627572866</v>
      </c>
      <c r="GC86" s="20">
        <f t="shared" si="79"/>
        <v>367.6750321680226</v>
      </c>
      <c r="GD86" s="59">
        <f t="shared" si="80"/>
        <v>661.00836550135591</v>
      </c>
      <c r="GE86" s="59">
        <f ca="1">AVERAGE(OFFSET($GD$3,0,0,'Données projet'!$E$17+1,1))-AVERAGE(OFFSET($H$3,0,0,'Données projet'!$E$17+1,1))</f>
        <v>123.2823358462245</v>
      </c>
      <c r="GF86" s="59">
        <f t="shared" si="104"/>
        <v>92.75115399786057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0</v>
      </c>
      <c r="GM86" s="21">
        <f>EXP(-LN(2)/25)*GM85+(1-EXP(-LN(2)/25))/(LN(2)/25)*Calculateur!GH86*Calculateur!GJ86*VLOOKUP('Données projet'!$B$17,Paramètres!$A$1:$I$89,3,0)*0.475*44/12</f>
        <v>0</v>
      </c>
      <c r="GN86" s="21">
        <f>EXP(-LN(2)/2)*GN85+(1-EXP(-LN(2)/2))/(LN(2)/2)*GH86*GK86*VLOOKUP('Données projet'!$B$17,Paramètres!$A$1:$I$89,3,0)*0.475*44/12</f>
        <v>0</v>
      </c>
      <c r="GO86" s="21">
        <f t="shared" si="81"/>
        <v>0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-2.8421709430404007E-13</v>
      </c>
      <c r="GV86" s="17">
        <f>GU86*VLOOKUP('Données projet'!$B$18,Paramètres!$A$1:$I$89,3,0)*VLOOKUP('Données projet'!$B$18,Paramètres!$A$1:$I$89,5,0)</f>
        <v>-1.69961822393816E-13</v>
      </c>
      <c r="GW86" s="13" t="e">
        <f t="shared" si="105"/>
        <v>#NUM!</v>
      </c>
      <c r="GX86" s="20" t="e">
        <f t="shared" si="82"/>
        <v>#NUM!</v>
      </c>
      <c r="GY86" s="59" t="e">
        <f t="shared" si="83"/>
        <v>#NUM!</v>
      </c>
      <c r="GZ86" s="59">
        <f ca="1">AVERAGE(OFFSET($GY$3,0,0,'Données projet'!$E$18+1,1))-AVERAGE(OFFSET($H$3,0,0,'Données projet'!$E$18+1,1))</f>
        <v>171.96009656745713</v>
      </c>
      <c r="HA86" s="59">
        <f t="shared" si="106"/>
        <v>172.37574906747716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>
        <f>EXP(-LN(2)/35)*HG85+(1-EXP(-LN(2)/35))/(LN(2)/35)*HC86*HD86*VLOOKUP('Données projet'!$B$18,Paramètres!$A$1:$I$89,3,0)*0.475*44/12</f>
        <v>0.5839340925654618</v>
      </c>
      <c r="HH86" s="21">
        <f>EXP(-LN(2)/25)*HH85+(1-EXP(-LN(2)/25))/(LN(2)/25)*Calculateur!HC86*Calculateur!HE86*VLOOKUP('Données projet'!$B$18,Paramètres!$A$1:$I$89,3,0)*0.475*44/12</f>
        <v>4.7290676018469258</v>
      </c>
      <c r="HI86" s="21">
        <f>EXP(-LN(2)/2)*HI85+(1-EXP(-LN(2)/2))/(LN(2)/2)*HC86*HF86*VLOOKUP('Données projet'!$B$18,Paramètres!$A$1:$I$89,3,0)*0.475*44/12</f>
        <v>1.269107071119274E-7</v>
      </c>
      <c r="HJ86" s="22">
        <f t="shared" si="84"/>
        <v>5.3130018213230947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-2.2737367544323206E-13</v>
      </c>
      <c r="O87" s="13">
        <f>N87*VLOOKUP('Données projet'!$B$9,Paramètres!$A$1:$I$89,3,0)*VLOOKUP('Données projet'!$B$9,Paramètres!$A$1:$I$89,5,0)</f>
        <v>-1.2710188457276673E-13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255.5374979188561</v>
      </c>
      <c r="T87" s="59">
        <f t="shared" si="88"/>
        <v>343.10418468620901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1.060517748858008</v>
      </c>
      <c r="AA87" s="21">
        <f>EXP(-LN(2)/25)*AA86+(1-EXP(-LN(2)/25))/(LN(2)/25)*Calculateur!V87*Calculateur!X87*VLOOKUP('Données projet'!$B$9,Paramètres!$A$1:$I$89,3,0)*0.475*44/12</f>
        <v>3.5712080150242387</v>
      </c>
      <c r="AB87" s="21">
        <f>EXP(-LN(2)/2)*AB86+(1-EXP(-LN(2)/2))/(LN(2)/2)*V87*Y87*VLOOKUP('Données projet'!$B$9,Paramètres!$A$1:$I$89,3,0)*0.475*44/12</f>
        <v>1.2611240740523234E-8</v>
      </c>
      <c r="AC87" s="22">
        <f t="shared" si="57"/>
        <v>4.6317257764934876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12.124038461538468</v>
      </c>
      <c r="AI87" s="13">
        <f>IF('Données projet'!$A$62&gt;35,AI86+AH87-AQ86,IF(A87&lt;'Données projet'!$A$62,$AF$205^A87,IF(A87='Données projet'!$A$62,'Données projet'!$B$62,AI86+AH87-AQ86)))</f>
        <v>420.14326923076942</v>
      </c>
      <c r="AJ87" s="13">
        <f>AI87*VLOOKUP('Données projet'!$B$10,Paramètres!$A$1:$I$89,3,0)*VLOOKUP('Données projet'!$B$10,Paramètres!$A$1:$I$89,5,0)</f>
        <v>196.62705000000008</v>
      </c>
      <c r="AK87" s="13">
        <f t="shared" si="89"/>
        <v>49.002163217129386</v>
      </c>
      <c r="AL87" s="20">
        <f t="shared" si="58"/>
        <v>427.80421301983375</v>
      </c>
      <c r="AM87" s="59">
        <f t="shared" si="59"/>
        <v>721.13754635316707</v>
      </c>
      <c r="AN87" s="59">
        <f ca="1">AVERAGE(OFFSET($AM$3,0,0,'Données projet'!$E$10+1,1))-AVERAGE(OFFSET($H$3,0,0,'Données projet'!$E$10+1,1))</f>
        <v>158.58786357608489</v>
      </c>
      <c r="AO87" s="59">
        <f t="shared" si="90"/>
        <v>163.20074068819849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0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-1.7053025658242404E-13</v>
      </c>
      <c r="BE87" s="13">
        <f>BD87*VLOOKUP('Données projet'!$B$11,Paramètres!$A$1:$I$89,3,0)*VLOOKUP('Données projet'!$B$11,Paramètres!$A$1:$I$89,5,0)</f>
        <v>-1.0197709343628959E-13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243.85350804244348</v>
      </c>
      <c r="BJ87" s="59">
        <f t="shared" si="92"/>
        <v>304.60992308960545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1.5532900038953725</v>
      </c>
      <c r="BQ87" s="21">
        <f>EXP(-LN(2)/25)*BQ86+(1-EXP(-LN(2)/25))/(LN(2)/25)*Calculateur!BL87*Calculateur!BN87*VLOOKUP('Données projet'!$B$11,Paramètres!$A$1:$I$89,3,0)*0.475*44/12</f>
        <v>3.9669526644807118</v>
      </c>
      <c r="BR87" s="21">
        <f>EXP(-LN(2)/2)*BR86+(1-EXP(-LN(2)/2))/(LN(2)/2)*BL87*BO87*VLOOKUP('Données projet'!$B$11,Paramètres!$A$1:$I$89,3,0)*0.475*44/12</f>
        <v>2.7851958030996473E-8</v>
      </c>
      <c r="BS87" s="22">
        <f t="shared" si="63"/>
        <v>5.5202426962280429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10.8</v>
      </c>
      <c r="BY87" s="12">
        <f>IF('Données projet'!$A$114&gt;35,BY86+BX87-CG86,IF(A87&lt;'Données projet'!$A$114,$BV$205^A87,IF(A87='Données projet'!$A$114,'Données projet'!$B$114,BY86+BX87-CG86)))</f>
        <v>502.20000000000022</v>
      </c>
      <c r="BZ87" s="13">
        <f>BY87*VLOOKUP('Données projet'!$B$12,Paramètres!$A$1:$I$89,3,0)*VLOOKUP('Données projet'!$B$12,Paramètres!$A$1:$I$89,5,0)</f>
        <v>300.31560000000013</v>
      </c>
      <c r="CA87" s="13">
        <f t="shared" si="93"/>
        <v>71.242621308749136</v>
      </c>
      <c r="CB87" s="20">
        <f t="shared" si="64"/>
        <v>647.13056877940483</v>
      </c>
      <c r="CC87" s="59">
        <f t="shared" si="65"/>
        <v>940.4639021127382</v>
      </c>
      <c r="CD87" s="59">
        <f ca="1">AVERAGE(OFFSET($CC$3,0,0,'Données projet'!$E$12+1,1))-AVERAGE(OFFSET($H$3,0,0,'Données projet'!$E$12+1,1))</f>
        <v>270.30888762640245</v>
      </c>
      <c r="CE87" s="59">
        <f t="shared" si="94"/>
        <v>202.23783851977691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0.73510102033741187</v>
      </c>
      <c r="CL87" s="21">
        <f>EXP(-LN(2)/25)*CL86+(1-EXP(-LN(2)/25))/(LN(2)/25)*Calculateur!CG87*Calculateur!CI87*VLOOKUP('Données projet'!$B$12,Paramètres!$A$1:$I$89,3,0)*0.475*44/12</f>
        <v>2.7511298916084899</v>
      </c>
      <c r="CM87" s="21">
        <f>EXP(-LN(2)/2)*CM86+(1-EXP(-LN(2)/2))/(LN(2)/2)*CG87*CJ87*VLOOKUP('Données projet'!$B$12,Paramètres!$A$1:$I$89,3,0)*0.475*44/12</f>
        <v>1.3778067072080511E-7</v>
      </c>
      <c r="CN87" s="22">
        <f t="shared" si="66"/>
        <v>3.4862310497265727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-5.1159076974727213E-13</v>
      </c>
      <c r="CU87" s="17">
        <f>CT87*VLOOKUP('Données projet'!$B$13,Paramètres!$A$1:$I$89,3,0)*VLOOKUP('Données projet'!$B$13,Paramètres!$A$1:$I$89,5,0)</f>
        <v>-4.0702161641092972E-13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260.20517190557814</v>
      </c>
      <c r="CZ87" s="59">
        <f t="shared" si="96"/>
        <v>307.22009971147133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1.1198749119004974</v>
      </c>
      <c r="DG87" s="21">
        <f>EXP(-LN(2)/25)*DG86+(1-EXP(-LN(2)/25))/(LN(2)/25)*Calculateur!DB87*Calculateur!DD87*VLOOKUP('Données projet'!$B$13,Paramètres!$A$1:$I$89,3,0)*0.475*44/12</f>
        <v>4.5913897210438126</v>
      </c>
      <c r="DH87" s="21">
        <f>EXP(-LN(2)/2)*DH86+(1-EXP(-LN(2)/2))/(LN(2)/2)*DB87*DE87*VLOOKUP('Données projet'!$B$13,Paramètres!$A$1:$I$89,3,0)*0.475*44/12</f>
        <v>1.7910476217238073E-7</v>
      </c>
      <c r="DI87" s="22">
        <f t="shared" si="69"/>
        <v>5.7112648120490723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7.4950142450142483</v>
      </c>
      <c r="DO87" s="12">
        <f>IF('Données projet'!$A$166&gt;35,DO86+DN87-DW86,IF(A87&lt;'Données projet'!$A$166,$DL$205^A87,IF(A87='Données projet'!$A$166,'Données projet'!$B$166,DO86+DN87-DW86)))</f>
        <v>258.38390313390317</v>
      </c>
      <c r="DP87" s="17">
        <f>DO87*VLOOKUP('Données projet'!$B$14,Paramètres!$A$1:$I$89,3,0)*VLOOKUP('Données projet'!$B$14,Paramètres!$A$1:$I$89,5,0)</f>
        <v>262.00127777777783</v>
      </c>
      <c r="DQ87" s="13">
        <f t="shared" si="97"/>
        <v>63.148778946325088</v>
      </c>
      <c r="DR87" s="20">
        <f t="shared" si="70"/>
        <v>566.30301546114595</v>
      </c>
      <c r="DS87" s="59">
        <f t="shared" si="71"/>
        <v>859.63634879447932</v>
      </c>
      <c r="DT87" s="59">
        <f ca="1">AVERAGE(OFFSET($DS$3,0,0,'Données projet'!$E$14+1,1))-AVERAGE(OFFSET($H$3,0,0,'Données projet'!$E$14+1,1))</f>
        <v>263.15518481854753</v>
      </c>
      <c r="DU87" s="59">
        <f t="shared" si="98"/>
        <v>210.80755370263819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0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-5.1159076974727213E-13</v>
      </c>
      <c r="EK87" s="17">
        <f>EJ87*VLOOKUP('Données projet'!$B$15,Paramètres!$A$1:$I$89,3,0)*VLOOKUP('Données projet'!$B$15,Paramètres!$A$1:$I$89,5,0)</f>
        <v>-3.4317508834647017E-13</v>
      </c>
      <c r="EL87" s="13" t="e">
        <f t="shared" si="99"/>
        <v>#NUM!</v>
      </c>
      <c r="EM87" s="20" t="e">
        <f t="shared" si="73"/>
        <v>#NUM!</v>
      </c>
      <c r="EN87" s="59" t="e">
        <f t="shared" si="74"/>
        <v>#NUM!</v>
      </c>
      <c r="EO87" s="59">
        <f ca="1">AVERAGE(OFFSET($EN$3,0,0,'Données projet'!$E$15+1,1))-AVERAGE(OFFSET($H$3,0,0,'Données projet'!$E$15+1,1))</f>
        <v>207.93042467236967</v>
      </c>
      <c r="EP87" s="59">
        <f t="shared" si="100"/>
        <v>250.70954318710835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0.94420825905335937</v>
      </c>
      <c r="EW87" s="21">
        <f>EXP(-LN(2)/25)*EW86+(1-EXP(-LN(2)/25))/(LN(2)/25)*Calculateur!ER87*Calculateur!ET87*VLOOKUP('Données projet'!$B$15,Paramètres!$A$1:$I$89,3,0)*0.475*44/12</f>
        <v>3.8711717255859646</v>
      </c>
      <c r="EX87" s="21">
        <f>EXP(-LN(2)/2)*EX86+(1-EXP(-LN(2)/2))/(LN(2)/2)*ER87*EU87*VLOOKUP('Données projet'!$B$15,Paramètres!$A$1:$I$89,3,0)*0.475*44/12</f>
        <v>1.5100989751788963E-7</v>
      </c>
      <c r="EY87" s="22">
        <f t="shared" si="75"/>
        <v>4.8153801356492218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7.4950142450142483</v>
      </c>
      <c r="FE87" s="12">
        <f>IF('Données projet'!$A$218&gt;35,FE86+FD87-FM86,IF(A87&lt;'Données projet'!$A$218,$FB$205^A87,IF(A87='Données projet'!$A$218,'Données projet'!$B$218,FE86+FD87-FM86)))</f>
        <v>258.38390313390317</v>
      </c>
      <c r="FF87" s="17">
        <f>FE87*VLOOKUP('Données projet'!$B$16,Paramètres!$A$1:$I$89,3,0)*VLOOKUP('Données projet'!$B$16,Paramètres!$A$1:$I$89,5,0)</f>
        <v>278.1244333333334</v>
      </c>
      <c r="FG87" s="13">
        <f t="shared" si="101"/>
        <v>66.570492820364919</v>
      </c>
      <c r="FH87" s="20">
        <f t="shared" si="76"/>
        <v>600.34366305102446</v>
      </c>
      <c r="FI87" s="59">
        <f t="shared" si="77"/>
        <v>893.67699638435784</v>
      </c>
      <c r="FJ87" s="59">
        <f ca="1">AVERAGE(OFFSET($FI$3,0,0,'Données projet'!$E$16+1,1))-AVERAGE(OFFSET($H$3,0,0,'Données projet'!$E$16+1,1))</f>
        <v>286.77702855541287</v>
      </c>
      <c r="FK87" s="59">
        <f t="shared" si="102"/>
        <v>227.12211541860779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0</v>
      </c>
      <c r="FR87" s="21">
        <f>EXP(-LN(2)/25)*FR86+(1-EXP(-LN(2)/25))/(LN(2)/25)*Calculateur!FM87*Calculateur!FO87*VLOOKUP('Données projet'!$B$16,Paramètres!$A$1:$I$89,3,0)*0.475*44/12</f>
        <v>0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0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9.52371794871795</v>
      </c>
      <c r="FZ87" s="12">
        <f>IF('Données projet'!$A$244&gt;35,FZ86+FY87-GH86,IF(A87&lt;'Données projet'!$A$244,$FW$205^A87,IF(A87='Données projet'!$A$244,'Données projet'!$B$244,FZ86+FY87-GH86)))</f>
        <v>369.30705128205113</v>
      </c>
      <c r="GA87" s="17">
        <f>FZ87*VLOOKUP('Données projet'!$B$17,Paramètres!$A$1:$I$89,3,0)*VLOOKUP('Données projet'!$B$17,Paramètres!$A$1:$I$89,5,0)</f>
        <v>172.83569999999992</v>
      </c>
      <c r="GB87" s="13">
        <f t="shared" si="103"/>
        <v>43.72451328376944</v>
      </c>
      <c r="GC87" s="20">
        <f t="shared" si="79"/>
        <v>377.17570480256501</v>
      </c>
      <c r="GD87" s="59">
        <f t="shared" si="80"/>
        <v>670.50903813589832</v>
      </c>
      <c r="GE87" s="59">
        <f ca="1">AVERAGE(OFFSET($GD$3,0,0,'Données projet'!$E$17+1,1))-AVERAGE(OFFSET($H$3,0,0,'Données projet'!$E$17+1,1))</f>
        <v>123.2823358462245</v>
      </c>
      <c r="GF87" s="59">
        <f t="shared" si="104"/>
        <v>92.75115399786057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0</v>
      </c>
      <c r="GM87" s="21">
        <f>EXP(-LN(2)/25)*GM86+(1-EXP(-LN(2)/25))/(LN(2)/25)*Calculateur!GH87*Calculateur!GJ87*VLOOKUP('Données projet'!$B$17,Paramètres!$A$1:$I$89,3,0)*0.475*44/12</f>
        <v>0</v>
      </c>
      <c r="GN87" s="21">
        <f>EXP(-LN(2)/2)*GN86+(1-EXP(-LN(2)/2))/(LN(2)/2)*GH87*GK87*VLOOKUP('Données projet'!$B$17,Paramètres!$A$1:$I$89,3,0)*0.475*44/12</f>
        <v>0</v>
      </c>
      <c r="GO87" s="21">
        <f t="shared" si="81"/>
        <v>0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-2.8421709430404007E-13</v>
      </c>
      <c r="GV87" s="17">
        <f>GU87*VLOOKUP('Données projet'!$B$18,Paramètres!$A$1:$I$89,3,0)*VLOOKUP('Données projet'!$B$18,Paramètres!$A$1:$I$89,5,0)</f>
        <v>-1.69961822393816E-13</v>
      </c>
      <c r="GW87" s="13" t="e">
        <f t="shared" si="105"/>
        <v>#NUM!</v>
      </c>
      <c r="GX87" s="20" t="e">
        <f t="shared" si="82"/>
        <v>#NUM!</v>
      </c>
      <c r="GY87" s="59" t="e">
        <f t="shared" si="83"/>
        <v>#NUM!</v>
      </c>
      <c r="GZ87" s="59">
        <f ca="1">AVERAGE(OFFSET($GY$3,0,0,'Données projet'!$E$18+1,1))-AVERAGE(OFFSET($H$3,0,0,'Données projet'!$E$18+1,1))</f>
        <v>171.96009656745713</v>
      </c>
      <c r="HA87" s="59">
        <f t="shared" si="106"/>
        <v>172.37574906747716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>
        <f>EXP(-LN(2)/35)*HG86+(1-EXP(-LN(2)/35))/(LN(2)/35)*HC87*HD87*VLOOKUP('Données projet'!$B$18,Paramètres!$A$1:$I$89,3,0)*0.475*44/12</f>
        <v>0.57248350117488123</v>
      </c>
      <c r="HH87" s="21">
        <f>EXP(-LN(2)/25)*HH86+(1-EXP(-LN(2)/25))/(LN(2)/25)*Calculateur!HC87*Calculateur!HE87*VLOOKUP('Données projet'!$B$18,Paramètres!$A$1:$I$89,3,0)*0.475*44/12</f>
        <v>4.5997509995835646</v>
      </c>
      <c r="HI87" s="21">
        <f>EXP(-LN(2)/2)*HI86+(1-EXP(-LN(2)/2))/(LN(2)/2)*HC87*HF87*VLOOKUP('Données projet'!$B$18,Paramètres!$A$1:$I$89,3,0)*0.475*44/12</f>
        <v>8.9739421604023667E-8</v>
      </c>
      <c r="HJ87" s="22">
        <f t="shared" si="84"/>
        <v>5.172234590497867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-2.2737367544323206E-13</v>
      </c>
      <c r="O88" s="13">
        <f>N88*VLOOKUP('Données projet'!$B$9,Paramètres!$A$1:$I$89,3,0)*VLOOKUP('Données projet'!$B$9,Paramètres!$A$1:$I$89,5,0)</f>
        <v>-1.2710188457276673E-13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255.5374979188561</v>
      </c>
      <c r="T88" s="59">
        <f t="shared" si="88"/>
        <v>343.10418468620901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1.0397216426548579</v>
      </c>
      <c r="AA88" s="21">
        <f>EXP(-LN(2)/25)*AA87+(1-EXP(-LN(2)/25))/(LN(2)/25)*Calculateur!V88*Calculateur!X88*VLOOKUP('Données projet'!$B$9,Paramètres!$A$1:$I$89,3,0)*0.475*44/12</f>
        <v>3.4735531440517335</v>
      </c>
      <c r="AB88" s="21">
        <f>EXP(-LN(2)/2)*AB87+(1-EXP(-LN(2)/2))/(LN(2)/2)*V88*Y88*VLOOKUP('Données projet'!$B$9,Paramètres!$A$1:$I$89,3,0)*0.475*44/12</f>
        <v>8.9174938468000361E-9</v>
      </c>
      <c r="AC88" s="22">
        <f t="shared" si="57"/>
        <v>4.5132747956240848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12.124038461538468</v>
      </c>
      <c r="AI88" s="13">
        <f>IF('Données projet'!$A$62&gt;35,AI87+AH88-AQ87,IF(A88&lt;'Données projet'!$A$62,$AF$205^A88,IF(A88='Données projet'!$A$62,'Données projet'!$B$62,AI87+AH88-AQ87)))</f>
        <v>432.2673076923079</v>
      </c>
      <c r="AJ88" s="13">
        <f>AI88*VLOOKUP('Données projet'!$B$10,Paramètres!$A$1:$I$89,3,0)*VLOOKUP('Données projet'!$B$10,Paramètres!$A$1:$I$89,5,0)</f>
        <v>202.3011000000001</v>
      </c>
      <c r="AK88" s="13">
        <f t="shared" si="89"/>
        <v>50.249542664134772</v>
      </c>
      <c r="AL88" s="20">
        <f t="shared" si="58"/>
        <v>439.85903597336824</v>
      </c>
      <c r="AM88" s="59">
        <f t="shared" si="59"/>
        <v>733.19236930670149</v>
      </c>
      <c r="AN88" s="59">
        <f ca="1">AVERAGE(OFFSET($AM$3,0,0,'Données projet'!$E$10+1,1))-AVERAGE(OFFSET($H$3,0,0,'Données projet'!$E$10+1,1))</f>
        <v>158.58786357608489</v>
      </c>
      <c r="AO88" s="59">
        <f t="shared" si="90"/>
        <v>163.20074068819849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0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-1.7053025658242404E-13</v>
      </c>
      <c r="BE88" s="13">
        <f>BD88*VLOOKUP('Données projet'!$B$11,Paramètres!$A$1:$I$89,3,0)*VLOOKUP('Données projet'!$B$11,Paramètres!$A$1:$I$89,5,0)</f>
        <v>-1.0197709343628959E-13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243.85350804244348</v>
      </c>
      <c r="BJ88" s="59">
        <f t="shared" si="92"/>
        <v>304.60992308960545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1.5228309343323374</v>
      </c>
      <c r="BQ88" s="21">
        <f>EXP(-LN(2)/25)*BQ87+(1-EXP(-LN(2)/25))/(LN(2)/25)*Calculateur!BL88*Calculateur!BN88*VLOOKUP('Données projet'!$B$11,Paramètres!$A$1:$I$89,3,0)*0.475*44/12</f>
        <v>3.8584761352575128</v>
      </c>
      <c r="BR88" s="21">
        <f>EXP(-LN(2)/2)*BR87+(1-EXP(-LN(2)/2))/(LN(2)/2)*BL88*BO88*VLOOKUP('Données projet'!$B$11,Paramètres!$A$1:$I$89,3,0)*0.475*44/12</f>
        <v>1.9694308393040728E-8</v>
      </c>
      <c r="BS88" s="22">
        <f t="shared" si="63"/>
        <v>5.3813070892841584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10.8</v>
      </c>
      <c r="BY88" s="12">
        <f>IF('Données projet'!$A$114&gt;35,BY87+BX88-CG87,IF(A88&lt;'Données projet'!$A$114,$BV$205^A88,IF(A88='Données projet'!$A$114,'Données projet'!$B$114,BY87+BX88-CG87)))</f>
        <v>513.00000000000023</v>
      </c>
      <c r="BZ88" s="13">
        <f>BY88*VLOOKUP('Données projet'!$B$12,Paramètres!$A$1:$I$89,3,0)*VLOOKUP('Données projet'!$B$12,Paramètres!$A$1:$I$89,5,0)</f>
        <v>306.77400000000017</v>
      </c>
      <c r="CA88" s="13">
        <f t="shared" si="93"/>
        <v>72.594703343999115</v>
      </c>
      <c r="CB88" s="20">
        <f t="shared" si="64"/>
        <v>660.73382499079878</v>
      </c>
      <c r="CC88" s="59">
        <f t="shared" si="65"/>
        <v>954.06715832413215</v>
      </c>
      <c r="CD88" s="59">
        <f ca="1">AVERAGE(OFFSET($CC$3,0,0,'Données projet'!$E$12+1,1))-AVERAGE(OFFSET($H$3,0,0,'Données projet'!$E$12+1,1))</f>
        <v>270.30888762640245</v>
      </c>
      <c r="CE88" s="59">
        <f t="shared" si="94"/>
        <v>202.23783851977691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0.72068613769594503</v>
      </c>
      <c r="CL88" s="21">
        <f>EXP(-LN(2)/25)*CL87+(1-EXP(-LN(2)/25))/(LN(2)/25)*Calculateur!CG88*Calculateur!CI88*VLOOKUP('Données projet'!$B$12,Paramètres!$A$1:$I$89,3,0)*0.475*44/12</f>
        <v>2.6759001000468223</v>
      </c>
      <c r="CM88" s="21">
        <f>EXP(-LN(2)/2)*CM87+(1-EXP(-LN(2)/2))/(LN(2)/2)*CG88*CJ88*VLOOKUP('Données projet'!$B$12,Paramètres!$A$1:$I$89,3,0)*0.475*44/12</f>
        <v>9.7425646583112094E-8</v>
      </c>
      <c r="CN88" s="22">
        <f t="shared" si="66"/>
        <v>3.396586335168414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-5.1159076974727213E-13</v>
      </c>
      <c r="CU88" s="17">
        <f>CT88*VLOOKUP('Données projet'!$B$13,Paramètres!$A$1:$I$89,3,0)*VLOOKUP('Données projet'!$B$13,Paramètres!$A$1:$I$89,5,0)</f>
        <v>-4.0702161641092972E-13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260.20517190557814</v>
      </c>
      <c r="CZ88" s="59">
        <f t="shared" si="96"/>
        <v>307.22009971147133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1.0979148479343788</v>
      </c>
      <c r="DG88" s="21">
        <f>EXP(-LN(2)/25)*DG87+(1-EXP(-LN(2)/25))/(LN(2)/25)*Calculateur!DB88*Calculateur!DD88*VLOOKUP('Données projet'!$B$13,Paramètres!$A$1:$I$89,3,0)*0.475*44/12</f>
        <v>4.4658379276711777</v>
      </c>
      <c r="DH88" s="21">
        <f>EXP(-LN(2)/2)*DH87+(1-EXP(-LN(2)/2))/(LN(2)/2)*DB88*DE88*VLOOKUP('Données projet'!$B$13,Paramètres!$A$1:$I$89,3,0)*0.475*44/12</f>
        <v>1.2664619187489426E-7</v>
      </c>
      <c r="DI88" s="22">
        <f t="shared" si="69"/>
        <v>5.5637529022517489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7.4950142450142483</v>
      </c>
      <c r="DO88" s="12">
        <f>IF('Données projet'!$A$166&gt;35,DO87+DN88-DW87,IF(A88&lt;'Données projet'!$A$166,$DL$205^A88,IF(A88='Données projet'!$A$166,'Données projet'!$B$166,DO87+DN88-DW87)))</f>
        <v>265.87891737891744</v>
      </c>
      <c r="DP88" s="17">
        <f>DO88*VLOOKUP('Données projet'!$B$14,Paramètres!$A$1:$I$89,3,0)*VLOOKUP('Données projet'!$B$14,Paramètres!$A$1:$I$89,5,0)</f>
        <v>269.6012222222223</v>
      </c>
      <c r="DQ88" s="13">
        <f t="shared" si="97"/>
        <v>64.76463130016576</v>
      </c>
      <c r="DR88" s="20">
        <f t="shared" si="70"/>
        <v>582.35386155149251</v>
      </c>
      <c r="DS88" s="59">
        <f t="shared" si="71"/>
        <v>875.68719488482589</v>
      </c>
      <c r="DT88" s="59">
        <f ca="1">AVERAGE(OFFSET($DS$3,0,0,'Données projet'!$E$14+1,1))-AVERAGE(OFFSET($H$3,0,0,'Données projet'!$E$14+1,1))</f>
        <v>263.15518481854753</v>
      </c>
      <c r="DU88" s="59">
        <f t="shared" si="98"/>
        <v>210.80755370263819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0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-5.1159076974727213E-13</v>
      </c>
      <c r="EK88" s="17">
        <f>EJ88*VLOOKUP('Données projet'!$B$15,Paramètres!$A$1:$I$89,3,0)*VLOOKUP('Données projet'!$B$15,Paramètres!$A$1:$I$89,5,0)</f>
        <v>-3.4317508834647017E-13</v>
      </c>
      <c r="EL88" s="13" t="e">
        <f t="shared" si="99"/>
        <v>#NUM!</v>
      </c>
      <c r="EM88" s="20" t="e">
        <f t="shared" si="73"/>
        <v>#NUM!</v>
      </c>
      <c r="EN88" s="59" t="e">
        <f t="shared" si="74"/>
        <v>#NUM!</v>
      </c>
      <c r="EO88" s="59">
        <f ca="1">AVERAGE(OFFSET($EN$3,0,0,'Données projet'!$E$15+1,1))-AVERAGE(OFFSET($H$3,0,0,'Données projet'!$E$15+1,1))</f>
        <v>207.93042467236967</v>
      </c>
      <c r="EP88" s="59">
        <f t="shared" si="100"/>
        <v>250.70954318710835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0.9256929110034946</v>
      </c>
      <c r="EW88" s="21">
        <f>EXP(-LN(2)/25)*EW87+(1-EXP(-LN(2)/25))/(LN(2)/25)*Calculateur!ER88*Calculateur!ET88*VLOOKUP('Données projet'!$B$15,Paramètres!$A$1:$I$89,3,0)*0.475*44/12</f>
        <v>3.7653143311737431</v>
      </c>
      <c r="EX88" s="21">
        <f>EXP(-LN(2)/2)*EX87+(1-EXP(-LN(2)/2))/(LN(2)/2)*ER88*EU88*VLOOKUP('Données projet'!$B$15,Paramètres!$A$1:$I$89,3,0)*0.475*44/12</f>
        <v>1.0678012256118535E-7</v>
      </c>
      <c r="EY88" s="22">
        <f t="shared" si="75"/>
        <v>4.6910073489573598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7.4950142450142483</v>
      </c>
      <c r="FE88" s="12">
        <f>IF('Données projet'!$A$218&gt;35,FE87+FD88-FM87,IF(A88&lt;'Données projet'!$A$218,$FB$205^A88,IF(A88='Données projet'!$A$218,'Données projet'!$B$218,FE87+FD88-FM87)))</f>
        <v>265.87891737891744</v>
      </c>
      <c r="FF88" s="17">
        <f>FE88*VLOOKUP('Données projet'!$B$16,Paramètres!$A$1:$I$89,3,0)*VLOOKUP('Données projet'!$B$16,Paramètres!$A$1:$I$89,5,0)</f>
        <v>286.19206666666668</v>
      </c>
      <c r="FG88" s="13">
        <f t="shared" si="101"/>
        <v>68.273900064573866</v>
      </c>
      <c r="FH88" s="20">
        <f t="shared" si="76"/>
        <v>617.36155872357722</v>
      </c>
      <c r="FI88" s="59">
        <f t="shared" si="77"/>
        <v>910.69489205691048</v>
      </c>
      <c r="FJ88" s="59">
        <f ca="1">AVERAGE(OFFSET($FI$3,0,0,'Données projet'!$E$16+1,1))-AVERAGE(OFFSET($H$3,0,0,'Données projet'!$E$16+1,1))</f>
        <v>286.77702855541287</v>
      </c>
      <c r="FK88" s="59">
        <f t="shared" si="102"/>
        <v>227.12211541860779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0</v>
      </c>
      <c r="FR88" s="21">
        <f>EXP(-LN(2)/25)*FR87+(1-EXP(-LN(2)/25))/(LN(2)/25)*Calculateur!FM88*Calculateur!FO88*VLOOKUP('Données projet'!$B$16,Paramètres!$A$1:$I$89,3,0)*0.475*44/12</f>
        <v>0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0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>
        <f>VLOOKUP(A88,'Données projet'!$A$243:$I$263,2,0)</f>
        <v>378.83076923076925</v>
      </c>
      <c r="FX88" s="12">
        <f>VLOOKUP(A88,'Données projet'!$A$243:$I$263,9,0)</f>
        <v>9.52371794871795</v>
      </c>
      <c r="FY88" s="12">
        <f t="array" ref="FY88">INDEX(FX:FX,MIN(IF(ISNUMBER(FX88:FX284),ROW(FX88:FX284),"")))</f>
        <v>9.52371794871795</v>
      </c>
      <c r="FZ88" s="12">
        <f>IF('Données projet'!$A$244&gt;35,FZ87+FY88-GH87,IF(A88&lt;'Données projet'!$A$244,$FW$205^A88,IF(A88='Données projet'!$A$244,'Données projet'!$B$244,FZ87+FY88-GH87)))</f>
        <v>378.83076923076908</v>
      </c>
      <c r="GA88" s="17">
        <f>FZ88*VLOOKUP('Données projet'!$B$17,Paramètres!$A$1:$I$89,3,0)*VLOOKUP('Données projet'!$B$17,Paramètres!$A$1:$I$89,5,0)</f>
        <v>177.29279999999994</v>
      </c>
      <c r="GB88" s="13">
        <f t="shared" si="103"/>
        <v>44.719353857403867</v>
      </c>
      <c r="GC88" s="20">
        <f t="shared" si="79"/>
        <v>386.67116796831164</v>
      </c>
      <c r="GD88" s="59">
        <f t="shared" si="80"/>
        <v>680.00450130164495</v>
      </c>
      <c r="GE88" s="59">
        <f ca="1">AVERAGE(OFFSET($GD$3,0,0,'Données projet'!$E$17+1,1))-AVERAGE(OFFSET($H$3,0,0,'Données projet'!$E$17+1,1))</f>
        <v>123.2823358462245</v>
      </c>
      <c r="GF88" s="59">
        <f t="shared" si="104"/>
        <v>92.75115399786057</v>
      </c>
      <c r="GG88" s="15">
        <f>IF(ISNA(VLOOKUP(A88,'Données projet'!$A$243:$I$263,3,0)),0,VLOOKUP(A88,'Données projet'!$A$243:$I$263,3,0))</f>
        <v>4</v>
      </c>
      <c r="GH88" s="15">
        <f>IF(ISNA(VLOOKUP(A88,'Données projet'!$A$243:$I$263,4,0)),0,VLOOKUP(A88,'Données projet'!$A$243:$I$263,4,0))</f>
        <v>85.207692307692298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0</v>
      </c>
      <c r="GM88" s="21">
        <f>EXP(-LN(2)/25)*GM87+(1-EXP(-LN(2)/25))/(LN(2)/25)*Calculateur!GH88*Calculateur!GJ88*VLOOKUP('Données projet'!$B$17,Paramètres!$A$1:$I$89,3,0)*0.475*44/12</f>
        <v>0</v>
      </c>
      <c r="GN88" s="21">
        <f>EXP(-LN(2)/2)*GN87+(1-EXP(-LN(2)/2))/(LN(2)/2)*GH88*GK88*VLOOKUP('Données projet'!$B$17,Paramètres!$A$1:$I$89,3,0)*0.475*44/12</f>
        <v>0</v>
      </c>
      <c r="GO88" s="21">
        <f t="shared" si="81"/>
        <v>0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-2.8421709430404007E-13</v>
      </c>
      <c r="GV88" s="17">
        <f>GU88*VLOOKUP('Données projet'!$B$18,Paramètres!$A$1:$I$89,3,0)*VLOOKUP('Données projet'!$B$18,Paramètres!$A$1:$I$89,5,0)</f>
        <v>-1.69961822393816E-13</v>
      </c>
      <c r="GW88" s="13" t="e">
        <f t="shared" si="105"/>
        <v>#NUM!</v>
      </c>
      <c r="GX88" s="20" t="e">
        <f t="shared" si="82"/>
        <v>#NUM!</v>
      </c>
      <c r="GY88" s="59" t="e">
        <f t="shared" si="83"/>
        <v>#NUM!</v>
      </c>
      <c r="GZ88" s="59">
        <f ca="1">AVERAGE(OFFSET($GY$3,0,0,'Données projet'!$E$18+1,1))-AVERAGE(OFFSET($H$3,0,0,'Données projet'!$E$18+1,1))</f>
        <v>171.96009656745713</v>
      </c>
      <c r="HA88" s="59">
        <f t="shared" si="106"/>
        <v>172.37574906747716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>
        <f>EXP(-LN(2)/35)*HG87+(1-EXP(-LN(2)/35))/(LN(2)/35)*HC88*HD88*VLOOKUP('Données projet'!$B$18,Paramètres!$A$1:$I$89,3,0)*0.475*44/12</f>
        <v>0.56125744889729878</v>
      </c>
      <c r="HH88" s="21">
        <f>EXP(-LN(2)/25)*HH87+(1-EXP(-LN(2)/25))/(LN(2)/25)*Calculateur!HC88*Calculateur!HE88*VLOOKUP('Données projet'!$B$18,Paramètres!$A$1:$I$89,3,0)*0.475*44/12</f>
        <v>4.4739705666095597</v>
      </c>
      <c r="HI88" s="21">
        <f>EXP(-LN(2)/2)*HI87+(1-EXP(-LN(2)/2))/(LN(2)/2)*HC88*HF88*VLOOKUP('Données projet'!$B$18,Paramètres!$A$1:$I$89,3,0)*0.475*44/12</f>
        <v>6.3455353555963698E-8</v>
      </c>
      <c r="HJ88" s="22">
        <f t="shared" si="84"/>
        <v>5.0352280789622119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-2.2737367544323206E-13</v>
      </c>
      <c r="O89" s="13">
        <f>N89*VLOOKUP('Données projet'!$B$9,Paramètres!$A$1:$I$89,3,0)*VLOOKUP('Données projet'!$B$9,Paramètres!$A$1:$I$89,5,0)</f>
        <v>-1.2710188457276673E-13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255.5374979188561</v>
      </c>
      <c r="T89" s="59">
        <f t="shared" si="88"/>
        <v>343.10418468620901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1.0193333354099794</v>
      </c>
      <c r="AA89" s="21">
        <f>EXP(-LN(2)/25)*AA88+(1-EXP(-LN(2)/25))/(LN(2)/25)*Calculateur!V89*Calculateur!X89*VLOOKUP('Données projet'!$B$9,Paramètres!$A$1:$I$89,3,0)*0.475*44/12</f>
        <v>3.3785686506614181</v>
      </c>
      <c r="AB89" s="21">
        <f>EXP(-LN(2)/2)*AB88+(1-EXP(-LN(2)/2))/(LN(2)/2)*V89*Y89*VLOOKUP('Données projet'!$B$9,Paramètres!$A$1:$I$89,3,0)*0.475*44/12</f>
        <v>6.3056203702616171E-9</v>
      </c>
      <c r="AC89" s="22">
        <f t="shared" si="57"/>
        <v>4.397901992377018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12.124038461538468</v>
      </c>
      <c r="AI89" s="13">
        <f>IF('Données projet'!$A$62&gt;35,AI88+AH89-AQ88,IF(A89&lt;'Données projet'!$A$62,$AF$205^A89,IF(A89='Données projet'!$A$62,'Données projet'!$B$62,AI88+AH89-AQ88)))</f>
        <v>444.39134615384637</v>
      </c>
      <c r="AJ89" s="13">
        <f>AI89*VLOOKUP('Données projet'!$B$10,Paramètres!$A$1:$I$89,3,0)*VLOOKUP('Données projet'!$B$10,Paramètres!$A$1:$I$89,5,0)</f>
        <v>207.9751500000001</v>
      </c>
      <c r="AK89" s="13">
        <f t="shared" si="89"/>
        <v>51.492855825196166</v>
      </c>
      <c r="AL89" s="20">
        <f t="shared" si="58"/>
        <v>451.90677681221678</v>
      </c>
      <c r="AM89" s="59">
        <f t="shared" si="59"/>
        <v>745.24011014555003</v>
      </c>
      <c r="AN89" s="59">
        <f ca="1">AVERAGE(OFFSET($AM$3,0,0,'Données projet'!$E$10+1,1))-AVERAGE(OFFSET($H$3,0,0,'Données projet'!$E$10+1,1))</f>
        <v>158.58786357608489</v>
      </c>
      <c r="AO89" s="59">
        <f t="shared" si="90"/>
        <v>163.20074068819849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0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-1.7053025658242404E-13</v>
      </c>
      <c r="BE89" s="13">
        <f>BD89*VLOOKUP('Données projet'!$B$11,Paramètres!$A$1:$I$89,3,0)*VLOOKUP('Données projet'!$B$11,Paramètres!$A$1:$I$89,5,0)</f>
        <v>-1.0197709343628959E-13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243.85350804244348</v>
      </c>
      <c r="BJ89" s="59">
        <f t="shared" si="92"/>
        <v>304.60992308960545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1.4929691485452354</v>
      </c>
      <c r="BQ89" s="21">
        <f>EXP(-LN(2)/25)*BQ88+(1-EXP(-LN(2)/25))/(LN(2)/25)*Calculateur!BL89*Calculateur!BN89*VLOOKUP('Données projet'!$B$11,Paramètres!$A$1:$I$89,3,0)*0.475*44/12</f>
        <v>3.7529659024304549</v>
      </c>
      <c r="BR89" s="21">
        <f>EXP(-LN(2)/2)*BR88+(1-EXP(-LN(2)/2))/(LN(2)/2)*BL89*BO89*VLOOKUP('Données projet'!$B$11,Paramètres!$A$1:$I$89,3,0)*0.475*44/12</f>
        <v>1.3925979015498236E-8</v>
      </c>
      <c r="BS89" s="22">
        <f t="shared" si="63"/>
        <v>5.2459350649016692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10.8</v>
      </c>
      <c r="BY89" s="12">
        <f>IF('Données projet'!$A$114&gt;35,BY88+BX89-CG88,IF(A89&lt;'Données projet'!$A$114,$BV$205^A89,IF(A89='Données projet'!$A$114,'Données projet'!$B$114,BY88+BX89-CG88)))</f>
        <v>523.80000000000018</v>
      </c>
      <c r="BZ89" s="13">
        <f>BY89*VLOOKUP('Données projet'!$B$12,Paramètres!$A$1:$I$89,3,0)*VLOOKUP('Données projet'!$B$12,Paramètres!$A$1:$I$89,5,0)</f>
        <v>313.23240000000015</v>
      </c>
      <c r="CA89" s="13">
        <f t="shared" si="93"/>
        <v>73.94347586459719</v>
      </c>
      <c r="CB89" s="20">
        <f t="shared" si="64"/>
        <v>674.33131713084038</v>
      </c>
      <c r="CC89" s="59">
        <f t="shared" si="65"/>
        <v>967.66465046417375</v>
      </c>
      <c r="CD89" s="59">
        <f ca="1">AVERAGE(OFFSET($CC$3,0,0,'Données projet'!$E$12+1,1))-AVERAGE(OFFSET($H$3,0,0,'Données projet'!$E$12+1,1))</f>
        <v>270.30888762640245</v>
      </c>
      <c r="CE89" s="59">
        <f t="shared" si="94"/>
        <v>202.23783851977691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0.70655392211086709</v>
      </c>
      <c r="CL89" s="21">
        <f>EXP(-LN(2)/25)*CL88+(1-EXP(-LN(2)/25))/(LN(2)/25)*Calculateur!CG89*Calculateur!CI89*VLOOKUP('Données projet'!$B$12,Paramètres!$A$1:$I$89,3,0)*0.475*44/12</f>
        <v>2.6027274710915718</v>
      </c>
      <c r="CM89" s="21">
        <f>EXP(-LN(2)/2)*CM88+(1-EXP(-LN(2)/2))/(LN(2)/2)*CG89*CJ89*VLOOKUP('Données projet'!$B$12,Paramètres!$A$1:$I$89,3,0)*0.475*44/12</f>
        <v>6.8890335360402554E-8</v>
      </c>
      <c r="CN89" s="22">
        <f t="shared" si="66"/>
        <v>3.3092814620927742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-5.1159076974727213E-13</v>
      </c>
      <c r="CU89" s="17">
        <f>CT89*VLOOKUP('Données projet'!$B$13,Paramètres!$A$1:$I$89,3,0)*VLOOKUP('Données projet'!$B$13,Paramètres!$A$1:$I$89,5,0)</f>
        <v>-4.0702161641092972E-13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260.20517190557814</v>
      </c>
      <c r="CZ89" s="59">
        <f t="shared" si="96"/>
        <v>307.22009971147133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1.0763854074283192</v>
      </c>
      <c r="DG89" s="21">
        <f>EXP(-LN(2)/25)*DG88+(1-EXP(-LN(2)/25))/(LN(2)/25)*Calculateur!DB89*Calculateur!DD89*VLOOKUP('Données projet'!$B$13,Paramètres!$A$1:$I$89,3,0)*0.475*44/12</f>
        <v>4.3437193546907995</v>
      </c>
      <c r="DH89" s="21">
        <f>EXP(-LN(2)/2)*DH88+(1-EXP(-LN(2)/2))/(LN(2)/2)*DB89*DE89*VLOOKUP('Données projet'!$B$13,Paramètres!$A$1:$I$89,3,0)*0.475*44/12</f>
        <v>8.9552381086190366E-8</v>
      </c>
      <c r="DI89" s="22">
        <f t="shared" si="69"/>
        <v>5.4201048516714998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7.4950142450142483</v>
      </c>
      <c r="DO89" s="12">
        <f>IF('Données projet'!$A$166&gt;35,DO88+DN89-DW88,IF(A89&lt;'Données projet'!$A$166,$DL$205^A89,IF(A89='Données projet'!$A$166,'Données projet'!$B$166,DO88+DN89-DW88)))</f>
        <v>273.3739316239317</v>
      </c>
      <c r="DP89" s="17">
        <f>DO89*VLOOKUP('Données projet'!$B$14,Paramètres!$A$1:$I$89,3,0)*VLOOKUP('Données projet'!$B$14,Paramètres!$A$1:$I$89,5,0)</f>
        <v>277.20116666666678</v>
      </c>
      <c r="DQ89" s="13">
        <f t="shared" si="97"/>
        <v>66.375189559669764</v>
      </c>
      <c r="DR89" s="20">
        <f t="shared" si="70"/>
        <v>598.39548709420285</v>
      </c>
      <c r="DS89" s="59">
        <f t="shared" si="71"/>
        <v>891.72882042753622</v>
      </c>
      <c r="DT89" s="59">
        <f ca="1">AVERAGE(OFFSET($DS$3,0,0,'Données projet'!$E$14+1,1))-AVERAGE(OFFSET($H$3,0,0,'Données projet'!$E$14+1,1))</f>
        <v>263.15518481854753</v>
      </c>
      <c r="DU89" s="59">
        <f t="shared" si="98"/>
        <v>210.80755370263819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0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-5.1159076974727213E-13</v>
      </c>
      <c r="EK89" s="17">
        <f>EJ89*VLOOKUP('Données projet'!$B$15,Paramètres!$A$1:$I$89,3,0)*VLOOKUP('Données projet'!$B$15,Paramètres!$A$1:$I$89,5,0)</f>
        <v>-3.4317508834647017E-13</v>
      </c>
      <c r="EL89" s="13" t="e">
        <f t="shared" si="99"/>
        <v>#NUM!</v>
      </c>
      <c r="EM89" s="20" t="e">
        <f t="shared" si="73"/>
        <v>#NUM!</v>
      </c>
      <c r="EN89" s="59" t="e">
        <f t="shared" si="74"/>
        <v>#NUM!</v>
      </c>
      <c r="EO89" s="59">
        <f ca="1">AVERAGE(OFFSET($EN$3,0,0,'Données projet'!$E$15+1,1))-AVERAGE(OFFSET($H$3,0,0,'Données projet'!$E$15+1,1))</f>
        <v>207.93042467236967</v>
      </c>
      <c r="EP89" s="59">
        <f t="shared" si="100"/>
        <v>250.70954318710835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0.90754063763564052</v>
      </c>
      <c r="EW89" s="21">
        <f>EXP(-LN(2)/25)*EW88+(1-EXP(-LN(2)/25))/(LN(2)/25)*Calculateur!ER89*Calculateur!ET89*VLOOKUP('Données projet'!$B$15,Paramètres!$A$1:$I$89,3,0)*0.475*44/12</f>
        <v>3.6623516127785223</v>
      </c>
      <c r="EX89" s="21">
        <f>EXP(-LN(2)/2)*EX88+(1-EXP(-LN(2)/2))/(LN(2)/2)*ER89*EU89*VLOOKUP('Données projet'!$B$15,Paramètres!$A$1:$I$89,3,0)*0.475*44/12</f>
        <v>7.5504948758944813E-8</v>
      </c>
      <c r="EY89" s="22">
        <f t="shared" si="75"/>
        <v>4.5698923259191115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7.4950142450142483</v>
      </c>
      <c r="FE89" s="12">
        <f>IF('Données projet'!$A$218&gt;35,FE88+FD89-FM88,IF(A89&lt;'Données projet'!$A$218,$FB$205^A89,IF(A89='Données projet'!$A$218,'Données projet'!$B$218,FE88+FD89-FM88)))</f>
        <v>273.3739316239317</v>
      </c>
      <c r="FF89" s="17">
        <f>FE89*VLOOKUP('Données projet'!$B$16,Paramètres!$A$1:$I$89,3,0)*VLOOKUP('Données projet'!$B$16,Paramètres!$A$1:$I$89,5,0)</f>
        <v>294.25970000000007</v>
      </c>
      <c r="FG89" s="13">
        <f t="shared" si="101"/>
        <v>69.971726354171977</v>
      </c>
      <c r="FH89" s="20">
        <f t="shared" si="76"/>
        <v>634.3697342335164</v>
      </c>
      <c r="FI89" s="59">
        <f t="shared" si="77"/>
        <v>927.70306756684977</v>
      </c>
      <c r="FJ89" s="59">
        <f ca="1">AVERAGE(OFFSET($FI$3,0,0,'Données projet'!$E$16+1,1))-AVERAGE(OFFSET($H$3,0,0,'Données projet'!$E$16+1,1))</f>
        <v>286.77702855541287</v>
      </c>
      <c r="FK89" s="59">
        <f t="shared" si="102"/>
        <v>227.12211541860779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0</v>
      </c>
      <c r="FR89" s="21">
        <f>EXP(-LN(2)/25)*FR88+(1-EXP(-LN(2)/25))/(LN(2)/25)*Calculateur!FM89*Calculateur!FO89*VLOOKUP('Données projet'!$B$16,Paramètres!$A$1:$I$89,3,0)*0.475*44/12</f>
        <v>0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0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8.7211538461538449</v>
      </c>
      <c r="FZ89" s="12">
        <f>IF('Données projet'!$A$244&gt;35,FZ88+FY89-GH88,IF(A89&lt;'Données projet'!$A$244,$FW$205^A89,IF(A89='Données projet'!$A$244,'Données projet'!$B$244,FZ88+FY89-GH88)))</f>
        <v>302.34423076923065</v>
      </c>
      <c r="GA89" s="17">
        <f>FZ89*VLOOKUP('Données projet'!$B$17,Paramètres!$A$1:$I$89,3,0)*VLOOKUP('Données projet'!$B$17,Paramètres!$A$1:$I$89,5,0)</f>
        <v>141.49709999999996</v>
      </c>
      <c r="GB89" s="13">
        <f t="shared" si="103"/>
        <v>36.639757477223647</v>
      </c>
      <c r="GC89" s="20">
        <f t="shared" si="79"/>
        <v>310.25502677283106</v>
      </c>
      <c r="GD89" s="59">
        <f t="shared" si="80"/>
        <v>603.58836010616437</v>
      </c>
      <c r="GE89" s="59">
        <f ca="1">AVERAGE(OFFSET($GD$3,0,0,'Données projet'!$E$17+1,1))-AVERAGE(OFFSET($H$3,0,0,'Données projet'!$E$17+1,1))</f>
        <v>123.2823358462245</v>
      </c>
      <c r="GF89" s="59">
        <f t="shared" si="104"/>
        <v>92.75115399786057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0</v>
      </c>
      <c r="GM89" s="21">
        <f>EXP(-LN(2)/25)*GM88+(1-EXP(-LN(2)/25))/(LN(2)/25)*Calculateur!GH89*Calculateur!GJ89*VLOOKUP('Données projet'!$B$17,Paramètres!$A$1:$I$89,3,0)*0.475*44/12</f>
        <v>0</v>
      </c>
      <c r="GN89" s="21">
        <f>EXP(-LN(2)/2)*GN88+(1-EXP(-LN(2)/2))/(LN(2)/2)*GH89*GK89*VLOOKUP('Données projet'!$B$17,Paramètres!$A$1:$I$89,3,0)*0.475*44/12</f>
        <v>0</v>
      </c>
      <c r="GO89" s="21">
        <f t="shared" si="81"/>
        <v>0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-2.8421709430404007E-13</v>
      </c>
      <c r="GV89" s="17">
        <f>GU89*VLOOKUP('Données projet'!$B$18,Paramètres!$A$1:$I$89,3,0)*VLOOKUP('Données projet'!$B$18,Paramètres!$A$1:$I$89,5,0)</f>
        <v>-1.69961822393816E-13</v>
      </c>
      <c r="GW89" s="13" t="e">
        <f t="shared" si="105"/>
        <v>#NUM!</v>
      </c>
      <c r="GX89" s="20" t="e">
        <f t="shared" si="82"/>
        <v>#NUM!</v>
      </c>
      <c r="GY89" s="59" t="e">
        <f t="shared" si="83"/>
        <v>#NUM!</v>
      </c>
      <c r="GZ89" s="59">
        <f ca="1">AVERAGE(OFFSET($GY$3,0,0,'Données projet'!$E$18+1,1))-AVERAGE(OFFSET($H$3,0,0,'Données projet'!$E$18+1,1))</f>
        <v>171.96009656745713</v>
      </c>
      <c r="HA89" s="59">
        <f t="shared" si="106"/>
        <v>172.37574906747716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>
        <f>EXP(-LN(2)/35)*HG88+(1-EXP(-LN(2)/35))/(LN(2)/35)*HC89*HD89*VLOOKUP('Données projet'!$B$18,Paramètres!$A$1:$I$89,3,0)*0.475*44/12</f>
        <v>0.55025153265766402</v>
      </c>
      <c r="HH89" s="21">
        <f>EXP(-LN(2)/25)*HH88+(1-EXP(-LN(2)/25))/(LN(2)/25)*Calculateur!HC89*Calculateur!HE89*VLOOKUP('Données projet'!$B$18,Paramètres!$A$1:$I$89,3,0)*0.475*44/12</f>
        <v>4.3516296061897348</v>
      </c>
      <c r="HI89" s="21">
        <f>EXP(-LN(2)/2)*HI88+(1-EXP(-LN(2)/2))/(LN(2)/2)*HC89*HF89*VLOOKUP('Données projet'!$B$18,Paramètres!$A$1:$I$89,3,0)*0.475*44/12</f>
        <v>4.4869710802011834E-8</v>
      </c>
      <c r="HJ89" s="22">
        <f t="shared" si="84"/>
        <v>4.9018811837171095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-2.2737367544323206E-13</v>
      </c>
      <c r="O90" s="13">
        <f>N90*VLOOKUP('Données projet'!$B$9,Paramètres!$A$1:$I$89,3,0)*VLOOKUP('Données projet'!$B$9,Paramètres!$A$1:$I$89,5,0)</f>
        <v>-1.2710188457276673E-13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255.5374979188561</v>
      </c>
      <c r="T90" s="59">
        <f t="shared" si="88"/>
        <v>343.10418468620901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0.99934483043453337</v>
      </c>
      <c r="AA90" s="21">
        <f>EXP(-LN(2)/25)*AA89+(1-EXP(-LN(2)/25))/(LN(2)/25)*Calculateur!V90*Calculateur!X90*VLOOKUP('Données projet'!$B$9,Paramètres!$A$1:$I$89,3,0)*0.475*44/12</f>
        <v>3.286181513237878</v>
      </c>
      <c r="AB90" s="21">
        <f>EXP(-LN(2)/2)*AB89+(1-EXP(-LN(2)/2))/(LN(2)/2)*V90*Y90*VLOOKUP('Données projet'!$B$9,Paramètres!$A$1:$I$89,3,0)*0.475*44/12</f>
        <v>4.458746923400018E-9</v>
      </c>
      <c r="AC90" s="22">
        <f t="shared" si="57"/>
        <v>4.2855263481311585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>
        <f>VLOOKUP(A90,'Données projet'!$A$61:$I$81,2,0)</f>
        <v>456.51538461538462</v>
      </c>
      <c r="AG90" s="12">
        <f>VLOOKUP(A90,'Données projet'!$A$61:$I$81,9,0)</f>
        <v>12.124038461538468</v>
      </c>
      <c r="AH90" s="12">
        <f t="array" ref="AH90">INDEX(AG:AG,MIN(IF(ISNUMBER(AG90:AG286),ROW(AG90:AG286),"")))</f>
        <v>12.124038461538468</v>
      </c>
      <c r="AI90" s="13">
        <f>IF('Données projet'!$A$62&gt;35,AI89+AH90-AQ89,IF(A90&lt;'Données projet'!$A$62,$AF$205^A90,IF(A90='Données projet'!$A$62,'Données projet'!$B$62,AI89+AH90-AQ89)))</f>
        <v>456.51538461538485</v>
      </c>
      <c r="AJ90" s="13">
        <f>AI90*VLOOKUP('Données projet'!$B$10,Paramètres!$A$1:$I$89,3,0)*VLOOKUP('Données projet'!$B$10,Paramètres!$A$1:$I$89,5,0)</f>
        <v>213.64920000000012</v>
      </c>
      <c r="AK90" s="13">
        <f t="shared" si="89"/>
        <v>52.732226385923781</v>
      </c>
      <c r="AL90" s="20">
        <f t="shared" si="58"/>
        <v>463.94765095548405</v>
      </c>
      <c r="AM90" s="59">
        <f t="shared" si="59"/>
        <v>757.28098428881731</v>
      </c>
      <c r="AN90" s="59">
        <f ca="1">AVERAGE(OFFSET($AM$3,0,0,'Données projet'!$E$10+1,1))-AVERAGE(OFFSET($H$3,0,0,'Données projet'!$E$10+1,1))</f>
        <v>158.58786357608489</v>
      </c>
      <c r="AO90" s="59">
        <f t="shared" si="90"/>
        <v>163.20074068819849</v>
      </c>
      <c r="AP90" s="15">
        <f>IF(ISNA(VLOOKUP(A90,'Données projet'!$A$61:$I$81,3,0)),0,VLOOKUP(A90,'Données projet'!$A$61:$I$81,3,0))</f>
        <v>7</v>
      </c>
      <c r="AQ90" s="15">
        <f>IF(ISNA(VLOOKUP(A90,'Données projet'!$A$61:$I$81,4,0)),0,VLOOKUP(A90,'Données projet'!$A$61:$I$81,4,0))</f>
        <v>77.330769230769235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0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-1.7053025658242404E-13</v>
      </c>
      <c r="BE90" s="13">
        <f>BD90*VLOOKUP('Données projet'!$B$11,Paramètres!$A$1:$I$89,3,0)*VLOOKUP('Données projet'!$B$11,Paramètres!$A$1:$I$89,5,0)</f>
        <v>-1.0197709343628959E-13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243.85350804244348</v>
      </c>
      <c r="BJ90" s="59">
        <f t="shared" si="92"/>
        <v>304.60992308960545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1.4636929341635276</v>
      </c>
      <c r="BQ90" s="21">
        <f>EXP(-LN(2)/25)*BQ89+(1-EXP(-LN(2)/25))/(LN(2)/25)*Calculateur!BL90*Calculateur!BN90*VLOOKUP('Données projet'!$B$11,Paramètres!$A$1:$I$89,3,0)*0.475*44/12</f>
        <v>3.6503408524685947</v>
      </c>
      <c r="BR90" s="21">
        <f>EXP(-LN(2)/2)*BR89+(1-EXP(-LN(2)/2))/(LN(2)/2)*BL90*BO90*VLOOKUP('Données projet'!$B$11,Paramètres!$A$1:$I$89,3,0)*0.475*44/12</f>
        <v>9.8471541965203638E-9</v>
      </c>
      <c r="BS90" s="22">
        <f t="shared" si="63"/>
        <v>5.1140337964792764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10.8</v>
      </c>
      <c r="BY90" s="12">
        <f>IF('Données projet'!$A$114&gt;35,BY89+BX90-CG89,IF(A90&lt;'Données projet'!$A$114,$BV$205^A90,IF(A90='Données projet'!$A$114,'Données projet'!$B$114,BY89+BX90-CG89)))</f>
        <v>534.60000000000014</v>
      </c>
      <c r="BZ90" s="13">
        <f>BY90*VLOOKUP('Données projet'!$B$12,Paramètres!$A$1:$I$89,3,0)*VLOOKUP('Données projet'!$B$12,Paramètres!$A$1:$I$89,5,0)</f>
        <v>319.69080000000014</v>
      </c>
      <c r="CA90" s="13">
        <f t="shared" si="93"/>
        <v>75.289014970336254</v>
      </c>
      <c r="CB90" s="20">
        <f t="shared" si="64"/>
        <v>687.92317774000242</v>
      </c>
      <c r="CC90" s="59">
        <f t="shared" si="65"/>
        <v>981.25651107333579</v>
      </c>
      <c r="CD90" s="59">
        <f ca="1">AVERAGE(OFFSET($CC$3,0,0,'Données projet'!$E$12+1,1))-AVERAGE(OFFSET($H$3,0,0,'Données projet'!$E$12+1,1))</f>
        <v>270.30888762640245</v>
      </c>
      <c r="CE90" s="59">
        <f t="shared" si="94"/>
        <v>202.23783851977691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0.69269883065361215</v>
      </c>
      <c r="CL90" s="21">
        <f>EXP(-LN(2)/25)*CL89+(1-EXP(-LN(2)/25))/(LN(2)/25)*Calculateur!CG90*Calculateur!CI90*VLOOKUP('Données projet'!$B$12,Paramètres!$A$1:$I$89,3,0)*0.475*44/12</f>
        <v>2.5315557515230838</v>
      </c>
      <c r="CM90" s="21">
        <f>EXP(-LN(2)/2)*CM89+(1-EXP(-LN(2)/2))/(LN(2)/2)*CG90*CJ90*VLOOKUP('Données projet'!$B$12,Paramètres!$A$1:$I$89,3,0)*0.475*44/12</f>
        <v>4.8712823291556047E-8</v>
      </c>
      <c r="CN90" s="22">
        <f t="shared" si="66"/>
        <v>3.224254630889519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-5.1159076974727213E-13</v>
      </c>
      <c r="CU90" s="17">
        <f>CT90*VLOOKUP('Données projet'!$B$13,Paramètres!$A$1:$I$89,3,0)*VLOOKUP('Données projet'!$B$13,Paramètres!$A$1:$I$89,5,0)</f>
        <v>-4.0702161641092972E-13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260.20517190557814</v>
      </c>
      <c r="CZ90" s="59">
        <f t="shared" si="96"/>
        <v>307.22009971147133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1.0552781461189213</v>
      </c>
      <c r="DG90" s="21">
        <f>EXP(-LN(2)/25)*DG89+(1-EXP(-LN(2)/25))/(LN(2)/25)*Calculateur!DB90*Calculateur!DD90*VLOOKUP('Données projet'!$B$13,Paramètres!$A$1:$I$89,3,0)*0.475*44/12</f>
        <v>4.2249401205105066</v>
      </c>
      <c r="DH90" s="21">
        <f>EXP(-LN(2)/2)*DH89+(1-EXP(-LN(2)/2))/(LN(2)/2)*DB90*DE90*VLOOKUP('Données projet'!$B$13,Paramètres!$A$1:$I$89,3,0)*0.475*44/12</f>
        <v>6.3323095937447128E-8</v>
      </c>
      <c r="DI90" s="22">
        <f t="shared" si="69"/>
        <v>5.2802183299525236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7.4950142450142483</v>
      </c>
      <c r="DO90" s="12">
        <f>IF('Données projet'!$A$166&gt;35,DO89+DN90-DW89,IF(A90&lt;'Données projet'!$A$166,$DL$205^A90,IF(A90='Données projet'!$A$166,'Données projet'!$B$166,DO89+DN90-DW89)))</f>
        <v>280.86894586894596</v>
      </c>
      <c r="DP90" s="17">
        <f>DO90*VLOOKUP('Données projet'!$B$14,Paramètres!$A$1:$I$89,3,0)*VLOOKUP('Données projet'!$B$14,Paramètres!$A$1:$I$89,5,0)</f>
        <v>284.8011111111112</v>
      </c>
      <c r="DQ90" s="13">
        <f t="shared" si="97"/>
        <v>67.980615549338779</v>
      </c>
      <c r="DR90" s="20">
        <f t="shared" si="70"/>
        <v>614.42817393361702</v>
      </c>
      <c r="DS90" s="59">
        <f t="shared" si="71"/>
        <v>907.76150726695028</v>
      </c>
      <c r="DT90" s="59">
        <f ca="1">AVERAGE(OFFSET($DS$3,0,0,'Données projet'!$E$14+1,1))-AVERAGE(OFFSET($H$3,0,0,'Données projet'!$E$14+1,1))</f>
        <v>263.15518481854753</v>
      </c>
      <c r="DU90" s="59">
        <f t="shared" si="98"/>
        <v>210.80755370263819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0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-5.1159076974727213E-13</v>
      </c>
      <c r="EK90" s="17">
        <f>EJ90*VLOOKUP('Données projet'!$B$15,Paramètres!$A$1:$I$89,3,0)*VLOOKUP('Données projet'!$B$15,Paramètres!$A$1:$I$89,5,0)</f>
        <v>-3.4317508834647017E-13</v>
      </c>
      <c r="EL90" s="13" t="e">
        <f t="shared" si="99"/>
        <v>#NUM!</v>
      </c>
      <c r="EM90" s="20" t="e">
        <f t="shared" si="73"/>
        <v>#NUM!</v>
      </c>
      <c r="EN90" s="59" t="e">
        <f t="shared" si="74"/>
        <v>#NUM!</v>
      </c>
      <c r="EO90" s="59">
        <f ca="1">AVERAGE(OFFSET($EN$3,0,0,'Données projet'!$E$15+1,1))-AVERAGE(OFFSET($H$3,0,0,'Données projet'!$E$15+1,1))</f>
        <v>207.93042467236967</v>
      </c>
      <c r="EP90" s="59">
        <f t="shared" si="100"/>
        <v>250.70954318710835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0.88974431927673658</v>
      </c>
      <c r="EW90" s="21">
        <f>EXP(-LN(2)/25)*EW89+(1-EXP(-LN(2)/25))/(LN(2)/25)*Calculateur!ER90*Calculateur!ET90*VLOOKUP('Données projet'!$B$15,Paramètres!$A$1:$I$89,3,0)*0.475*44/12</f>
        <v>3.5622044153323928</v>
      </c>
      <c r="EX90" s="21">
        <f>EXP(-LN(2)/2)*EX89+(1-EXP(-LN(2)/2))/(LN(2)/2)*ER90*EU90*VLOOKUP('Données projet'!$B$15,Paramètres!$A$1:$I$89,3,0)*0.475*44/12</f>
        <v>5.3390061280592674E-8</v>
      </c>
      <c r="EY90" s="22">
        <f t="shared" si="75"/>
        <v>4.451948787999191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7.4950142450142483</v>
      </c>
      <c r="FE90" s="12">
        <f>IF('Données projet'!$A$218&gt;35,FE89+FD90-FM89,IF(A90&lt;'Données projet'!$A$218,$FB$205^A90,IF(A90='Données projet'!$A$218,'Données projet'!$B$218,FE89+FD90-FM89)))</f>
        <v>280.86894586894596</v>
      </c>
      <c r="FF90" s="17">
        <f>FE90*VLOOKUP('Données projet'!$B$16,Paramètres!$A$1:$I$89,3,0)*VLOOKUP('Données projet'!$B$16,Paramètres!$A$1:$I$89,5,0)</f>
        <v>302.3273333333334</v>
      </c>
      <c r="FG90" s="13">
        <f t="shared" si="101"/>
        <v>71.664142282114611</v>
      </c>
      <c r="FH90" s="20">
        <f t="shared" si="76"/>
        <v>651.36848669690528</v>
      </c>
      <c r="FI90" s="59">
        <f t="shared" si="77"/>
        <v>944.70182003023865</v>
      </c>
      <c r="FJ90" s="59">
        <f ca="1">AVERAGE(OFFSET($FI$3,0,0,'Données projet'!$E$16+1,1))-AVERAGE(OFFSET($H$3,0,0,'Données projet'!$E$16+1,1))</f>
        <v>286.77702855541287</v>
      </c>
      <c r="FK90" s="59">
        <f t="shared" si="102"/>
        <v>227.12211541860779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0</v>
      </c>
      <c r="FR90" s="21">
        <f>EXP(-LN(2)/25)*FR89+(1-EXP(-LN(2)/25))/(LN(2)/25)*Calculateur!FM90*Calculateur!FO90*VLOOKUP('Données projet'!$B$16,Paramètres!$A$1:$I$89,3,0)*0.475*44/12</f>
        <v>0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0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8.7211538461538449</v>
      </c>
      <c r="FZ90" s="12">
        <f>IF('Données projet'!$A$244&gt;35,FZ89+FY90-GH89,IF(A90&lt;'Données projet'!$A$244,$FW$205^A90,IF(A90='Données projet'!$A$244,'Données projet'!$B$244,FZ89+FY90-GH89)))</f>
        <v>311.06538461538452</v>
      </c>
      <c r="GA90" s="17">
        <f>FZ90*VLOOKUP('Données projet'!$B$17,Paramètres!$A$1:$I$89,3,0)*VLOOKUP('Données projet'!$B$17,Paramètres!$A$1:$I$89,5,0)</f>
        <v>145.57859999999994</v>
      </c>
      <c r="GB90" s="13">
        <f t="shared" si="103"/>
        <v>37.572063695955563</v>
      </c>
      <c r="GC90" s="20">
        <f t="shared" si="79"/>
        <v>318.98740593712245</v>
      </c>
      <c r="GD90" s="59">
        <f t="shared" si="80"/>
        <v>612.32073927045576</v>
      </c>
      <c r="GE90" s="59">
        <f ca="1">AVERAGE(OFFSET($GD$3,0,0,'Données projet'!$E$17+1,1))-AVERAGE(OFFSET($H$3,0,0,'Données projet'!$E$17+1,1))</f>
        <v>123.2823358462245</v>
      </c>
      <c r="GF90" s="59">
        <f t="shared" si="104"/>
        <v>92.75115399786057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0</v>
      </c>
      <c r="GM90" s="21">
        <f>EXP(-LN(2)/25)*GM89+(1-EXP(-LN(2)/25))/(LN(2)/25)*Calculateur!GH90*Calculateur!GJ90*VLOOKUP('Données projet'!$B$17,Paramètres!$A$1:$I$89,3,0)*0.475*44/12</f>
        <v>0</v>
      </c>
      <c r="GN90" s="21">
        <f>EXP(-LN(2)/2)*GN89+(1-EXP(-LN(2)/2))/(LN(2)/2)*GH90*GK90*VLOOKUP('Données projet'!$B$17,Paramètres!$A$1:$I$89,3,0)*0.475*44/12</f>
        <v>0</v>
      </c>
      <c r="GO90" s="21">
        <f t="shared" si="81"/>
        <v>0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-2.8421709430404007E-13</v>
      </c>
      <c r="GV90" s="17">
        <f>GU90*VLOOKUP('Données projet'!$B$18,Paramètres!$A$1:$I$89,3,0)*VLOOKUP('Données projet'!$B$18,Paramètres!$A$1:$I$89,5,0)</f>
        <v>-1.69961822393816E-13</v>
      </c>
      <c r="GW90" s="13" t="e">
        <f t="shared" si="105"/>
        <v>#NUM!</v>
      </c>
      <c r="GX90" s="20" t="e">
        <f t="shared" si="82"/>
        <v>#NUM!</v>
      </c>
      <c r="GY90" s="59" t="e">
        <f t="shared" si="83"/>
        <v>#NUM!</v>
      </c>
      <c r="GZ90" s="59">
        <f ca="1">AVERAGE(OFFSET($GY$3,0,0,'Données projet'!$E$18+1,1))-AVERAGE(OFFSET($H$3,0,0,'Données projet'!$E$18+1,1))</f>
        <v>171.96009656745713</v>
      </c>
      <c r="HA90" s="59">
        <f t="shared" si="106"/>
        <v>172.37574906747716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>
        <f>EXP(-LN(2)/35)*HG89+(1-EXP(-LN(2)/35))/(LN(2)/35)*HC90*HD90*VLOOKUP('Données projet'!$B$18,Paramètres!$A$1:$I$89,3,0)*0.475*44/12</f>
        <v>0.53946143572254235</v>
      </c>
      <c r="HH90" s="21">
        <f>EXP(-LN(2)/25)*HH89+(1-EXP(-LN(2)/25))/(LN(2)/25)*Calculateur!HC90*Calculateur!HE90*VLOOKUP('Données projet'!$B$18,Paramètres!$A$1:$I$89,3,0)*0.475*44/12</f>
        <v>4.2326340657662209</v>
      </c>
      <c r="HI90" s="21">
        <f>EXP(-LN(2)/2)*HI89+(1-EXP(-LN(2)/2))/(LN(2)/2)*HC90*HF90*VLOOKUP('Données projet'!$B$18,Paramètres!$A$1:$I$89,3,0)*0.475*44/12</f>
        <v>3.1727676777981849E-8</v>
      </c>
      <c r="HJ90" s="22">
        <f t="shared" si="84"/>
        <v>4.7720955332164401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-2.2737367544323206E-13</v>
      </c>
      <c r="O91" s="13">
        <f>N91*VLOOKUP('Données projet'!$B$9,Paramètres!$A$1:$I$89,3,0)*VLOOKUP('Données projet'!$B$9,Paramètres!$A$1:$I$89,5,0)</f>
        <v>-1.2710188457276673E-13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255.5374979188561</v>
      </c>
      <c r="T91" s="59">
        <f t="shared" si="88"/>
        <v>343.10418468620901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0.97974828784987167</v>
      </c>
      <c r="AA91" s="21">
        <f>EXP(-LN(2)/25)*AA90+(1-EXP(-LN(2)/25))/(LN(2)/25)*Calculateur!V91*Calculateur!X91*VLOOKUP('Données projet'!$B$9,Paramètres!$A$1:$I$89,3,0)*0.475*44/12</f>
        <v>3.1963207069456132</v>
      </c>
      <c r="AB91" s="21">
        <f>EXP(-LN(2)/2)*AB90+(1-EXP(-LN(2)/2))/(LN(2)/2)*V91*Y91*VLOOKUP('Données projet'!$B$9,Paramètres!$A$1:$I$89,3,0)*0.475*44/12</f>
        <v>3.1528101851308086E-9</v>
      </c>
      <c r="AC91" s="22">
        <f t="shared" si="57"/>
        <v>4.1760689979482954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11.242307692307691</v>
      </c>
      <c r="AI91" s="13">
        <f>IF('Données projet'!$A$62&gt;35,AI90+AH91-AQ90,IF(A91&lt;'Données projet'!$A$62,$AF$205^A91,IF(A91='Données projet'!$A$62,'Données projet'!$B$62,AI90+AH91-AQ90)))</f>
        <v>390.42692307692329</v>
      </c>
      <c r="AJ91" s="13">
        <f>AI91*VLOOKUP('Données projet'!$B$10,Paramètres!$A$1:$I$89,3,0)*VLOOKUP('Données projet'!$B$10,Paramètres!$A$1:$I$89,5,0)</f>
        <v>182.71980000000011</v>
      </c>
      <c r="AK91" s="13">
        <f t="shared" si="89"/>
        <v>45.926762394770535</v>
      </c>
      <c r="AL91" s="20">
        <f t="shared" si="58"/>
        <v>398.22609617089216</v>
      </c>
      <c r="AM91" s="59">
        <f t="shared" si="59"/>
        <v>691.55942950422548</v>
      </c>
      <c r="AN91" s="59">
        <f ca="1">AVERAGE(OFFSET($AM$3,0,0,'Données projet'!$E$10+1,1))-AVERAGE(OFFSET($H$3,0,0,'Données projet'!$E$10+1,1))</f>
        <v>158.58786357608489</v>
      </c>
      <c r="AO91" s="59">
        <f t="shared" si="90"/>
        <v>163.20074068819849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0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-1.7053025658242404E-13</v>
      </c>
      <c r="BE91" s="13">
        <f>BD91*VLOOKUP('Données projet'!$B$11,Paramètres!$A$1:$I$89,3,0)*VLOOKUP('Données projet'!$B$11,Paramètres!$A$1:$I$89,5,0)</f>
        <v>-1.0197709343628959E-13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243.85350804244348</v>
      </c>
      <c r="BJ91" s="59">
        <f t="shared" si="92"/>
        <v>304.60992308960545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1.4349908084891174</v>
      </c>
      <c r="BQ91" s="21">
        <f>EXP(-LN(2)/25)*BQ90+(1-EXP(-LN(2)/25))/(LN(2)/25)*Calculateur!BL91*Calculateur!BN91*VLOOKUP('Données projet'!$B$11,Paramètres!$A$1:$I$89,3,0)*0.475*44/12</f>
        <v>3.5505220898947587</v>
      </c>
      <c r="BR91" s="21">
        <f>EXP(-LN(2)/2)*BR90+(1-EXP(-LN(2)/2))/(LN(2)/2)*BL91*BO91*VLOOKUP('Données projet'!$B$11,Paramètres!$A$1:$I$89,3,0)*0.475*44/12</f>
        <v>6.9629895077491181E-9</v>
      </c>
      <c r="BS91" s="22">
        <f t="shared" si="63"/>
        <v>4.985512905346865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10.8</v>
      </c>
      <c r="BY91" s="12">
        <f>IF('Données projet'!$A$114&gt;35,BY90+BX91-CG90,IF(A91&lt;'Données projet'!$A$114,$BV$205^A91,IF(A91='Données projet'!$A$114,'Données projet'!$B$114,BY90+BX91-CG90)))</f>
        <v>545.40000000000009</v>
      </c>
      <c r="BZ91" s="13">
        <f>BY91*VLOOKUP('Données projet'!$B$12,Paramètres!$A$1:$I$89,3,0)*VLOOKUP('Données projet'!$B$12,Paramètres!$A$1:$I$89,5,0)</f>
        <v>326.14920000000006</v>
      </c>
      <c r="CA91" s="13">
        <f t="shared" si="93"/>
        <v>76.631393510479626</v>
      </c>
      <c r="CB91" s="20">
        <f t="shared" si="64"/>
        <v>701.50953369741865</v>
      </c>
      <c r="CC91" s="59">
        <f t="shared" si="65"/>
        <v>994.8428670307519</v>
      </c>
      <c r="CD91" s="59">
        <f ca="1">AVERAGE(OFFSET($CC$3,0,0,'Données projet'!$E$12+1,1))-AVERAGE(OFFSET($H$3,0,0,'Données projet'!$E$12+1,1))</f>
        <v>270.30888762640245</v>
      </c>
      <c r="CE91" s="59">
        <f t="shared" si="94"/>
        <v>202.23783851977691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0.67911542908906264</v>
      </c>
      <c r="CL91" s="21">
        <f>EXP(-LN(2)/25)*CL90+(1-EXP(-LN(2)/25))/(LN(2)/25)*Calculateur!CG91*Calculateur!CI91*VLOOKUP('Données projet'!$B$12,Paramètres!$A$1:$I$89,3,0)*0.475*44/12</f>
        <v>2.4623302263689539</v>
      </c>
      <c r="CM91" s="21">
        <f>EXP(-LN(2)/2)*CM90+(1-EXP(-LN(2)/2))/(LN(2)/2)*CG91*CJ91*VLOOKUP('Données projet'!$B$12,Paramètres!$A$1:$I$89,3,0)*0.475*44/12</f>
        <v>3.4445167680201277E-8</v>
      </c>
      <c r="CN91" s="22">
        <f t="shared" si="66"/>
        <v>3.1414456899031844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-5.1159076974727213E-13</v>
      </c>
      <c r="CU91" s="17">
        <f>CT91*VLOOKUP('Données projet'!$B$13,Paramètres!$A$1:$I$89,3,0)*VLOOKUP('Données projet'!$B$13,Paramètres!$A$1:$I$89,5,0)</f>
        <v>-4.0702161641092972E-13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260.20517190557814</v>
      </c>
      <c r="CZ91" s="59">
        <f t="shared" si="96"/>
        <v>307.22009971147133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1.0345847853296426</v>
      </c>
      <c r="DG91" s="21">
        <f>EXP(-LN(2)/25)*DG90+(1-EXP(-LN(2)/25))/(LN(2)/25)*Calculateur!DB91*Calculateur!DD91*VLOOKUP('Données projet'!$B$13,Paramètres!$A$1:$I$89,3,0)*0.475*44/12</f>
        <v>4.1094089107352021</v>
      </c>
      <c r="DH91" s="21">
        <f>EXP(-LN(2)/2)*DH90+(1-EXP(-LN(2)/2))/(LN(2)/2)*DB91*DE91*VLOOKUP('Données projet'!$B$13,Paramètres!$A$1:$I$89,3,0)*0.475*44/12</f>
        <v>4.4776190543095183E-8</v>
      </c>
      <c r="DI91" s="22">
        <f t="shared" si="69"/>
        <v>5.1439937408410357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7.4950142450142483</v>
      </c>
      <c r="DO91" s="12">
        <f>IF('Données projet'!$A$166&gt;35,DO90+DN91-DW90,IF(A91&lt;'Données projet'!$A$166,$DL$205^A91,IF(A91='Données projet'!$A$166,'Données projet'!$B$166,DO90+DN91-DW90)))</f>
        <v>288.36396011396022</v>
      </c>
      <c r="DP91" s="17">
        <f>DO91*VLOOKUP('Données projet'!$B$14,Paramètres!$A$1:$I$89,3,0)*VLOOKUP('Données projet'!$B$14,Paramètres!$A$1:$I$89,5,0)</f>
        <v>292.40105555555567</v>
      </c>
      <c r="DQ91" s="13">
        <f t="shared" si="97"/>
        <v>69.581061965327606</v>
      </c>
      <c r="DR91" s="20">
        <f t="shared" si="70"/>
        <v>630.45218801553835</v>
      </c>
      <c r="DS91" s="59">
        <f t="shared" si="71"/>
        <v>923.78552134887173</v>
      </c>
      <c r="DT91" s="59">
        <f ca="1">AVERAGE(OFFSET($DS$3,0,0,'Données projet'!$E$14+1,1))-AVERAGE(OFFSET($H$3,0,0,'Données projet'!$E$14+1,1))</f>
        <v>263.15518481854753</v>
      </c>
      <c r="DU91" s="59">
        <f t="shared" si="98"/>
        <v>210.80755370263819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0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-5.1159076974727213E-13</v>
      </c>
      <c r="EK91" s="17">
        <f>EJ91*VLOOKUP('Données projet'!$B$15,Paramètres!$A$1:$I$89,3,0)*VLOOKUP('Données projet'!$B$15,Paramètres!$A$1:$I$89,5,0)</f>
        <v>-3.4317508834647017E-13</v>
      </c>
      <c r="EL91" s="13" t="e">
        <f t="shared" si="99"/>
        <v>#NUM!</v>
      </c>
      <c r="EM91" s="20" t="e">
        <f t="shared" si="73"/>
        <v>#NUM!</v>
      </c>
      <c r="EN91" s="59" t="e">
        <f t="shared" si="74"/>
        <v>#NUM!</v>
      </c>
      <c r="EO91" s="59">
        <f ca="1">AVERAGE(OFFSET($EN$3,0,0,'Données projet'!$E$15+1,1))-AVERAGE(OFFSET($H$3,0,0,'Données projet'!$E$15+1,1))</f>
        <v>207.93042467236967</v>
      </c>
      <c r="EP91" s="59">
        <f t="shared" si="100"/>
        <v>250.70954318710835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0.87229697586616828</v>
      </c>
      <c r="EW91" s="21">
        <f>EXP(-LN(2)/25)*EW90+(1-EXP(-LN(2)/25))/(LN(2)/25)*Calculateur!ER91*Calculateur!ET91*VLOOKUP('Données projet'!$B$15,Paramètres!$A$1:$I$89,3,0)*0.475*44/12</f>
        <v>3.46479574826694</v>
      </c>
      <c r="EX91" s="21">
        <f>EXP(-LN(2)/2)*EX90+(1-EXP(-LN(2)/2))/(LN(2)/2)*ER91*EU91*VLOOKUP('Données projet'!$B$15,Paramètres!$A$1:$I$89,3,0)*0.475*44/12</f>
        <v>3.7752474379472407E-8</v>
      </c>
      <c r="EY91" s="22">
        <f t="shared" si="75"/>
        <v>4.3370927618855823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7.4950142450142483</v>
      </c>
      <c r="FE91" s="12">
        <f>IF('Données projet'!$A$218&gt;35,FE90+FD91-FM90,IF(A91&lt;'Données projet'!$A$218,$FB$205^A91,IF(A91='Données projet'!$A$218,'Données projet'!$B$218,FE90+FD91-FM90)))</f>
        <v>288.36396011396022</v>
      </c>
      <c r="FF91" s="17">
        <f>FE91*VLOOKUP('Données projet'!$B$16,Paramètres!$A$1:$I$89,3,0)*VLOOKUP('Données projet'!$B$16,Paramètres!$A$1:$I$89,5,0)</f>
        <v>310.39496666666679</v>
      </c>
      <c r="FG91" s="13">
        <f t="shared" si="101"/>
        <v>73.351308818391132</v>
      </c>
      <c r="FH91" s="20">
        <f t="shared" si="76"/>
        <v>668.3580964698092</v>
      </c>
      <c r="FI91" s="59">
        <f t="shared" si="77"/>
        <v>961.69142980314246</v>
      </c>
      <c r="FJ91" s="59">
        <f ca="1">AVERAGE(OFFSET($FI$3,0,0,'Données projet'!$E$16+1,1))-AVERAGE(OFFSET($H$3,0,0,'Données projet'!$E$16+1,1))</f>
        <v>286.77702855541287</v>
      </c>
      <c r="FK91" s="59">
        <f t="shared" si="102"/>
        <v>227.12211541860779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0</v>
      </c>
      <c r="FR91" s="21">
        <f>EXP(-LN(2)/25)*FR90+(1-EXP(-LN(2)/25))/(LN(2)/25)*Calculateur!FM91*Calculateur!FO91*VLOOKUP('Données projet'!$B$16,Paramètres!$A$1:$I$89,3,0)*0.475*44/12</f>
        <v>0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0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8.7211538461538449</v>
      </c>
      <c r="FZ91" s="12">
        <f>IF('Données projet'!$A$244&gt;35,FZ90+FY91-GH90,IF(A91&lt;'Données projet'!$A$244,$FW$205^A91,IF(A91='Données projet'!$A$244,'Données projet'!$B$244,FZ90+FY91-GH90)))</f>
        <v>319.78653846153838</v>
      </c>
      <c r="GA91" s="17">
        <f>FZ91*VLOOKUP('Données projet'!$B$17,Paramètres!$A$1:$I$89,3,0)*VLOOKUP('Données projet'!$B$17,Paramètres!$A$1:$I$89,5,0)</f>
        <v>149.66009999999997</v>
      </c>
      <c r="GB91" s="13">
        <f t="shared" si="103"/>
        <v>38.501331930603499</v>
      </c>
      <c r="GC91" s="20">
        <f t="shared" si="79"/>
        <v>327.714493945801</v>
      </c>
      <c r="GD91" s="59">
        <f t="shared" si="80"/>
        <v>621.04782727913425</v>
      </c>
      <c r="GE91" s="59">
        <f ca="1">AVERAGE(OFFSET($GD$3,0,0,'Données projet'!$E$17+1,1))-AVERAGE(OFFSET($H$3,0,0,'Données projet'!$E$17+1,1))</f>
        <v>123.2823358462245</v>
      </c>
      <c r="GF91" s="59">
        <f t="shared" si="104"/>
        <v>92.75115399786057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0</v>
      </c>
      <c r="GM91" s="21">
        <f>EXP(-LN(2)/25)*GM90+(1-EXP(-LN(2)/25))/(LN(2)/25)*Calculateur!GH91*Calculateur!GJ91*VLOOKUP('Données projet'!$B$17,Paramètres!$A$1:$I$89,3,0)*0.475*44/12</f>
        <v>0</v>
      </c>
      <c r="GN91" s="21">
        <f>EXP(-LN(2)/2)*GN90+(1-EXP(-LN(2)/2))/(LN(2)/2)*GH91*GK91*VLOOKUP('Données projet'!$B$17,Paramètres!$A$1:$I$89,3,0)*0.475*44/12</f>
        <v>0</v>
      </c>
      <c r="GO91" s="21">
        <f t="shared" si="81"/>
        <v>0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-2.8421709430404007E-13</v>
      </c>
      <c r="GV91" s="17">
        <f>GU91*VLOOKUP('Données projet'!$B$18,Paramètres!$A$1:$I$89,3,0)*VLOOKUP('Données projet'!$B$18,Paramètres!$A$1:$I$89,5,0)</f>
        <v>-1.69961822393816E-13</v>
      </c>
      <c r="GW91" s="13" t="e">
        <f t="shared" si="105"/>
        <v>#NUM!</v>
      </c>
      <c r="GX91" s="20" t="e">
        <f t="shared" si="82"/>
        <v>#NUM!</v>
      </c>
      <c r="GY91" s="59" t="e">
        <f t="shared" si="83"/>
        <v>#NUM!</v>
      </c>
      <c r="GZ91" s="59">
        <f ca="1">AVERAGE(OFFSET($GY$3,0,0,'Données projet'!$E$18+1,1))-AVERAGE(OFFSET($H$3,0,0,'Données projet'!$E$18+1,1))</f>
        <v>171.96009656745713</v>
      </c>
      <c r="HA91" s="59">
        <f t="shared" si="106"/>
        <v>172.37574906747716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>
        <f>EXP(-LN(2)/35)*HG90+(1-EXP(-LN(2)/35))/(LN(2)/35)*HC91*HD91*VLOOKUP('Données projet'!$B$18,Paramètres!$A$1:$I$89,3,0)*0.475*44/12</f>
        <v>0.52888292600700915</v>
      </c>
      <c r="HH91" s="21">
        <f>EXP(-LN(2)/25)*HH90+(1-EXP(-LN(2)/25))/(LN(2)/25)*Calculateur!HC91*Calculateur!HE91*VLOOKUP('Données projet'!$B$18,Paramètres!$A$1:$I$89,3,0)*0.475*44/12</f>
        <v>4.1168924646532918</v>
      </c>
      <c r="HI91" s="21">
        <f>EXP(-LN(2)/2)*HI90+(1-EXP(-LN(2)/2))/(LN(2)/2)*HC91*HF91*VLOOKUP('Données projet'!$B$18,Paramètres!$A$1:$I$89,3,0)*0.475*44/12</f>
        <v>2.2434855401005917E-8</v>
      </c>
      <c r="HJ91" s="22">
        <f t="shared" si="84"/>
        <v>4.6457754130951567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-2.2737367544323206E-13</v>
      </c>
      <c r="O92" s="13">
        <f>N92*VLOOKUP('Données projet'!$B$9,Paramètres!$A$1:$I$89,3,0)*VLOOKUP('Données projet'!$B$9,Paramètres!$A$1:$I$89,5,0)</f>
        <v>-1.2710188457276673E-13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255.5374979188561</v>
      </c>
      <c r="T92" s="59">
        <f t="shared" si="88"/>
        <v>343.10418468620901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0.96053602151258444</v>
      </c>
      <c r="AA92" s="21">
        <f>EXP(-LN(2)/25)*AA91+(1-EXP(-LN(2)/25))/(LN(2)/25)*Calculateur!V92*Calculateur!X92*VLOOKUP('Données projet'!$B$9,Paramètres!$A$1:$I$89,3,0)*0.475*44/12</f>
        <v>3.1089171491269849</v>
      </c>
      <c r="AB92" s="21">
        <f>EXP(-LN(2)/2)*AB91+(1-EXP(-LN(2)/2))/(LN(2)/2)*V92*Y92*VLOOKUP('Données projet'!$B$9,Paramètres!$A$1:$I$89,3,0)*0.475*44/12</f>
        <v>2.229373461700009E-9</v>
      </c>
      <c r="AC92" s="22">
        <f t="shared" si="57"/>
        <v>4.0694531728689425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11.242307692307691</v>
      </c>
      <c r="AI92" s="13">
        <f>IF('Données projet'!$A$62&gt;35,AI91+AH92-AQ91,IF(A92&lt;'Données projet'!$A$62,$AF$205^A92,IF(A92='Données projet'!$A$62,'Données projet'!$B$62,AI91+AH92-AQ91)))</f>
        <v>401.66923076923098</v>
      </c>
      <c r="AJ92" s="13">
        <f>AI92*VLOOKUP('Données projet'!$B$10,Paramètres!$A$1:$I$89,3,0)*VLOOKUP('Données projet'!$B$10,Paramètres!$A$1:$I$89,5,0)</f>
        <v>187.98120000000011</v>
      </c>
      <c r="AK92" s="13">
        <f t="shared" si="89"/>
        <v>47.093347732155607</v>
      </c>
      <c r="AL92" s="20">
        <f t="shared" si="58"/>
        <v>409.42150396683786</v>
      </c>
      <c r="AM92" s="59">
        <f t="shared" si="59"/>
        <v>702.75483730017118</v>
      </c>
      <c r="AN92" s="59">
        <f ca="1">AVERAGE(OFFSET($AM$3,0,0,'Données projet'!$E$10+1,1))-AVERAGE(OFFSET($H$3,0,0,'Données projet'!$E$10+1,1))</f>
        <v>158.58786357608489</v>
      </c>
      <c r="AO92" s="59">
        <f t="shared" si="90"/>
        <v>163.20074068819849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0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-1.7053025658242404E-13</v>
      </c>
      <c r="BE92" s="13">
        <f>BD92*VLOOKUP('Données projet'!$B$11,Paramètres!$A$1:$I$89,3,0)*VLOOKUP('Données projet'!$B$11,Paramètres!$A$1:$I$89,5,0)</f>
        <v>-1.0197709343628959E-13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243.85350804244348</v>
      </c>
      <c r="BJ92" s="59">
        <f t="shared" si="92"/>
        <v>304.60992308960545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1.4068515139926145</v>
      </c>
      <c r="BQ92" s="21">
        <f>EXP(-LN(2)/25)*BQ91+(1-EXP(-LN(2)/25))/(LN(2)/25)*Calculateur!BL92*Calculateur!BN92*VLOOKUP('Données projet'!$B$11,Paramètres!$A$1:$I$89,3,0)*0.475*44/12</f>
        <v>3.4534328766327445</v>
      </c>
      <c r="BR92" s="21">
        <f>EXP(-LN(2)/2)*BR91+(1-EXP(-LN(2)/2))/(LN(2)/2)*BL92*BO92*VLOOKUP('Données projet'!$B$11,Paramètres!$A$1:$I$89,3,0)*0.475*44/12</f>
        <v>4.9235770982601819E-9</v>
      </c>
      <c r="BS92" s="22">
        <f t="shared" si="63"/>
        <v>4.8602843955489359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10.8</v>
      </c>
      <c r="BY92" s="12">
        <f>IF('Données projet'!$A$114&gt;35,BY91+BX92-CG91,IF(A92&lt;'Données projet'!$A$114,$BV$205^A92,IF(A92='Données projet'!$A$114,'Données projet'!$B$114,BY91+BX92-CG91)))</f>
        <v>556.20000000000005</v>
      </c>
      <c r="BZ92" s="13">
        <f>BY92*VLOOKUP('Données projet'!$B$12,Paramètres!$A$1:$I$89,3,0)*VLOOKUP('Données projet'!$B$12,Paramètres!$A$1:$I$89,5,0)</f>
        <v>332.60760000000005</v>
      </c>
      <c r="CA92" s="13">
        <f t="shared" si="93"/>
        <v>77.97068128417547</v>
      </c>
      <c r="CB92" s="20">
        <f t="shared" si="64"/>
        <v>715.09050656993907</v>
      </c>
      <c r="CC92" s="59">
        <f t="shared" si="65"/>
        <v>1008.4238399032724</v>
      </c>
      <c r="CD92" s="59">
        <f ca="1">AVERAGE(OFFSET($CC$3,0,0,'Données projet'!$E$12+1,1))-AVERAGE(OFFSET($H$3,0,0,'Données projet'!$E$12+1,1))</f>
        <v>270.30888762640245</v>
      </c>
      <c r="CE92" s="59">
        <f t="shared" si="94"/>
        <v>202.23783851977691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0.66579838974413708</v>
      </c>
      <c r="CL92" s="21">
        <f>EXP(-LN(2)/25)*CL91+(1-EXP(-LN(2)/25))/(LN(2)/25)*Calculateur!CG92*Calculateur!CI92*VLOOKUP('Données projet'!$B$12,Paramètres!$A$1:$I$89,3,0)*0.475*44/12</f>
        <v>2.3949976768405761</v>
      </c>
      <c r="CM92" s="21">
        <f>EXP(-LN(2)/2)*CM91+(1-EXP(-LN(2)/2))/(LN(2)/2)*CG92*CJ92*VLOOKUP('Données projet'!$B$12,Paramètres!$A$1:$I$89,3,0)*0.475*44/12</f>
        <v>2.4356411645778023E-8</v>
      </c>
      <c r="CN92" s="22">
        <f t="shared" si="66"/>
        <v>3.0607960909411247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-5.1159076974727213E-13</v>
      </c>
      <c r="CU92" s="17">
        <f>CT92*VLOOKUP('Données projet'!$B$13,Paramètres!$A$1:$I$89,3,0)*VLOOKUP('Données projet'!$B$13,Paramètres!$A$1:$I$89,5,0)</f>
        <v>-4.0702161641092972E-13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260.20517190557814</v>
      </c>
      <c r="CZ92" s="59">
        <f t="shared" si="96"/>
        <v>307.22009971147133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1.0142972087237379</v>
      </c>
      <c r="DG92" s="21">
        <f>EXP(-LN(2)/25)*DG91+(1-EXP(-LN(2)/25))/(LN(2)/25)*Calculateur!DB92*Calculateur!DD92*VLOOKUP('Données projet'!$B$13,Paramètres!$A$1:$I$89,3,0)*0.475*44/12</f>
        <v>3.9970369079667254</v>
      </c>
      <c r="DH92" s="21">
        <f>EXP(-LN(2)/2)*DH91+(1-EXP(-LN(2)/2))/(LN(2)/2)*DB92*DE92*VLOOKUP('Données projet'!$B$13,Paramètres!$A$1:$I$89,3,0)*0.475*44/12</f>
        <v>3.1661547968723564E-8</v>
      </c>
      <c r="DI92" s="22">
        <f t="shared" si="69"/>
        <v>5.0113341483520113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>
        <f>VLOOKUP(A92,'Données projet'!$A$165:$I$185,2,0)</f>
        <v>295.85897435897436</v>
      </c>
      <c r="DM92" s="12">
        <f>VLOOKUP(A92,'Données projet'!$A$165:$I$185,9,0)</f>
        <v>7.4950142450142483</v>
      </c>
      <c r="DN92" s="12">
        <f t="array" ref="DN92">INDEX(DM:DM,MIN(IF(ISNUMBER(DM92:DM288),ROW(DM92:DM288),"")))</f>
        <v>7.4950142450142483</v>
      </c>
      <c r="DO92" s="12">
        <f>IF('Données projet'!$A$166&gt;35,DO91+DN92-DW91,IF(A92&lt;'Données projet'!$A$166,$DL$205^A92,IF(A92='Données projet'!$A$166,'Données projet'!$B$166,DO91+DN92-DW91)))</f>
        <v>295.85897435897448</v>
      </c>
      <c r="DP92" s="17">
        <f>DO92*VLOOKUP('Données projet'!$B$14,Paramètres!$A$1:$I$89,3,0)*VLOOKUP('Données projet'!$B$14,Paramètres!$A$1:$I$89,5,0)</f>
        <v>300.00100000000015</v>
      </c>
      <c r="DQ92" s="13">
        <f t="shared" si="97"/>
        <v>71.176673114058062</v>
      </c>
      <c r="DR92" s="20">
        <f t="shared" si="70"/>
        <v>646.46778067365142</v>
      </c>
      <c r="DS92" s="59">
        <f t="shared" si="71"/>
        <v>939.80111400698479</v>
      </c>
      <c r="DT92" s="59">
        <f ca="1">AVERAGE(OFFSET($DS$3,0,0,'Données projet'!$E$14+1,1))-AVERAGE(OFFSET($H$3,0,0,'Données projet'!$E$14+1,1))</f>
        <v>263.15518481854753</v>
      </c>
      <c r="DU92" s="59">
        <f t="shared" si="98"/>
        <v>210.80755370263819</v>
      </c>
      <c r="DV92" s="15">
        <f>IF(ISNA(VLOOKUP(A92,'Données projet'!$A$165:$I$185,3,0)),0,VLOOKUP(A92,'Données projet'!$A$165:$I$185,3,0))</f>
        <v>8</v>
      </c>
      <c r="DW92" s="15">
        <f>IF(ISNA(VLOOKUP(A92,'Données projet'!$A$165:$I$185,4,0)),0,VLOOKUP(A92,'Données projet'!$A$165:$I$185,4,0))</f>
        <v>49.391025641025635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0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-5.1159076974727213E-13</v>
      </c>
      <c r="EK92" s="17">
        <f>EJ92*VLOOKUP('Données projet'!$B$15,Paramètres!$A$1:$I$89,3,0)*VLOOKUP('Données projet'!$B$15,Paramètres!$A$1:$I$89,5,0)</f>
        <v>-3.4317508834647017E-13</v>
      </c>
      <c r="EL92" s="13" t="e">
        <f t="shared" si="99"/>
        <v>#NUM!</v>
      </c>
      <c r="EM92" s="20" t="e">
        <f t="shared" si="73"/>
        <v>#NUM!</v>
      </c>
      <c r="EN92" s="59" t="e">
        <f t="shared" si="74"/>
        <v>#NUM!</v>
      </c>
      <c r="EO92" s="59">
        <f ca="1">AVERAGE(OFFSET($EN$3,0,0,'Données projet'!$E$15+1,1))-AVERAGE(OFFSET($H$3,0,0,'Données projet'!$E$15+1,1))</f>
        <v>207.93042467236967</v>
      </c>
      <c r="EP92" s="59">
        <f t="shared" si="100"/>
        <v>250.70954318710835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0.85519176421805254</v>
      </c>
      <c r="EW92" s="21">
        <f>EXP(-LN(2)/25)*EW91+(1-EXP(-LN(2)/25))/(LN(2)/25)*Calculateur!ER92*Calculateur!ET92*VLOOKUP('Données projet'!$B$15,Paramètres!$A$1:$I$89,3,0)*0.475*44/12</f>
        <v>3.3700507263248909</v>
      </c>
      <c r="EX92" s="21">
        <f>EXP(-LN(2)/2)*EX91+(1-EXP(-LN(2)/2))/(LN(2)/2)*ER92*EU92*VLOOKUP('Données projet'!$B$15,Paramètres!$A$1:$I$89,3,0)*0.475*44/12</f>
        <v>2.6695030640296337E-8</v>
      </c>
      <c r="EY92" s="22">
        <f t="shared" si="75"/>
        <v>4.2252425172379748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>
        <f>VLOOKUP(A92,'Données projet'!$A$217:$I$237,2,0)</f>
        <v>295.85897435897436</v>
      </c>
      <c r="FC92" s="12">
        <f>VLOOKUP(A92,'Données projet'!$A$217:$I$237,9,0)</f>
        <v>7.4950142450142483</v>
      </c>
      <c r="FD92" s="12">
        <f t="array" ref="FD92">INDEX(FC:FC,MIN(IF(ISNUMBER(FC92:FC288),ROW(FC92:FC288),"")))</f>
        <v>7.4950142450142483</v>
      </c>
      <c r="FE92" s="12">
        <f>IF('Données projet'!$A$218&gt;35,FE91+FD92-FM91,IF(A92&lt;'Données projet'!$A$218,$FB$205^A92,IF(A92='Données projet'!$A$218,'Données projet'!$B$218,FE91+FD92-FM91)))</f>
        <v>295.85897435897448</v>
      </c>
      <c r="FF92" s="17">
        <f>FE92*VLOOKUP('Données projet'!$B$16,Paramètres!$A$1:$I$89,3,0)*VLOOKUP('Données projet'!$B$16,Paramètres!$A$1:$I$89,5,0)</f>
        <v>318.46260000000012</v>
      </c>
      <c r="FG92" s="13">
        <f t="shared" si="101"/>
        <v>75.033378088660626</v>
      </c>
      <c r="FH92" s="20">
        <f t="shared" si="76"/>
        <v>685.33882850441751</v>
      </c>
      <c r="FI92" s="59">
        <f t="shared" si="77"/>
        <v>978.67216183775076</v>
      </c>
      <c r="FJ92" s="59">
        <f ca="1">AVERAGE(OFFSET($FI$3,0,0,'Données projet'!$E$16+1,1))-AVERAGE(OFFSET($H$3,0,0,'Données projet'!$E$16+1,1))</f>
        <v>286.77702855541287</v>
      </c>
      <c r="FK92" s="59">
        <f t="shared" si="102"/>
        <v>227.12211541860779</v>
      </c>
      <c r="FL92" s="15">
        <f>IF(ISNA(VLOOKUP(A92,'Données projet'!$A$217:$I$237,3,0)),0,VLOOKUP(A92,'Données projet'!$A$217:$I$237,3,0))</f>
        <v>8</v>
      </c>
      <c r="FM92" s="15">
        <f>IF(ISNA(VLOOKUP(A92,'Données projet'!$A$217:$I$237,4,0)),0,VLOOKUP(A92,'Données projet'!$A$217:$I$237,4,0))</f>
        <v>49.391025641025635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0</v>
      </c>
      <c r="FR92" s="21">
        <f>EXP(-LN(2)/25)*FR91+(1-EXP(-LN(2)/25))/(LN(2)/25)*Calculateur!FM92*Calculateur!FO92*VLOOKUP('Données projet'!$B$16,Paramètres!$A$1:$I$89,3,0)*0.475*44/12</f>
        <v>0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0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8.7211538461538449</v>
      </c>
      <c r="FZ92" s="12">
        <f>IF('Données projet'!$A$244&gt;35,FZ91+FY92-GH91,IF(A92&lt;'Données projet'!$A$244,$FW$205^A92,IF(A92='Données projet'!$A$244,'Données projet'!$B$244,FZ91+FY92-GH91)))</f>
        <v>328.50769230769225</v>
      </c>
      <c r="GA92" s="17">
        <f>FZ92*VLOOKUP('Données projet'!$B$17,Paramètres!$A$1:$I$89,3,0)*VLOOKUP('Données projet'!$B$17,Paramètres!$A$1:$I$89,5,0)</f>
        <v>153.74159999999998</v>
      </c>
      <c r="GB92" s="13">
        <f t="shared" si="103"/>
        <v>39.427654552879645</v>
      </c>
      <c r="GC92" s="20">
        <f t="shared" si="79"/>
        <v>336.43645167959869</v>
      </c>
      <c r="GD92" s="59">
        <f t="shared" si="80"/>
        <v>629.76978501293206</v>
      </c>
      <c r="GE92" s="59">
        <f ca="1">AVERAGE(OFFSET($GD$3,0,0,'Données projet'!$E$17+1,1))-AVERAGE(OFFSET($H$3,0,0,'Données projet'!$E$17+1,1))</f>
        <v>123.2823358462245</v>
      </c>
      <c r="GF92" s="59">
        <f t="shared" si="104"/>
        <v>92.75115399786057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0</v>
      </c>
      <c r="GM92" s="21">
        <f>EXP(-LN(2)/25)*GM91+(1-EXP(-LN(2)/25))/(LN(2)/25)*Calculateur!GH92*Calculateur!GJ92*VLOOKUP('Données projet'!$B$17,Paramètres!$A$1:$I$89,3,0)*0.475*44/12</f>
        <v>0</v>
      </c>
      <c r="GN92" s="21">
        <f>EXP(-LN(2)/2)*GN91+(1-EXP(-LN(2)/2))/(LN(2)/2)*GH92*GK92*VLOOKUP('Données projet'!$B$17,Paramètres!$A$1:$I$89,3,0)*0.475*44/12</f>
        <v>0</v>
      </c>
      <c r="GO92" s="21">
        <f t="shared" si="81"/>
        <v>0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-2.8421709430404007E-13</v>
      </c>
      <c r="GV92" s="17">
        <f>GU92*VLOOKUP('Données projet'!$B$18,Paramètres!$A$1:$I$89,3,0)*VLOOKUP('Données projet'!$B$18,Paramètres!$A$1:$I$89,5,0)</f>
        <v>-1.69961822393816E-13</v>
      </c>
      <c r="GW92" s="13" t="e">
        <f t="shared" si="105"/>
        <v>#NUM!</v>
      </c>
      <c r="GX92" s="20" t="e">
        <f t="shared" si="82"/>
        <v>#NUM!</v>
      </c>
      <c r="GY92" s="59" t="e">
        <f t="shared" si="83"/>
        <v>#NUM!</v>
      </c>
      <c r="GZ92" s="59">
        <f ca="1">AVERAGE(OFFSET($GY$3,0,0,'Données projet'!$E$18+1,1))-AVERAGE(OFFSET($H$3,0,0,'Données projet'!$E$18+1,1))</f>
        <v>171.96009656745713</v>
      </c>
      <c r="HA92" s="59">
        <f t="shared" si="106"/>
        <v>172.37574906747716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>
        <f>EXP(-LN(2)/35)*HG91+(1-EXP(-LN(2)/35))/(LN(2)/35)*HC92*HD92*VLOOKUP('Données projet'!$B$18,Paramètres!$A$1:$I$89,3,0)*0.475*44/12</f>
        <v>0.51851185441474379</v>
      </c>
      <c r="HH92" s="21">
        <f>EXP(-LN(2)/25)*HH91+(1-EXP(-LN(2)/25))/(LN(2)/25)*Calculateur!HC92*Calculateur!HE92*VLOOKUP('Données projet'!$B$18,Paramètres!$A$1:$I$89,3,0)*0.475*44/12</f>
        <v>4.0043158237093825</v>
      </c>
      <c r="HI92" s="21">
        <f>EXP(-LN(2)/2)*HI91+(1-EXP(-LN(2)/2))/(LN(2)/2)*HC92*HF92*VLOOKUP('Données projet'!$B$18,Paramètres!$A$1:$I$89,3,0)*0.475*44/12</f>
        <v>1.5863838388990925E-8</v>
      </c>
      <c r="HJ92" s="22">
        <f t="shared" si="84"/>
        <v>4.5228276939879644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-2.2737367544323206E-13</v>
      </c>
      <c r="O93" s="13">
        <f>N93*VLOOKUP('Données projet'!$B$9,Paramètres!$A$1:$I$89,3,0)*VLOOKUP('Données projet'!$B$9,Paramètres!$A$1:$I$89,5,0)</f>
        <v>-1.2710188457276673E-13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255.5374979188561</v>
      </c>
      <c r="T93" s="59">
        <f t="shared" si="88"/>
        <v>343.10418468620901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0.94170049599984595</v>
      </c>
      <c r="AA93" s="21">
        <f>EXP(-LN(2)/25)*AA92+(1-EXP(-LN(2)/25))/(LN(2)/25)*Calculateur!V93*Calculateur!X93*VLOOKUP('Données projet'!$B$9,Paramètres!$A$1:$I$89,3,0)*0.475*44/12</f>
        <v>3.02390364619326</v>
      </c>
      <c r="AB93" s="21">
        <f>EXP(-LN(2)/2)*AB92+(1-EXP(-LN(2)/2))/(LN(2)/2)*V93*Y93*VLOOKUP('Données projet'!$B$9,Paramètres!$A$1:$I$89,3,0)*0.475*44/12</f>
        <v>1.5764050925654043E-9</v>
      </c>
      <c r="AC93" s="22">
        <f t="shared" si="57"/>
        <v>3.9656041437695113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11.242307692307691</v>
      </c>
      <c r="AI93" s="13">
        <f>IF('Données projet'!$A$62&gt;35,AI92+AH93-AQ92,IF(A93&lt;'Données projet'!$A$62,$AF$205^A93,IF(A93='Données projet'!$A$62,'Données projet'!$B$62,AI92+AH93-AQ92)))</f>
        <v>412.91153846153867</v>
      </c>
      <c r="AJ93" s="13">
        <f>AI93*VLOOKUP('Données projet'!$B$10,Paramètres!$A$1:$I$89,3,0)*VLOOKUP('Données projet'!$B$10,Paramètres!$A$1:$I$89,5,0)</f>
        <v>193.2426000000001</v>
      </c>
      <c r="AK93" s="13">
        <f t="shared" si="89"/>
        <v>48.256138093290417</v>
      </c>
      <c r="AL93" s="20">
        <f t="shared" si="58"/>
        <v>420.6103021791476</v>
      </c>
      <c r="AM93" s="59">
        <f t="shared" si="59"/>
        <v>713.94363551248091</v>
      </c>
      <c r="AN93" s="59">
        <f ca="1">AVERAGE(OFFSET($AM$3,0,0,'Données projet'!$E$10+1,1))-AVERAGE(OFFSET($H$3,0,0,'Données projet'!$E$10+1,1))</f>
        <v>158.58786357608489</v>
      </c>
      <c r="AO93" s="59">
        <f t="shared" si="90"/>
        <v>163.20074068819849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0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-1.7053025658242404E-13</v>
      </c>
      <c r="BE93" s="13">
        <f>BD93*VLOOKUP('Données projet'!$B$11,Paramètres!$A$1:$I$89,3,0)*VLOOKUP('Données projet'!$B$11,Paramètres!$A$1:$I$89,5,0)</f>
        <v>-1.0197709343628959E-13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243.85350804244348</v>
      </c>
      <c r="BJ93" s="59">
        <f t="shared" si="92"/>
        <v>304.60992308960545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1.3792640138979131</v>
      </c>
      <c r="BQ93" s="21">
        <f>EXP(-LN(2)/25)*BQ92+(1-EXP(-LN(2)/25))/(LN(2)/25)*Calculateur!BL93*Calculateur!BN93*VLOOKUP('Données projet'!$B$11,Paramètres!$A$1:$I$89,3,0)*0.475*44/12</f>
        <v>3.3589985730130798</v>
      </c>
      <c r="BR93" s="21">
        <f>EXP(-LN(2)/2)*BR92+(1-EXP(-LN(2)/2))/(LN(2)/2)*BL93*BO93*VLOOKUP('Données projet'!$B$11,Paramètres!$A$1:$I$89,3,0)*0.475*44/12</f>
        <v>3.4814947538745591E-9</v>
      </c>
      <c r="BS93" s="22">
        <f t="shared" si="63"/>
        <v>4.7382625903924884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567</v>
      </c>
      <c r="BW93" s="12">
        <f>VLOOKUP(A93,'Données projet'!$A$113:$I$133,9,0)</f>
        <v>10.8</v>
      </c>
      <c r="BX93" s="12">
        <f t="array" ref="BX93">INDEX(BW:BW,MIN(IF(ISNUMBER(BW93:BW289),ROW(BW93:BW289),"")))</f>
        <v>10.8</v>
      </c>
      <c r="BY93" s="12">
        <f>IF('Données projet'!$A$114&gt;35,BY92+BX93-CG92,IF(A93&lt;'Données projet'!$A$114,$BV$205^A93,IF(A93='Données projet'!$A$114,'Données projet'!$B$114,BY92+BX93-CG92)))</f>
        <v>567</v>
      </c>
      <c r="BZ93" s="13">
        <f>BY93*VLOOKUP('Données projet'!$B$12,Paramètres!$A$1:$I$89,3,0)*VLOOKUP('Données projet'!$B$12,Paramètres!$A$1:$I$89,5,0)</f>
        <v>339.06600000000003</v>
      </c>
      <c r="CA93" s="13">
        <f t="shared" si="93"/>
        <v>79.30694522486489</v>
      </c>
      <c r="CB93" s="20">
        <f t="shared" si="64"/>
        <v>728.66621293330627</v>
      </c>
      <c r="CC93" s="59">
        <f t="shared" si="65"/>
        <v>1021.9995462666395</v>
      </c>
      <c r="CD93" s="59">
        <f ca="1">AVERAGE(OFFSET($CC$3,0,0,'Données projet'!$E$12+1,1))-AVERAGE(OFFSET($H$3,0,0,'Données projet'!$E$12+1,1))</f>
        <v>270.30888762640245</v>
      </c>
      <c r="CE93" s="59">
        <f t="shared" si="94"/>
        <v>202.23783851977691</v>
      </c>
      <c r="CF93" s="15">
        <f>IF(ISNA(VLOOKUP(A93,'Données projet'!$A$113:$I$133,3,0)),0,VLOOKUP(A93,'Données projet'!$A$113:$I$133,3,0))</f>
        <v>8</v>
      </c>
      <c r="CG93" s="15">
        <f>IF(ISNA(VLOOKUP(A93,'Données projet'!$A$113:$I$133,4,0)),0,VLOOKUP(A93,'Données projet'!$A$113:$I$133,4,0))</f>
        <v>70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0.65274248941817359</v>
      </c>
      <c r="CL93" s="21">
        <f>EXP(-LN(2)/25)*CL92+(1-EXP(-LN(2)/25))/(LN(2)/25)*Calculateur!CG93*Calculateur!CI93*VLOOKUP('Données projet'!$B$12,Paramètres!$A$1:$I$89,3,0)*0.475*44/12</f>
        <v>2.3295063394199165</v>
      </c>
      <c r="CM93" s="21">
        <f>EXP(-LN(2)/2)*CM92+(1-EXP(-LN(2)/2))/(LN(2)/2)*CG93*CJ93*VLOOKUP('Données projet'!$B$12,Paramètres!$A$1:$I$89,3,0)*0.475*44/12</f>
        <v>1.7222583840100639E-8</v>
      </c>
      <c r="CN93" s="22">
        <f t="shared" si="66"/>
        <v>2.9822488460606738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-5.1159076974727213E-13</v>
      </c>
      <c r="CU93" s="17">
        <f>CT93*VLOOKUP('Données projet'!$B$13,Paramètres!$A$1:$I$89,3,0)*VLOOKUP('Données projet'!$B$13,Paramètres!$A$1:$I$89,5,0)</f>
        <v>-4.0702161641092972E-13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260.20517190557814</v>
      </c>
      <c r="CZ93" s="59">
        <f t="shared" si="96"/>
        <v>307.22009971147133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0.99440745912087503</v>
      </c>
      <c r="DG93" s="21">
        <f>EXP(-LN(2)/25)*DG92+(1-EXP(-LN(2)/25))/(LN(2)/25)*Calculateur!DB93*Calculateur!DD93*VLOOKUP('Données projet'!$B$13,Paramètres!$A$1:$I$89,3,0)*0.475*44/12</f>
        <v>3.8877377235233395</v>
      </c>
      <c r="DH93" s="21">
        <f>EXP(-LN(2)/2)*DH92+(1-EXP(-LN(2)/2))/(LN(2)/2)*DB93*DE93*VLOOKUP('Données projet'!$B$13,Paramètres!$A$1:$I$89,3,0)*0.475*44/12</f>
        <v>2.2388095271547592E-8</v>
      </c>
      <c r="DI93" s="22">
        <f t="shared" si="69"/>
        <v>4.8821452050323098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7.1782051282051267</v>
      </c>
      <c r="DO93" s="12">
        <f>IF('Données projet'!$A$166&gt;35,DO92+DN93-DW92,IF(A93&lt;'Données projet'!$A$166,$DL$205^A93,IF(A93='Données projet'!$A$166,'Données projet'!$B$166,DO92+DN93-DW92)))</f>
        <v>253.64615384615399</v>
      </c>
      <c r="DP93" s="17">
        <f>DO93*VLOOKUP('Données projet'!$B$14,Paramètres!$A$1:$I$89,3,0)*VLOOKUP('Données projet'!$B$14,Paramètres!$A$1:$I$89,5,0)</f>
        <v>257.19720000000012</v>
      </c>
      <c r="DQ93" s="13">
        <f t="shared" si="97"/>
        <v>62.124557913773565</v>
      </c>
      <c r="DR93" s="20">
        <f t="shared" si="70"/>
        <v>556.15206169982241</v>
      </c>
      <c r="DS93" s="59">
        <f t="shared" si="71"/>
        <v>849.48539503315578</v>
      </c>
      <c r="DT93" s="59">
        <f ca="1">AVERAGE(OFFSET($DS$3,0,0,'Données projet'!$E$14+1,1))-AVERAGE(OFFSET($H$3,0,0,'Données projet'!$E$14+1,1))</f>
        <v>263.15518481854753</v>
      </c>
      <c r="DU93" s="59">
        <f t="shared" si="98"/>
        <v>210.80755370263819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0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-5.1159076974727213E-13</v>
      </c>
      <c r="EK93" s="17">
        <f>EJ93*VLOOKUP('Données projet'!$B$15,Paramètres!$A$1:$I$89,3,0)*VLOOKUP('Données projet'!$B$15,Paramètres!$A$1:$I$89,5,0)</f>
        <v>-3.4317508834647017E-13</v>
      </c>
      <c r="EL93" s="13" t="e">
        <f t="shared" si="99"/>
        <v>#NUM!</v>
      </c>
      <c r="EM93" s="20" t="e">
        <f t="shared" si="73"/>
        <v>#NUM!</v>
      </c>
      <c r="EN93" s="59" t="e">
        <f t="shared" si="74"/>
        <v>#NUM!</v>
      </c>
      <c r="EO93" s="59">
        <f ca="1">AVERAGE(OFFSET($EN$3,0,0,'Données projet'!$E$15+1,1))-AVERAGE(OFFSET($H$3,0,0,'Données projet'!$E$15+1,1))</f>
        <v>207.93042467236967</v>
      </c>
      <c r="EP93" s="59">
        <f t="shared" si="100"/>
        <v>250.70954318710835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0.83842197533720741</v>
      </c>
      <c r="EW93" s="21">
        <f>EXP(-LN(2)/25)*EW92+(1-EXP(-LN(2)/25))/(LN(2)/25)*Calculateur!ER93*Calculateur!ET93*VLOOKUP('Données projet'!$B$15,Paramètres!$A$1:$I$89,3,0)*0.475*44/12</f>
        <v>3.2778965119902712</v>
      </c>
      <c r="EX93" s="21">
        <f>EXP(-LN(2)/2)*EX92+(1-EXP(-LN(2)/2))/(LN(2)/2)*ER93*EU93*VLOOKUP('Données projet'!$B$15,Paramètres!$A$1:$I$89,3,0)*0.475*44/12</f>
        <v>1.8876237189736203E-8</v>
      </c>
      <c r="EY93" s="22">
        <f t="shared" si="75"/>
        <v>4.116318506203716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7.1782051282051267</v>
      </c>
      <c r="FE93" s="12">
        <f>IF('Données projet'!$A$218&gt;35,FE92+FD93-FM92,IF(A93&lt;'Données projet'!$A$218,$FB$205^A93,IF(A93='Données projet'!$A$218,'Données projet'!$B$218,FE92+FD93-FM92)))</f>
        <v>253.64615384615399</v>
      </c>
      <c r="FF93" s="17">
        <f>FE93*VLOOKUP('Données projet'!$B$16,Paramètres!$A$1:$I$89,3,0)*VLOOKUP('Données projet'!$B$16,Paramètres!$A$1:$I$89,5,0)</f>
        <v>273.02472000000017</v>
      </c>
      <c r="FG93" s="13">
        <f t="shared" si="101"/>
        <v>65.490774415169966</v>
      </c>
      <c r="FH93" s="20">
        <f t="shared" si="76"/>
        <v>589.58115277308787</v>
      </c>
      <c r="FI93" s="59">
        <f t="shared" si="77"/>
        <v>882.91448610642124</v>
      </c>
      <c r="FJ93" s="59">
        <f ca="1">AVERAGE(OFFSET($FI$3,0,0,'Données projet'!$E$16+1,1))-AVERAGE(OFFSET($H$3,0,0,'Données projet'!$E$16+1,1))</f>
        <v>286.77702855541287</v>
      </c>
      <c r="FK93" s="59">
        <f t="shared" si="102"/>
        <v>227.12211541860779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0</v>
      </c>
      <c r="FR93" s="21">
        <f>EXP(-LN(2)/25)*FR92+(1-EXP(-LN(2)/25))/(LN(2)/25)*Calculateur!FM93*Calculateur!FO93*VLOOKUP('Données projet'!$B$16,Paramètres!$A$1:$I$89,3,0)*0.475*44/12</f>
        <v>0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0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8.7211538461538449</v>
      </c>
      <c r="FZ93" s="12">
        <f>IF('Données projet'!$A$244&gt;35,FZ92+FY93-GH92,IF(A93&lt;'Données projet'!$A$244,$FW$205^A93,IF(A93='Données projet'!$A$244,'Données projet'!$B$244,FZ92+FY93-GH92)))</f>
        <v>337.22884615384612</v>
      </c>
      <c r="GA93" s="17">
        <f>FZ93*VLOOKUP('Données projet'!$B$17,Paramètres!$A$1:$I$89,3,0)*VLOOKUP('Données projet'!$B$17,Paramètres!$A$1:$I$89,5,0)</f>
        <v>157.82309999999998</v>
      </c>
      <c r="GB93" s="13">
        <f t="shared" si="103"/>
        <v>40.351118750694731</v>
      </c>
      <c r="GC93" s="20">
        <f t="shared" si="79"/>
        <v>345.1534309907932</v>
      </c>
      <c r="GD93" s="59">
        <f t="shared" si="80"/>
        <v>638.48676432412651</v>
      </c>
      <c r="GE93" s="59">
        <f ca="1">AVERAGE(OFFSET($GD$3,0,0,'Données projet'!$E$17+1,1))-AVERAGE(OFFSET($H$3,0,0,'Données projet'!$E$17+1,1))</f>
        <v>123.2823358462245</v>
      </c>
      <c r="GF93" s="59">
        <f t="shared" si="104"/>
        <v>92.75115399786057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0</v>
      </c>
      <c r="GM93" s="21">
        <f>EXP(-LN(2)/25)*GM92+(1-EXP(-LN(2)/25))/(LN(2)/25)*Calculateur!GH93*Calculateur!GJ93*VLOOKUP('Données projet'!$B$17,Paramètres!$A$1:$I$89,3,0)*0.475*44/12</f>
        <v>0</v>
      </c>
      <c r="GN93" s="21">
        <f>EXP(-LN(2)/2)*GN92+(1-EXP(-LN(2)/2))/(LN(2)/2)*GH93*GK93*VLOOKUP('Données projet'!$B$17,Paramètres!$A$1:$I$89,3,0)*0.475*44/12</f>
        <v>0</v>
      </c>
      <c r="GO93" s="21">
        <f t="shared" si="81"/>
        <v>0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-2.8421709430404007E-13</v>
      </c>
      <c r="GV93" s="17">
        <f>GU93*VLOOKUP('Données projet'!$B$18,Paramètres!$A$1:$I$89,3,0)*VLOOKUP('Données projet'!$B$18,Paramètres!$A$1:$I$89,5,0)</f>
        <v>-1.69961822393816E-13</v>
      </c>
      <c r="GW93" s="13" t="e">
        <f t="shared" si="105"/>
        <v>#NUM!</v>
      </c>
      <c r="GX93" s="20" t="e">
        <f t="shared" si="82"/>
        <v>#NUM!</v>
      </c>
      <c r="GY93" s="59" t="e">
        <f t="shared" si="83"/>
        <v>#NUM!</v>
      </c>
      <c r="GZ93" s="59">
        <f ca="1">AVERAGE(OFFSET($GY$3,0,0,'Données projet'!$E$18+1,1))-AVERAGE(OFFSET($H$3,0,0,'Données projet'!$E$18+1,1))</f>
        <v>171.96009656745713</v>
      </c>
      <c r="HA93" s="59">
        <f t="shared" si="106"/>
        <v>172.37574906747716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>
        <f>EXP(-LN(2)/35)*HG92+(1-EXP(-LN(2)/35))/(LN(2)/35)*HC93*HD93*VLOOKUP('Données projet'!$B$18,Paramètres!$A$1:$I$89,3,0)*0.475*44/12</f>
        <v>0.50834415321067372</v>
      </c>
      <c r="HH93" s="21">
        <f>EXP(-LN(2)/25)*HH92+(1-EXP(-LN(2)/25))/(LN(2)/25)*Calculateur!HC93*Calculateur!HE93*VLOOKUP('Données projet'!$B$18,Paramètres!$A$1:$I$89,3,0)*0.475*44/12</f>
        <v>3.8948175969322323</v>
      </c>
      <c r="HI93" s="21">
        <f>EXP(-LN(2)/2)*HI92+(1-EXP(-LN(2)/2))/(LN(2)/2)*HC93*HF93*VLOOKUP('Données projet'!$B$18,Paramètres!$A$1:$I$89,3,0)*0.475*44/12</f>
        <v>1.1217427700502958E-8</v>
      </c>
      <c r="HJ93" s="22">
        <f t="shared" si="84"/>
        <v>4.4031617613603338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-2.2737367544323206E-13</v>
      </c>
      <c r="O94" s="13">
        <f>N94*VLOOKUP('Données projet'!$B$9,Paramètres!$A$1:$I$89,3,0)*VLOOKUP('Données projet'!$B$9,Paramètres!$A$1:$I$89,5,0)</f>
        <v>-1.2710188457276673E-13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255.5374979188561</v>
      </c>
      <c r="T94" s="59">
        <f t="shared" si="88"/>
        <v>343.10418468620901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0.92323432365387614</v>
      </c>
      <c r="AA94" s="21">
        <f>EXP(-LN(2)/25)*AA93+(1-EXP(-LN(2)/25))/(LN(2)/25)*Calculateur!V94*Calculateur!X94*VLOOKUP('Données projet'!$B$9,Paramètres!$A$1:$I$89,3,0)*0.475*44/12</f>
        <v>2.9412148419679238</v>
      </c>
      <c r="AB94" s="21">
        <f>EXP(-LN(2)/2)*AB93+(1-EXP(-LN(2)/2))/(LN(2)/2)*V94*Y94*VLOOKUP('Données projet'!$B$9,Paramètres!$A$1:$I$89,3,0)*0.475*44/12</f>
        <v>1.1146867308500045E-9</v>
      </c>
      <c r="AC94" s="22">
        <f t="shared" si="57"/>
        <v>3.8644491667364864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11.242307692307691</v>
      </c>
      <c r="AI94" s="13">
        <f>IF('Données projet'!$A$62&gt;35,AI93+AH94-AQ93,IF(A94&lt;'Données projet'!$A$62,$AF$205^A94,IF(A94='Données projet'!$A$62,'Données projet'!$B$62,AI93+AH94-AQ93)))</f>
        <v>424.15384615384636</v>
      </c>
      <c r="AJ94" s="13">
        <f>AI94*VLOOKUP('Données projet'!$B$10,Paramètres!$A$1:$I$89,3,0)*VLOOKUP('Données projet'!$B$10,Paramètres!$A$1:$I$89,5,0)</f>
        <v>198.5040000000001</v>
      </c>
      <c r="AK94" s="13">
        <f t="shared" si="89"/>
        <v>49.415248676990458</v>
      </c>
      <c r="AL94" s="20">
        <f t="shared" si="58"/>
        <v>431.79269144575846</v>
      </c>
      <c r="AM94" s="59">
        <f t="shared" si="59"/>
        <v>725.12602477909172</v>
      </c>
      <c r="AN94" s="59">
        <f ca="1">AVERAGE(OFFSET($AM$3,0,0,'Données projet'!$E$10+1,1))-AVERAGE(OFFSET($H$3,0,0,'Données projet'!$E$10+1,1))</f>
        <v>158.58786357608489</v>
      </c>
      <c r="AO94" s="59">
        <f t="shared" si="90"/>
        <v>163.20074068819849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0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-1.7053025658242404E-13</v>
      </c>
      <c r="BE94" s="13">
        <f>BD94*VLOOKUP('Données projet'!$B$11,Paramètres!$A$1:$I$89,3,0)*VLOOKUP('Données projet'!$B$11,Paramètres!$A$1:$I$89,5,0)</f>
        <v>-1.0197709343628959E-13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243.85350804244348</v>
      </c>
      <c r="BJ94" s="59">
        <f t="shared" si="92"/>
        <v>304.60992308960545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1.3522174878533553</v>
      </c>
      <c r="BQ94" s="21">
        <f>EXP(-LN(2)/25)*BQ93+(1-EXP(-LN(2)/25))/(LN(2)/25)*Calculateur!BL94*Calculateur!BN94*VLOOKUP('Données projet'!$B$11,Paramètres!$A$1:$I$89,3,0)*0.475*44/12</f>
        <v>3.2671465803919792</v>
      </c>
      <c r="BR94" s="21">
        <f>EXP(-LN(2)/2)*BR93+(1-EXP(-LN(2)/2))/(LN(2)/2)*BL94*BO94*VLOOKUP('Données projet'!$B$11,Paramètres!$A$1:$I$89,3,0)*0.475*44/12</f>
        <v>2.4617885491300909E-9</v>
      </c>
      <c r="BS94" s="22">
        <f t="shared" si="63"/>
        <v>4.6193640707071228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497</v>
      </c>
      <c r="BZ94" s="13">
        <f>BY94*VLOOKUP('Données projet'!$B$12,Paramètres!$A$1:$I$89,3,0)*VLOOKUP('Données projet'!$B$12,Paramètres!$A$1:$I$89,5,0)</f>
        <v>297.20600000000002</v>
      </c>
      <c r="CA94" s="13">
        <f t="shared" si="93"/>
        <v>70.590415164571112</v>
      </c>
      <c r="CB94" s="20">
        <f t="shared" si="64"/>
        <v>640.57875641162809</v>
      </c>
      <c r="CC94" s="59">
        <f t="shared" si="65"/>
        <v>933.91208974496135</v>
      </c>
      <c r="CD94" s="59">
        <f ca="1">AVERAGE(OFFSET($CC$3,0,0,'Données projet'!$E$12+1,1))-AVERAGE(OFFSET($H$3,0,0,'Données projet'!$E$12+1,1))</f>
        <v>270.30888762640245</v>
      </c>
      <c r="CE94" s="59">
        <f t="shared" si="94"/>
        <v>202.23783851977691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0.63994260733428932</v>
      </c>
      <c r="CL94" s="21">
        <f>EXP(-LN(2)/25)*CL93+(1-EXP(-LN(2)/25))/(LN(2)/25)*Calculateur!CG94*Calculateur!CI94*VLOOKUP('Données projet'!$B$12,Paramètres!$A$1:$I$89,3,0)*0.475*44/12</f>
        <v>2.2658058660650648</v>
      </c>
      <c r="CM94" s="21">
        <f>EXP(-LN(2)/2)*CM93+(1-EXP(-LN(2)/2))/(LN(2)/2)*CG94*CJ94*VLOOKUP('Données projet'!$B$12,Paramètres!$A$1:$I$89,3,0)*0.475*44/12</f>
        <v>1.2178205822889012E-8</v>
      </c>
      <c r="CN94" s="22">
        <f t="shared" si="66"/>
        <v>2.9057484855775604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-5.1159076974727213E-13</v>
      </c>
      <c r="CU94" s="17">
        <f>CT94*VLOOKUP('Données projet'!$B$13,Paramètres!$A$1:$I$89,3,0)*VLOOKUP('Données projet'!$B$13,Paramètres!$A$1:$I$89,5,0)</f>
        <v>-4.0702161641092972E-13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260.20517190557814</v>
      </c>
      <c r="CZ94" s="59">
        <f t="shared" si="96"/>
        <v>307.22009971147133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0.97490773537617503</v>
      </c>
      <c r="DG94" s="21">
        <f>EXP(-LN(2)/25)*DG93+(1-EXP(-LN(2)/25))/(LN(2)/25)*Calculateur!DB94*Calculateur!DD94*VLOOKUP('Données projet'!$B$13,Paramètres!$A$1:$I$89,3,0)*0.475*44/12</f>
        <v>3.7814273310263524</v>
      </c>
      <c r="DH94" s="21">
        <f>EXP(-LN(2)/2)*DH93+(1-EXP(-LN(2)/2))/(LN(2)/2)*DB94*DE94*VLOOKUP('Données projet'!$B$13,Paramètres!$A$1:$I$89,3,0)*0.475*44/12</f>
        <v>1.5830773984361782E-8</v>
      </c>
      <c r="DI94" s="22">
        <f t="shared" si="69"/>
        <v>4.7563350822333019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7.1782051282051267</v>
      </c>
      <c r="DO94" s="12">
        <f>IF('Données projet'!$A$166&gt;35,DO93+DN94-DW93,IF(A94&lt;'Données projet'!$A$166,$DL$205^A94,IF(A94='Données projet'!$A$166,'Données projet'!$B$166,DO93+DN94-DW93)))</f>
        <v>260.82435897435914</v>
      </c>
      <c r="DP94" s="17">
        <f>DO94*VLOOKUP('Données projet'!$B$14,Paramètres!$A$1:$I$89,3,0)*VLOOKUP('Données projet'!$B$14,Paramètres!$A$1:$I$89,5,0)</f>
        <v>264.47590000000019</v>
      </c>
      <c r="DQ94" s="13">
        <f t="shared" si="97"/>
        <v>63.675509123397177</v>
      </c>
      <c r="DR94" s="20">
        <f t="shared" si="70"/>
        <v>571.53037088991698</v>
      </c>
      <c r="DS94" s="59">
        <f t="shared" si="71"/>
        <v>864.86370422325035</v>
      </c>
      <c r="DT94" s="59">
        <f ca="1">AVERAGE(OFFSET($DS$3,0,0,'Données projet'!$E$14+1,1))-AVERAGE(OFFSET($H$3,0,0,'Données projet'!$E$14+1,1))</f>
        <v>263.15518481854753</v>
      </c>
      <c r="DU94" s="59">
        <f t="shared" si="98"/>
        <v>210.80755370263819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0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-5.1159076974727213E-13</v>
      </c>
      <c r="EK94" s="17">
        <f>EJ94*VLOOKUP('Données projet'!$B$15,Paramètres!$A$1:$I$89,3,0)*VLOOKUP('Données projet'!$B$15,Paramètres!$A$1:$I$89,5,0)</f>
        <v>-3.4317508834647017E-13</v>
      </c>
      <c r="EL94" s="13" t="e">
        <f t="shared" si="99"/>
        <v>#NUM!</v>
      </c>
      <c r="EM94" s="20" t="e">
        <f t="shared" si="73"/>
        <v>#NUM!</v>
      </c>
      <c r="EN94" s="59" t="e">
        <f t="shared" si="74"/>
        <v>#NUM!</v>
      </c>
      <c r="EO94" s="59">
        <f ca="1">AVERAGE(OFFSET($EN$3,0,0,'Données projet'!$E$15+1,1))-AVERAGE(OFFSET($H$3,0,0,'Données projet'!$E$15+1,1))</f>
        <v>207.93042467236967</v>
      </c>
      <c r="EP94" s="59">
        <f t="shared" si="100"/>
        <v>250.70954318710835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0.8219810317877545</v>
      </c>
      <c r="EW94" s="21">
        <f>EXP(-LN(2)/25)*EW93+(1-EXP(-LN(2)/25))/(LN(2)/25)*Calculateur!ER94*Calculateur!ET94*VLOOKUP('Données projet'!$B$15,Paramètres!$A$1:$I$89,3,0)*0.475*44/12</f>
        <v>3.1882622594928116</v>
      </c>
      <c r="EX94" s="21">
        <f>EXP(-LN(2)/2)*EX93+(1-EXP(-LN(2)/2))/(LN(2)/2)*ER94*EU94*VLOOKUP('Données projet'!$B$15,Paramètres!$A$1:$I$89,3,0)*0.475*44/12</f>
        <v>1.3347515320148168E-8</v>
      </c>
      <c r="EY94" s="22">
        <f t="shared" si="75"/>
        <v>4.010243304628081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7.1782051282051267</v>
      </c>
      <c r="FE94" s="12">
        <f>IF('Données projet'!$A$218&gt;35,FE93+FD94-FM93,IF(A94&lt;'Données projet'!$A$218,$FB$205^A94,IF(A94='Données projet'!$A$218,'Données projet'!$B$218,FE93+FD94-FM93)))</f>
        <v>260.82435897435914</v>
      </c>
      <c r="FF94" s="17">
        <f>FE94*VLOOKUP('Données projet'!$B$16,Paramètres!$A$1:$I$89,3,0)*VLOOKUP('Données projet'!$B$16,Paramètres!$A$1:$I$89,5,0)</f>
        <v>280.75134000000014</v>
      </c>
      <c r="FG94" s="13">
        <f t="shared" si="101"/>
        <v>67.125763849450863</v>
      </c>
      <c r="FH94" s="20">
        <f t="shared" si="76"/>
        <v>605.88595587112718</v>
      </c>
      <c r="FI94" s="59">
        <f t="shared" si="77"/>
        <v>899.21928920446044</v>
      </c>
      <c r="FJ94" s="59">
        <f ca="1">AVERAGE(OFFSET($FI$3,0,0,'Données projet'!$E$16+1,1))-AVERAGE(OFFSET($H$3,0,0,'Données projet'!$E$16+1,1))</f>
        <v>286.77702855541287</v>
      </c>
      <c r="FK94" s="59">
        <f t="shared" si="102"/>
        <v>227.12211541860779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0</v>
      </c>
      <c r="FR94" s="21">
        <f>EXP(-LN(2)/25)*FR93+(1-EXP(-LN(2)/25))/(LN(2)/25)*Calculateur!FM94*Calculateur!FO94*VLOOKUP('Données projet'!$B$16,Paramètres!$A$1:$I$89,3,0)*0.475*44/12</f>
        <v>0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0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8.7211538461538449</v>
      </c>
      <c r="FZ94" s="12">
        <f>IF('Données projet'!$A$244&gt;35,FZ93+FY94-GH93,IF(A94&lt;'Données projet'!$A$244,$FW$205^A94,IF(A94='Données projet'!$A$244,'Données projet'!$B$244,FZ93+FY94-GH93)))</f>
        <v>345.95</v>
      </c>
      <c r="GA94" s="17">
        <f>FZ94*VLOOKUP('Données projet'!$B$17,Paramètres!$A$1:$I$89,3,0)*VLOOKUP('Données projet'!$B$17,Paramètres!$A$1:$I$89,5,0)</f>
        <v>161.90459999999999</v>
      </c>
      <c r="GB94" s="13">
        <f t="shared" si="103"/>
        <v>41.271806945500579</v>
      </c>
      <c r="GC94" s="20">
        <f t="shared" si="79"/>
        <v>353.86557543008013</v>
      </c>
      <c r="GD94" s="59">
        <f t="shared" si="80"/>
        <v>647.19890876341344</v>
      </c>
      <c r="GE94" s="59">
        <f ca="1">AVERAGE(OFFSET($GD$3,0,0,'Données projet'!$E$17+1,1))-AVERAGE(OFFSET($H$3,0,0,'Données projet'!$E$17+1,1))</f>
        <v>123.2823358462245</v>
      </c>
      <c r="GF94" s="59">
        <f t="shared" si="104"/>
        <v>92.75115399786057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0</v>
      </c>
      <c r="GM94" s="21">
        <f>EXP(-LN(2)/25)*GM93+(1-EXP(-LN(2)/25))/(LN(2)/25)*Calculateur!GH94*Calculateur!GJ94*VLOOKUP('Données projet'!$B$17,Paramètres!$A$1:$I$89,3,0)*0.475*44/12</f>
        <v>0</v>
      </c>
      <c r="GN94" s="21">
        <f>EXP(-LN(2)/2)*GN93+(1-EXP(-LN(2)/2))/(LN(2)/2)*GH94*GK94*VLOOKUP('Données projet'!$B$17,Paramètres!$A$1:$I$89,3,0)*0.475*44/12</f>
        <v>0</v>
      </c>
      <c r="GO94" s="21">
        <f t="shared" si="81"/>
        <v>0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-2.8421709430404007E-13</v>
      </c>
      <c r="GV94" s="17">
        <f>GU94*VLOOKUP('Données projet'!$B$18,Paramètres!$A$1:$I$89,3,0)*VLOOKUP('Données projet'!$B$18,Paramètres!$A$1:$I$89,5,0)</f>
        <v>-1.69961822393816E-13</v>
      </c>
      <c r="GW94" s="13" t="e">
        <f t="shared" si="105"/>
        <v>#NUM!</v>
      </c>
      <c r="GX94" s="20" t="e">
        <f t="shared" si="82"/>
        <v>#NUM!</v>
      </c>
      <c r="GY94" s="59" t="e">
        <f t="shared" si="83"/>
        <v>#NUM!</v>
      </c>
      <c r="GZ94" s="59">
        <f ca="1">AVERAGE(OFFSET($GY$3,0,0,'Données projet'!$E$18+1,1))-AVERAGE(OFFSET($H$3,0,0,'Données projet'!$E$18+1,1))</f>
        <v>171.96009656745713</v>
      </c>
      <c r="HA94" s="59">
        <f t="shared" si="106"/>
        <v>172.37574906747716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>
        <f>EXP(-LN(2)/35)*HG93+(1-EXP(-LN(2)/35))/(LN(2)/35)*HC94*HD94*VLOOKUP('Données projet'!$B$18,Paramètres!$A$1:$I$89,3,0)*0.475*44/12</f>
        <v>0.49837583442553007</v>
      </c>
      <c r="HH94" s="21">
        <f>EXP(-LN(2)/25)*HH93+(1-EXP(-LN(2)/25))/(LN(2)/25)*Calculateur!HC94*Calculateur!HE94*VLOOKUP('Données projet'!$B$18,Paramètres!$A$1:$I$89,3,0)*0.475*44/12</f>
        <v>3.7883136049245647</v>
      </c>
      <c r="HI94" s="21">
        <f>EXP(-LN(2)/2)*HI93+(1-EXP(-LN(2)/2))/(LN(2)/2)*HC94*HF94*VLOOKUP('Données projet'!$B$18,Paramètres!$A$1:$I$89,3,0)*0.475*44/12</f>
        <v>7.9319191944954623E-9</v>
      </c>
      <c r="HJ94" s="22">
        <f t="shared" si="84"/>
        <v>4.2866894472820141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-2.2737367544323206E-13</v>
      </c>
      <c r="O95" s="13">
        <f>N95*VLOOKUP('Données projet'!$B$9,Paramètres!$A$1:$I$89,3,0)*VLOOKUP('Données projet'!$B$9,Paramètres!$A$1:$I$89,5,0)</f>
        <v>-1.2710188457276673E-13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255.5374979188561</v>
      </c>
      <c r="T95" s="59">
        <f t="shared" si="88"/>
        <v>343.10418468620901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0.90513026168435784</v>
      </c>
      <c r="AA95" s="21">
        <f>EXP(-LN(2)/25)*AA94+(1-EXP(-LN(2)/25))/(LN(2)/25)*Calculateur!V95*Calculateur!X95*VLOOKUP('Données projet'!$B$9,Paramètres!$A$1:$I$89,3,0)*0.475*44/12</f>
        <v>2.8607871674425445</v>
      </c>
      <c r="AB95" s="21">
        <f>EXP(-LN(2)/2)*AB94+(1-EXP(-LN(2)/2))/(LN(2)/2)*V95*Y95*VLOOKUP('Données projet'!$B$9,Paramètres!$A$1:$I$89,3,0)*0.475*44/12</f>
        <v>7.8820254628270214E-10</v>
      </c>
      <c r="AC95" s="22">
        <f t="shared" si="57"/>
        <v>3.7659174299151048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11.242307692307691</v>
      </c>
      <c r="AI95" s="13">
        <f>IF('Données projet'!$A$62&gt;35,AI94+AH95-AQ94,IF(A95&lt;'Données projet'!$A$62,$AF$205^A95,IF(A95='Données projet'!$A$62,'Données projet'!$B$62,AI94+AH95-AQ94)))</f>
        <v>435.39615384615405</v>
      </c>
      <c r="AJ95" s="13">
        <f>AI95*VLOOKUP('Données projet'!$B$10,Paramètres!$A$1:$I$89,3,0)*VLOOKUP('Données projet'!$B$10,Paramètres!$A$1:$I$89,5,0)</f>
        <v>203.76540000000008</v>
      </c>
      <c r="AK95" s="13">
        <f t="shared" si="89"/>
        <v>50.570788227585879</v>
      </c>
      <c r="AL95" s="20">
        <f t="shared" si="58"/>
        <v>442.96886116304557</v>
      </c>
      <c r="AM95" s="59">
        <f t="shared" si="59"/>
        <v>736.30219449637889</v>
      </c>
      <c r="AN95" s="59">
        <f ca="1">AVERAGE(OFFSET($AM$3,0,0,'Données projet'!$E$10+1,1))-AVERAGE(OFFSET($H$3,0,0,'Données projet'!$E$10+1,1))</f>
        <v>158.58786357608489</v>
      </c>
      <c r="AO95" s="59">
        <f t="shared" si="90"/>
        <v>163.20074068819849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0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-1.7053025658242404E-13</v>
      </c>
      <c r="BE95" s="13">
        <f>BD95*VLOOKUP('Données projet'!$B$11,Paramètres!$A$1:$I$89,3,0)*VLOOKUP('Données projet'!$B$11,Paramètres!$A$1:$I$89,5,0)</f>
        <v>-1.0197709343628959E-13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243.85350804244348</v>
      </c>
      <c r="BJ95" s="59">
        <f t="shared" si="92"/>
        <v>304.60992308960545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1.3257013276877792</v>
      </c>
      <c r="BQ95" s="21">
        <f>EXP(-LN(2)/25)*BQ94+(1-EXP(-LN(2)/25))/(LN(2)/25)*Calculateur!BL95*Calculateur!BN95*VLOOKUP('Données projet'!$B$11,Paramètres!$A$1:$I$89,3,0)*0.475*44/12</f>
        <v>3.1778062853393889</v>
      </c>
      <c r="BR95" s="21">
        <f>EXP(-LN(2)/2)*BR94+(1-EXP(-LN(2)/2))/(LN(2)/2)*BL95*BO95*VLOOKUP('Données projet'!$B$11,Paramètres!$A$1:$I$89,3,0)*0.475*44/12</f>
        <v>1.7407473769372795E-9</v>
      </c>
      <c r="BS95" s="22">
        <f t="shared" si="63"/>
        <v>4.5035076147679147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497</v>
      </c>
      <c r="BZ95" s="13">
        <f>BY95*VLOOKUP('Données projet'!$B$12,Paramètres!$A$1:$I$89,3,0)*VLOOKUP('Données projet'!$B$12,Paramètres!$A$1:$I$89,5,0)</f>
        <v>297.20600000000002</v>
      </c>
      <c r="CA95" s="13">
        <f t="shared" si="93"/>
        <v>70.590415164571112</v>
      </c>
      <c r="CB95" s="20">
        <f t="shared" si="64"/>
        <v>640.57875641162809</v>
      </c>
      <c r="CC95" s="59">
        <f t="shared" si="65"/>
        <v>933.91208974496135</v>
      </c>
      <c r="CD95" s="59">
        <f ca="1">AVERAGE(OFFSET($CC$3,0,0,'Données projet'!$E$12+1,1))-AVERAGE(OFFSET($H$3,0,0,'Données projet'!$E$12+1,1))</f>
        <v>270.30888762640245</v>
      </c>
      <c r="CE95" s="59">
        <f t="shared" si="94"/>
        <v>202.23783851977691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0.62739372313091279</v>
      </c>
      <c r="CL95" s="21">
        <f>EXP(-LN(2)/25)*CL94+(1-EXP(-LN(2)/25))/(LN(2)/25)*Calculateur!CG95*Calculateur!CI95*VLOOKUP('Données projet'!$B$12,Paramètres!$A$1:$I$89,3,0)*0.475*44/12</f>
        <v>2.2038472855039637</v>
      </c>
      <c r="CM95" s="21">
        <f>EXP(-LN(2)/2)*CM94+(1-EXP(-LN(2)/2))/(LN(2)/2)*CG95*CJ95*VLOOKUP('Données projet'!$B$12,Paramètres!$A$1:$I$89,3,0)*0.475*44/12</f>
        <v>8.6112919200503193E-9</v>
      </c>
      <c r="CN95" s="22">
        <f t="shared" si="66"/>
        <v>2.8312410172461684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-5.1159076974727213E-13</v>
      </c>
      <c r="CU95" s="17">
        <f>CT95*VLOOKUP('Données projet'!$B$13,Paramètres!$A$1:$I$89,3,0)*VLOOKUP('Données projet'!$B$13,Paramètres!$A$1:$I$89,5,0)</f>
        <v>-4.0702161641092972E-13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260.20517190557814</v>
      </c>
      <c r="CZ95" s="59">
        <f t="shared" si="96"/>
        <v>307.22009971147133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0.95579038932045146</v>
      </c>
      <c r="DG95" s="21">
        <f>EXP(-LN(2)/25)*DG94+(1-EXP(-LN(2)/25))/(LN(2)/25)*Calculateur!DB95*Calculateur!DD95*VLOOKUP('Données projet'!$B$13,Paramètres!$A$1:$I$89,3,0)*0.475*44/12</f>
        <v>3.6780240018028159</v>
      </c>
      <c r="DH95" s="21">
        <f>EXP(-LN(2)/2)*DH94+(1-EXP(-LN(2)/2))/(LN(2)/2)*DB95*DE95*VLOOKUP('Données projet'!$B$13,Paramètres!$A$1:$I$89,3,0)*0.475*44/12</f>
        <v>1.1194047635773796E-8</v>
      </c>
      <c r="DI95" s="22">
        <f t="shared" si="69"/>
        <v>4.6338144023173147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7.1782051282051267</v>
      </c>
      <c r="DO95" s="12">
        <f>IF('Données projet'!$A$166&gt;35,DO94+DN95-DW94,IF(A95&lt;'Données projet'!$A$166,$DL$205^A95,IF(A95='Données projet'!$A$166,'Données projet'!$B$166,DO94+DN95-DW94)))</f>
        <v>268.00256410256429</v>
      </c>
      <c r="DP95" s="17">
        <f>DO95*VLOOKUP('Données projet'!$B$14,Paramètres!$A$1:$I$89,3,0)*VLOOKUP('Données projet'!$B$14,Paramètres!$A$1:$I$89,5,0)</f>
        <v>271.75460000000021</v>
      </c>
      <c r="DQ95" s="13">
        <f t="shared" si="97"/>
        <v>65.221499194772917</v>
      </c>
      <c r="DR95" s="20">
        <f t="shared" si="70"/>
        <v>586.90003943089653</v>
      </c>
      <c r="DS95" s="59">
        <f t="shared" si="71"/>
        <v>880.2333727642299</v>
      </c>
      <c r="DT95" s="59">
        <f ca="1">AVERAGE(OFFSET($DS$3,0,0,'Données projet'!$E$14+1,1))-AVERAGE(OFFSET($H$3,0,0,'Données projet'!$E$14+1,1))</f>
        <v>263.15518481854753</v>
      </c>
      <c r="DU95" s="59">
        <f t="shared" si="98"/>
        <v>210.80755370263819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0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-5.1159076974727213E-13</v>
      </c>
      <c r="EK95" s="17">
        <f>EJ95*VLOOKUP('Données projet'!$B$15,Paramètres!$A$1:$I$89,3,0)*VLOOKUP('Données projet'!$B$15,Paramètres!$A$1:$I$89,5,0)</f>
        <v>-3.4317508834647017E-13</v>
      </c>
      <c r="EL95" s="13" t="e">
        <f t="shared" si="99"/>
        <v>#NUM!</v>
      </c>
      <c r="EM95" s="20" t="e">
        <f t="shared" si="73"/>
        <v>#NUM!</v>
      </c>
      <c r="EN95" s="59" t="e">
        <f t="shared" si="74"/>
        <v>#NUM!</v>
      </c>
      <c r="EO95" s="59">
        <f ca="1">AVERAGE(OFFSET($EN$3,0,0,'Données projet'!$E$15+1,1))-AVERAGE(OFFSET($H$3,0,0,'Données projet'!$E$15+1,1))</f>
        <v>207.93042467236967</v>
      </c>
      <c r="EP95" s="59">
        <f t="shared" si="100"/>
        <v>250.70954318710835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0.80586248511332093</v>
      </c>
      <c r="EW95" s="21">
        <f>EXP(-LN(2)/25)*EW94+(1-EXP(-LN(2)/25))/(LN(2)/25)*Calculateur!ER95*Calculateur!ET95*VLOOKUP('Données projet'!$B$15,Paramètres!$A$1:$I$89,3,0)*0.475*44/12</f>
        <v>3.1010790603435554</v>
      </c>
      <c r="EX95" s="21">
        <f>EXP(-LN(2)/2)*EX94+(1-EXP(-LN(2)/2))/(LN(2)/2)*ER95*EU95*VLOOKUP('Données projet'!$B$15,Paramètres!$A$1:$I$89,3,0)*0.475*44/12</f>
        <v>9.4381185948681016E-9</v>
      </c>
      <c r="EY95" s="22">
        <f t="shared" si="75"/>
        <v>3.9069415548949951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7.1782051282051267</v>
      </c>
      <c r="FE95" s="12">
        <f>IF('Données projet'!$A$218&gt;35,FE94+FD95-FM94,IF(A95&lt;'Données projet'!$A$218,$FB$205^A95,IF(A95='Données projet'!$A$218,'Données projet'!$B$218,FE94+FD95-FM94)))</f>
        <v>268.00256410256429</v>
      </c>
      <c r="FF95" s="17">
        <f>FE95*VLOOKUP('Données projet'!$B$16,Paramètres!$A$1:$I$89,3,0)*VLOOKUP('Données projet'!$B$16,Paramètres!$A$1:$I$89,5,0)</f>
        <v>288.47796000000017</v>
      </c>
      <c r="FG95" s="13">
        <f t="shared" si="101"/>
        <v>68.75552332642107</v>
      </c>
      <c r="FH95" s="20">
        <f t="shared" si="76"/>
        <v>622.1816501268504</v>
      </c>
      <c r="FI95" s="59">
        <f t="shared" si="77"/>
        <v>915.51498346018366</v>
      </c>
      <c r="FJ95" s="59">
        <f ca="1">AVERAGE(OFFSET($FI$3,0,0,'Données projet'!$E$16+1,1))-AVERAGE(OFFSET($H$3,0,0,'Données projet'!$E$16+1,1))</f>
        <v>286.77702855541287</v>
      </c>
      <c r="FK95" s="59">
        <f t="shared" si="102"/>
        <v>227.12211541860779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0</v>
      </c>
      <c r="FR95" s="21">
        <f>EXP(-LN(2)/25)*FR94+(1-EXP(-LN(2)/25))/(LN(2)/25)*Calculateur!FM95*Calculateur!FO95*VLOOKUP('Données projet'!$B$16,Paramètres!$A$1:$I$89,3,0)*0.475*44/12</f>
        <v>0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0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8.7211538461538449</v>
      </c>
      <c r="FZ95" s="12">
        <f>IF('Données projet'!$A$244&gt;35,FZ94+FY95-GH94,IF(A95&lt;'Données projet'!$A$244,$FW$205^A95,IF(A95='Données projet'!$A$244,'Données projet'!$B$244,FZ94+FY95-GH94)))</f>
        <v>354.67115384615386</v>
      </c>
      <c r="GA95" s="17">
        <f>FZ95*VLOOKUP('Données projet'!$B$17,Paramètres!$A$1:$I$89,3,0)*VLOOKUP('Données projet'!$B$17,Paramètres!$A$1:$I$89,5,0)</f>
        <v>165.98609999999999</v>
      </c>
      <c r="GB95" s="13">
        <f t="shared" si="103"/>
        <v>42.18979716636489</v>
      </c>
      <c r="GC95" s="20">
        <f t="shared" si="79"/>
        <v>362.57302089808542</v>
      </c>
      <c r="GD95" s="59">
        <f t="shared" si="80"/>
        <v>655.90635423141873</v>
      </c>
      <c r="GE95" s="59">
        <f ca="1">AVERAGE(OFFSET($GD$3,0,0,'Données projet'!$E$17+1,1))-AVERAGE(OFFSET($H$3,0,0,'Données projet'!$E$17+1,1))</f>
        <v>123.2823358462245</v>
      </c>
      <c r="GF95" s="59">
        <f t="shared" si="104"/>
        <v>92.75115399786057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0</v>
      </c>
      <c r="GM95" s="21">
        <f>EXP(-LN(2)/25)*GM94+(1-EXP(-LN(2)/25))/(LN(2)/25)*Calculateur!GH95*Calculateur!GJ95*VLOOKUP('Données projet'!$B$17,Paramètres!$A$1:$I$89,3,0)*0.475*44/12</f>
        <v>0</v>
      </c>
      <c r="GN95" s="21">
        <f>EXP(-LN(2)/2)*GN94+(1-EXP(-LN(2)/2))/(LN(2)/2)*GH95*GK95*VLOOKUP('Données projet'!$B$17,Paramètres!$A$1:$I$89,3,0)*0.475*44/12</f>
        <v>0</v>
      </c>
      <c r="GO95" s="21">
        <f t="shared" si="81"/>
        <v>0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-2.8421709430404007E-13</v>
      </c>
      <c r="GV95" s="17">
        <f>GU95*VLOOKUP('Données projet'!$B$18,Paramètres!$A$1:$I$89,3,0)*VLOOKUP('Données projet'!$B$18,Paramètres!$A$1:$I$89,5,0)</f>
        <v>-1.69961822393816E-13</v>
      </c>
      <c r="GW95" s="13" t="e">
        <f t="shared" si="105"/>
        <v>#NUM!</v>
      </c>
      <c r="GX95" s="20" t="e">
        <f t="shared" si="82"/>
        <v>#NUM!</v>
      </c>
      <c r="GY95" s="59" t="e">
        <f t="shared" si="83"/>
        <v>#NUM!</v>
      </c>
      <c r="GZ95" s="59">
        <f ca="1">AVERAGE(OFFSET($GY$3,0,0,'Données projet'!$E$18+1,1))-AVERAGE(OFFSET($H$3,0,0,'Données projet'!$E$18+1,1))</f>
        <v>171.96009656745713</v>
      </c>
      <c r="HA95" s="59">
        <f t="shared" si="106"/>
        <v>172.37574906747716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>
        <f>EXP(-LN(2)/35)*HG94+(1-EXP(-LN(2)/35))/(LN(2)/35)*HC95*HD95*VLOOKUP('Données projet'!$B$18,Paramètres!$A$1:$I$89,3,0)*0.475*44/12</f>
        <v>0.48860298829168897</v>
      </c>
      <c r="HH95" s="21">
        <f>EXP(-LN(2)/25)*HH94+(1-EXP(-LN(2)/25))/(LN(2)/25)*Calculateur!HC95*Calculateur!HE95*VLOOKUP('Données projet'!$B$18,Paramètres!$A$1:$I$89,3,0)*0.475*44/12</f>
        <v>3.6847219701791483</v>
      </c>
      <c r="HI95" s="21">
        <f>EXP(-LN(2)/2)*HI94+(1-EXP(-LN(2)/2))/(LN(2)/2)*HC95*HF95*VLOOKUP('Données projet'!$B$18,Paramètres!$A$1:$I$89,3,0)*0.475*44/12</f>
        <v>5.6087138502514792E-9</v>
      </c>
      <c r="HJ95" s="22">
        <f t="shared" si="84"/>
        <v>4.1733249640795504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-2.2737367544323206E-13</v>
      </c>
      <c r="O96" s="13">
        <f>N96*VLOOKUP('Données projet'!$B$9,Paramètres!$A$1:$I$89,3,0)*VLOOKUP('Données projet'!$B$9,Paramètres!$A$1:$I$89,5,0)</f>
        <v>-1.2710188457276673E-13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255.5374979188561</v>
      </c>
      <c r="T96" s="59">
        <f t="shared" si="88"/>
        <v>343.10418468620901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0.88738120932767439</v>
      </c>
      <c r="AA96" s="21">
        <f>EXP(-LN(2)/25)*AA95+(1-EXP(-LN(2)/25))/(LN(2)/25)*Calculateur!V96*Calculateur!X96*VLOOKUP('Données projet'!$B$9,Paramètres!$A$1:$I$89,3,0)*0.475*44/12</f>
        <v>2.7825587919065695</v>
      </c>
      <c r="AB96" s="21">
        <f>EXP(-LN(2)/2)*AB95+(1-EXP(-LN(2)/2))/(LN(2)/2)*V96*Y96*VLOOKUP('Données projet'!$B$9,Paramètres!$A$1:$I$89,3,0)*0.475*44/12</f>
        <v>5.5734336542500225E-10</v>
      </c>
      <c r="AC96" s="22">
        <f t="shared" si="57"/>
        <v>3.6699400017915873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11.242307692307691</v>
      </c>
      <c r="AI96" s="13">
        <f>IF('Données projet'!$A$62&gt;35,AI95+AH96-AQ95,IF(A96&lt;'Données projet'!$A$62,$AF$205^A96,IF(A96='Données projet'!$A$62,'Données projet'!$B$62,AI95+AH96-AQ95)))</f>
        <v>446.63846153846174</v>
      </c>
      <c r="AJ96" s="13">
        <f>AI96*VLOOKUP('Données projet'!$B$10,Paramètres!$A$1:$I$89,3,0)*VLOOKUP('Données projet'!$B$10,Paramètres!$A$1:$I$89,5,0)</f>
        <v>209.02680000000009</v>
      </c>
      <c r="AK96" s="13">
        <f t="shared" si="89"/>
        <v>51.722859553755349</v>
      </c>
      <c r="AL96" s="20">
        <f t="shared" si="58"/>
        <v>454.13899038945743</v>
      </c>
      <c r="AM96" s="59">
        <f t="shared" si="59"/>
        <v>747.47232372279075</v>
      </c>
      <c r="AN96" s="59">
        <f ca="1">AVERAGE(OFFSET($AM$3,0,0,'Données projet'!$E$10+1,1))-AVERAGE(OFFSET($H$3,0,0,'Données projet'!$E$10+1,1))</f>
        <v>158.58786357608489</v>
      </c>
      <c r="AO96" s="59">
        <f t="shared" si="90"/>
        <v>163.20074068819849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0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-1.7053025658242404E-13</v>
      </c>
      <c r="BE96" s="13">
        <f>BD96*VLOOKUP('Données projet'!$B$11,Paramètres!$A$1:$I$89,3,0)*VLOOKUP('Données projet'!$B$11,Paramètres!$A$1:$I$89,5,0)</f>
        <v>-1.0197709343628959E-13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243.85350804244348</v>
      </c>
      <c r="BJ96" s="59">
        <f t="shared" si="92"/>
        <v>304.60992308960545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1.2997051332497893</v>
      </c>
      <c r="BQ96" s="21">
        <f>EXP(-LN(2)/25)*BQ95+(1-EXP(-LN(2)/25))/(LN(2)/25)*Calculateur!BL96*Calculateur!BN96*VLOOKUP('Données projet'!$B$11,Paramètres!$A$1:$I$89,3,0)*0.475*44/12</f>
        <v>3.0909090053532138</v>
      </c>
      <c r="BR96" s="21">
        <f>EXP(-LN(2)/2)*BR95+(1-EXP(-LN(2)/2))/(LN(2)/2)*BL96*BO96*VLOOKUP('Données projet'!$B$11,Paramètres!$A$1:$I$89,3,0)*0.475*44/12</f>
        <v>1.2308942745650455E-9</v>
      </c>
      <c r="BS96" s="22">
        <f t="shared" si="63"/>
        <v>4.3906141398338976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497</v>
      </c>
      <c r="BZ96" s="13">
        <f>BY96*VLOOKUP('Données projet'!$B$12,Paramètres!$A$1:$I$89,3,0)*VLOOKUP('Données projet'!$B$12,Paramètres!$A$1:$I$89,5,0)</f>
        <v>297.20600000000002</v>
      </c>
      <c r="CA96" s="13">
        <f t="shared" si="93"/>
        <v>70.590415164571112</v>
      </c>
      <c r="CB96" s="20">
        <f t="shared" si="64"/>
        <v>640.57875641162809</v>
      </c>
      <c r="CC96" s="59">
        <f t="shared" si="65"/>
        <v>933.91208974496135</v>
      </c>
      <c r="CD96" s="59">
        <f ca="1">AVERAGE(OFFSET($CC$3,0,0,'Données projet'!$E$12+1,1))-AVERAGE(OFFSET($H$3,0,0,'Données projet'!$E$12+1,1))</f>
        <v>270.30888762640245</v>
      </c>
      <c r="CE96" s="59">
        <f t="shared" si="94"/>
        <v>202.23783851977691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0.61509091489270096</v>
      </c>
      <c r="CL96" s="21">
        <f>EXP(-LN(2)/25)*CL95+(1-EXP(-LN(2)/25))/(LN(2)/25)*Calculateur!CG96*Calculateur!CI96*VLOOKUP('Données projet'!$B$12,Paramètres!$A$1:$I$89,3,0)*0.475*44/12</f>
        <v>2.1435829655865661</v>
      </c>
      <c r="CM96" s="21">
        <f>EXP(-LN(2)/2)*CM95+(1-EXP(-LN(2)/2))/(LN(2)/2)*CG96*CJ96*VLOOKUP('Données projet'!$B$12,Paramètres!$A$1:$I$89,3,0)*0.475*44/12</f>
        <v>6.0891029114445058E-9</v>
      </c>
      <c r="CN96" s="22">
        <f t="shared" si="66"/>
        <v>2.7586738865683702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-5.1159076974727213E-13</v>
      </c>
      <c r="CU96" s="17">
        <f>CT96*VLOOKUP('Données projet'!$B$13,Paramètres!$A$1:$I$89,3,0)*VLOOKUP('Données projet'!$B$13,Paramètres!$A$1:$I$89,5,0)</f>
        <v>-4.0702161641092972E-13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260.20517190557814</v>
      </c>
      <c r="CZ96" s="59">
        <f t="shared" si="96"/>
        <v>307.22009971147133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0.9370479227604509</v>
      </c>
      <c r="DG96" s="21">
        <f>EXP(-LN(2)/25)*DG95+(1-EXP(-LN(2)/25))/(LN(2)/25)*Calculateur!DB96*Calculateur!DD96*VLOOKUP('Données projet'!$B$13,Paramètres!$A$1:$I$89,3,0)*0.475*44/12</f>
        <v>3.5774482420546416</v>
      </c>
      <c r="DH96" s="21">
        <f>EXP(-LN(2)/2)*DH95+(1-EXP(-LN(2)/2))/(LN(2)/2)*DB96*DE96*VLOOKUP('Données projet'!$B$13,Paramètres!$A$1:$I$89,3,0)*0.475*44/12</f>
        <v>7.915386992180891E-9</v>
      </c>
      <c r="DI96" s="22">
        <f t="shared" si="69"/>
        <v>4.5144961727304791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7.1782051282051267</v>
      </c>
      <c r="DO96" s="12">
        <f>IF('Données projet'!$A$166&gt;35,DO95+DN96-DW95,IF(A96&lt;'Données projet'!$A$166,$DL$205^A96,IF(A96='Données projet'!$A$166,'Données projet'!$B$166,DO95+DN96-DW95)))</f>
        <v>275.18076923076944</v>
      </c>
      <c r="DP96" s="17">
        <f>DO96*VLOOKUP('Données projet'!$B$14,Paramètres!$A$1:$I$89,3,0)*VLOOKUP('Données projet'!$B$14,Paramètres!$A$1:$I$89,5,0)</f>
        <v>279.03330000000022</v>
      </c>
      <c r="DQ96" s="13">
        <f t="shared" si="97"/>
        <v>66.762676279521074</v>
      </c>
      <c r="DR96" s="20">
        <f t="shared" si="70"/>
        <v>602.26132535349961</v>
      </c>
      <c r="DS96" s="59">
        <f t="shared" si="71"/>
        <v>895.59465868683287</v>
      </c>
      <c r="DT96" s="59">
        <f ca="1">AVERAGE(OFFSET($DS$3,0,0,'Données projet'!$E$14+1,1))-AVERAGE(OFFSET($H$3,0,0,'Données projet'!$E$14+1,1))</f>
        <v>263.15518481854753</v>
      </c>
      <c r="DU96" s="59">
        <f t="shared" si="98"/>
        <v>210.80755370263819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0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-5.1159076974727213E-13</v>
      </c>
      <c r="EK96" s="17">
        <f>EJ96*VLOOKUP('Données projet'!$B$15,Paramètres!$A$1:$I$89,3,0)*VLOOKUP('Données projet'!$B$15,Paramètres!$A$1:$I$89,5,0)</f>
        <v>-3.4317508834647017E-13</v>
      </c>
      <c r="EL96" s="13" t="e">
        <f t="shared" si="99"/>
        <v>#NUM!</v>
      </c>
      <c r="EM96" s="20" t="e">
        <f t="shared" si="73"/>
        <v>#NUM!</v>
      </c>
      <c r="EN96" s="59" t="e">
        <f t="shared" si="74"/>
        <v>#NUM!</v>
      </c>
      <c r="EO96" s="59">
        <f ca="1">AVERAGE(OFFSET($EN$3,0,0,'Données projet'!$E$15+1,1))-AVERAGE(OFFSET($H$3,0,0,'Données projet'!$E$15+1,1))</f>
        <v>207.93042467236967</v>
      </c>
      <c r="EP96" s="59">
        <f t="shared" si="100"/>
        <v>250.70954318710835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0.79006001330783027</v>
      </c>
      <c r="EW96" s="21">
        <f>EXP(-LN(2)/25)*EW95+(1-EXP(-LN(2)/25))/(LN(2)/25)*Calculateur!ER96*Calculateur!ET96*VLOOKUP('Données projet'!$B$15,Paramètres!$A$1:$I$89,3,0)*0.475*44/12</f>
        <v>3.0162798903598009</v>
      </c>
      <c r="EX96" s="21">
        <f>EXP(-LN(2)/2)*EX95+(1-EXP(-LN(2)/2))/(LN(2)/2)*ER96*EU96*VLOOKUP('Données projet'!$B$15,Paramètres!$A$1:$I$89,3,0)*0.475*44/12</f>
        <v>6.6737576600740842E-9</v>
      </c>
      <c r="EY96" s="22">
        <f t="shared" si="75"/>
        <v>3.8063399103413889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7.1782051282051267</v>
      </c>
      <c r="FE96" s="12">
        <f>IF('Données projet'!$A$218&gt;35,FE95+FD96-FM95,IF(A96&lt;'Données projet'!$A$218,$FB$205^A96,IF(A96='Données projet'!$A$218,'Données projet'!$B$218,FE95+FD96-FM95)))</f>
        <v>275.18076923076944</v>
      </c>
      <c r="FF96" s="17">
        <f>FE96*VLOOKUP('Données projet'!$B$16,Paramètres!$A$1:$I$89,3,0)*VLOOKUP('Données projet'!$B$16,Paramètres!$A$1:$I$89,5,0)</f>
        <v>296.20458000000019</v>
      </c>
      <c r="FG96" s="13">
        <f t="shared" si="101"/>
        <v>70.380209025290199</v>
      </c>
      <c r="FH96" s="20">
        <f t="shared" si="76"/>
        <v>638.46850755238074</v>
      </c>
      <c r="FI96" s="59">
        <f t="shared" si="77"/>
        <v>931.801840885714</v>
      </c>
      <c r="FJ96" s="59">
        <f ca="1">AVERAGE(OFFSET($FI$3,0,0,'Données projet'!$E$16+1,1))-AVERAGE(OFFSET($H$3,0,0,'Données projet'!$E$16+1,1))</f>
        <v>286.77702855541287</v>
      </c>
      <c r="FK96" s="59">
        <f t="shared" si="102"/>
        <v>227.12211541860779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0</v>
      </c>
      <c r="FR96" s="21">
        <f>EXP(-LN(2)/25)*FR95+(1-EXP(-LN(2)/25))/(LN(2)/25)*Calculateur!FM96*Calculateur!FO96*VLOOKUP('Données projet'!$B$16,Paramètres!$A$1:$I$89,3,0)*0.475*44/12</f>
        <v>0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0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8.7211538461538449</v>
      </c>
      <c r="FZ96" s="12">
        <f>IF('Données projet'!$A$244&gt;35,FZ95+FY96-GH95,IF(A96&lt;'Données projet'!$A$244,$FW$205^A96,IF(A96='Données projet'!$A$244,'Données projet'!$B$244,FZ95+FY96-GH95)))</f>
        <v>363.39230769230772</v>
      </c>
      <c r="GA96" s="17">
        <f>FZ96*VLOOKUP('Données projet'!$B$17,Paramètres!$A$1:$I$89,3,0)*VLOOKUP('Données projet'!$B$17,Paramètres!$A$1:$I$89,5,0)</f>
        <v>170.0676</v>
      </c>
      <c r="GB96" s="13">
        <f t="shared" si="103"/>
        <v>43.105163386216795</v>
      </c>
      <c r="GC96" s="20">
        <f t="shared" si="79"/>
        <v>371.27589623099425</v>
      </c>
      <c r="GD96" s="59">
        <f t="shared" si="80"/>
        <v>664.60922956432751</v>
      </c>
      <c r="GE96" s="59">
        <f ca="1">AVERAGE(OFFSET($GD$3,0,0,'Données projet'!$E$17+1,1))-AVERAGE(OFFSET($H$3,0,0,'Données projet'!$E$17+1,1))</f>
        <v>123.2823358462245</v>
      </c>
      <c r="GF96" s="59">
        <f t="shared" si="104"/>
        <v>92.75115399786057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0</v>
      </c>
      <c r="GM96" s="21">
        <f>EXP(-LN(2)/25)*GM95+(1-EXP(-LN(2)/25))/(LN(2)/25)*Calculateur!GH96*Calculateur!GJ96*VLOOKUP('Données projet'!$B$17,Paramètres!$A$1:$I$89,3,0)*0.475*44/12</f>
        <v>0</v>
      </c>
      <c r="GN96" s="21">
        <f>EXP(-LN(2)/2)*GN95+(1-EXP(-LN(2)/2))/(LN(2)/2)*GH96*GK96*VLOOKUP('Données projet'!$B$17,Paramètres!$A$1:$I$89,3,0)*0.475*44/12</f>
        <v>0</v>
      </c>
      <c r="GO96" s="21">
        <f t="shared" si="81"/>
        <v>0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-2.8421709430404007E-13</v>
      </c>
      <c r="GV96" s="17">
        <f>GU96*VLOOKUP('Données projet'!$B$18,Paramètres!$A$1:$I$89,3,0)*VLOOKUP('Données projet'!$B$18,Paramètres!$A$1:$I$89,5,0)</f>
        <v>-1.69961822393816E-13</v>
      </c>
      <c r="GW96" s="13" t="e">
        <f t="shared" si="105"/>
        <v>#NUM!</v>
      </c>
      <c r="GX96" s="20" t="e">
        <f t="shared" si="82"/>
        <v>#NUM!</v>
      </c>
      <c r="GY96" s="59" t="e">
        <f t="shared" si="83"/>
        <v>#NUM!</v>
      </c>
      <c r="GZ96" s="59">
        <f ca="1">AVERAGE(OFFSET($GY$3,0,0,'Données projet'!$E$18+1,1))-AVERAGE(OFFSET($H$3,0,0,'Données projet'!$E$18+1,1))</f>
        <v>171.96009656745713</v>
      </c>
      <c r="HA96" s="59">
        <f t="shared" si="106"/>
        <v>172.37574906747716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>
        <f>EXP(-LN(2)/35)*HG95+(1-EXP(-LN(2)/35))/(LN(2)/35)*HC96*HD96*VLOOKUP('Données projet'!$B$18,Paramètres!$A$1:$I$89,3,0)*0.475*44/12</f>
        <v>0.47902178170968496</v>
      </c>
      <c r="HH96" s="21">
        <f>EXP(-LN(2)/25)*HH95+(1-EXP(-LN(2)/25))/(LN(2)/25)*Calculateur!HC96*Calculateur!HE96*VLOOKUP('Données projet'!$B$18,Paramètres!$A$1:$I$89,3,0)*0.475*44/12</f>
        <v>3.5839630541334926</v>
      </c>
      <c r="HI96" s="21">
        <f>EXP(-LN(2)/2)*HI95+(1-EXP(-LN(2)/2))/(LN(2)/2)*HC96*HF96*VLOOKUP('Données projet'!$B$18,Paramètres!$A$1:$I$89,3,0)*0.475*44/12</f>
        <v>3.9659595972477311E-9</v>
      </c>
      <c r="HJ96" s="22">
        <f t="shared" si="84"/>
        <v>4.0629848398091379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-2.2737367544323206E-13</v>
      </c>
      <c r="O97" s="13">
        <f>N97*VLOOKUP('Données projet'!$B$9,Paramètres!$A$1:$I$89,3,0)*VLOOKUP('Données projet'!$B$9,Paramètres!$A$1:$I$89,5,0)</f>
        <v>-1.2710188457276673E-13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255.5374979188561</v>
      </c>
      <c r="T97" s="59">
        <f t="shared" si="88"/>
        <v>343.10418468620901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0.86998020506185247</v>
      </c>
      <c r="AA97" s="21">
        <f>EXP(-LN(2)/25)*AA96+(1-EXP(-LN(2)/25))/(LN(2)/25)*Calculateur!V97*Calculateur!X97*VLOOKUP('Données projet'!$B$9,Paramètres!$A$1:$I$89,3,0)*0.475*44/12</f>
        <v>2.7064695754134771</v>
      </c>
      <c r="AB97" s="21">
        <f>EXP(-LN(2)/2)*AB96+(1-EXP(-LN(2)/2))/(LN(2)/2)*V97*Y97*VLOOKUP('Données projet'!$B$9,Paramètres!$A$1:$I$89,3,0)*0.475*44/12</f>
        <v>3.9410127314135107E-10</v>
      </c>
      <c r="AC97" s="22">
        <f t="shared" si="57"/>
        <v>3.5764497808694307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11.242307692307691</v>
      </c>
      <c r="AI97" s="13">
        <f>IF('Données projet'!$A$62&gt;35,AI96+AH97-AQ96,IF(A97&lt;'Données projet'!$A$62,$AF$205^A97,IF(A97='Données projet'!$A$62,'Données projet'!$B$62,AI96+AH97-AQ96)))</f>
        <v>457.88076923076943</v>
      </c>
      <c r="AJ97" s="13">
        <f>AI97*VLOOKUP('Données projet'!$B$10,Paramètres!$A$1:$I$89,3,0)*VLOOKUP('Données projet'!$B$10,Paramètres!$A$1:$I$89,5,0)</f>
        <v>214.28820000000007</v>
      </c>
      <c r="AK97" s="13">
        <f t="shared" si="89"/>
        <v>52.871559993650941</v>
      </c>
      <c r="AL97" s="20">
        <f t="shared" si="58"/>
        <v>465.3032486556088</v>
      </c>
      <c r="AM97" s="59">
        <f t="shared" si="59"/>
        <v>758.63658198894211</v>
      </c>
      <c r="AN97" s="59">
        <f ca="1">AVERAGE(OFFSET($AM$3,0,0,'Données projet'!$E$10+1,1))-AVERAGE(OFFSET($H$3,0,0,'Données projet'!$E$10+1,1))</f>
        <v>158.58786357608489</v>
      </c>
      <c r="AO97" s="59">
        <f t="shared" si="90"/>
        <v>163.20074068819849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0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-1.7053025658242404E-13</v>
      </c>
      <c r="BE97" s="13">
        <f>BD97*VLOOKUP('Données projet'!$B$11,Paramètres!$A$1:$I$89,3,0)*VLOOKUP('Données projet'!$B$11,Paramètres!$A$1:$I$89,5,0)</f>
        <v>-1.0197709343628959E-13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243.85350804244348</v>
      </c>
      <c r="BJ97" s="59">
        <f t="shared" si="92"/>
        <v>304.60992308960545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1.2742187083286154</v>
      </c>
      <c r="BQ97" s="21">
        <f>EXP(-LN(2)/25)*BQ96+(1-EXP(-LN(2)/25))/(LN(2)/25)*Calculateur!BL97*Calculateur!BN97*VLOOKUP('Données projet'!$B$11,Paramètres!$A$1:$I$89,3,0)*0.475*44/12</f>
        <v>3.0063879360579899</v>
      </c>
      <c r="BR97" s="21">
        <f>EXP(-LN(2)/2)*BR96+(1-EXP(-LN(2)/2))/(LN(2)/2)*BL97*BO97*VLOOKUP('Données projet'!$B$11,Paramètres!$A$1:$I$89,3,0)*0.475*44/12</f>
        <v>8.7037368846863977E-10</v>
      </c>
      <c r="BS97" s="22">
        <f t="shared" si="63"/>
        <v>4.2806066452569791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497</v>
      </c>
      <c r="BZ97" s="13">
        <f>BY97*VLOOKUP('Données projet'!$B$12,Paramètres!$A$1:$I$89,3,0)*VLOOKUP('Données projet'!$B$12,Paramètres!$A$1:$I$89,5,0)</f>
        <v>297.20600000000002</v>
      </c>
      <c r="CA97" s="13">
        <f t="shared" si="93"/>
        <v>70.590415164571112</v>
      </c>
      <c r="CB97" s="20">
        <f t="shared" si="64"/>
        <v>640.57875641162809</v>
      </c>
      <c r="CC97" s="59">
        <f t="shared" si="65"/>
        <v>933.91208974496135</v>
      </c>
      <c r="CD97" s="59">
        <f ca="1">AVERAGE(OFFSET($CC$3,0,0,'Données projet'!$E$12+1,1))-AVERAGE(OFFSET($H$3,0,0,'Données projet'!$E$12+1,1))</f>
        <v>270.30888762640245</v>
      </c>
      <c r="CE97" s="59">
        <f t="shared" si="94"/>
        <v>202.23783851977691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0.60302935722006834</v>
      </c>
      <c r="CL97" s="21">
        <f>EXP(-LN(2)/25)*CL96+(1-EXP(-LN(2)/25))/(LN(2)/25)*Calculateur!CG97*Calculateur!CI97*VLOOKUP('Données projet'!$B$12,Paramètres!$A$1:$I$89,3,0)*0.475*44/12</f>
        <v>2.0849665766664724</v>
      </c>
      <c r="CM97" s="21">
        <f>EXP(-LN(2)/2)*CM96+(1-EXP(-LN(2)/2))/(LN(2)/2)*CG97*CJ97*VLOOKUP('Données projet'!$B$12,Paramètres!$A$1:$I$89,3,0)*0.475*44/12</f>
        <v>4.3056459600251596E-9</v>
      </c>
      <c r="CN97" s="22">
        <f t="shared" si="66"/>
        <v>2.687995938192187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-5.1159076974727213E-13</v>
      </c>
      <c r="CU97" s="17">
        <f>CT97*VLOOKUP('Données projet'!$B$13,Paramètres!$A$1:$I$89,3,0)*VLOOKUP('Données projet'!$B$13,Paramètres!$A$1:$I$89,5,0)</f>
        <v>-4.0702161641092972E-13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260.20517190557814</v>
      </c>
      <c r="CZ97" s="59">
        <f t="shared" si="96"/>
        <v>307.22009971147133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0.91867298453791613</v>
      </c>
      <c r="DG97" s="21">
        <f>EXP(-LN(2)/25)*DG96+(1-EXP(-LN(2)/25))/(LN(2)/25)*Calculateur!DB97*Calculateur!DD97*VLOOKUP('Données projet'!$B$13,Paramètres!$A$1:$I$89,3,0)*0.475*44/12</f>
        <v>3.4796227317458306</v>
      </c>
      <c r="DH97" s="21">
        <f>EXP(-LN(2)/2)*DH96+(1-EXP(-LN(2)/2))/(LN(2)/2)*DB97*DE97*VLOOKUP('Données projet'!$B$13,Paramètres!$A$1:$I$89,3,0)*0.475*44/12</f>
        <v>5.5970238178868979E-9</v>
      </c>
      <c r="DI97" s="22">
        <f t="shared" si="69"/>
        <v>4.3982957218807712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7.1782051282051267</v>
      </c>
      <c r="DO97" s="12">
        <f>IF('Données projet'!$A$166&gt;35,DO96+DN97-DW96,IF(A97&lt;'Données projet'!$A$166,$DL$205^A97,IF(A97='Données projet'!$A$166,'Données projet'!$B$166,DO96+DN97-DW96)))</f>
        <v>282.35897435897459</v>
      </c>
      <c r="DP97" s="17">
        <f>DO97*VLOOKUP('Données projet'!$B$14,Paramètres!$A$1:$I$89,3,0)*VLOOKUP('Données projet'!$B$14,Paramètres!$A$1:$I$89,5,0)</f>
        <v>286.3120000000003</v>
      </c>
      <c r="DQ97" s="13">
        <f t="shared" si="97"/>
        <v>68.299180359837749</v>
      </c>
      <c r="DR97" s="20">
        <f t="shared" si="70"/>
        <v>617.61447246005116</v>
      </c>
      <c r="DS97" s="59">
        <f t="shared" si="71"/>
        <v>910.94780579338453</v>
      </c>
      <c r="DT97" s="59">
        <f ca="1">AVERAGE(OFFSET($DS$3,0,0,'Données projet'!$E$14+1,1))-AVERAGE(OFFSET($H$3,0,0,'Données projet'!$E$14+1,1))</f>
        <v>263.15518481854753</v>
      </c>
      <c r="DU97" s="59">
        <f t="shared" si="98"/>
        <v>210.80755370263819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0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-5.1159076974727213E-13</v>
      </c>
      <c r="EK97" s="17">
        <f>EJ97*VLOOKUP('Données projet'!$B$15,Paramètres!$A$1:$I$89,3,0)*VLOOKUP('Données projet'!$B$15,Paramètres!$A$1:$I$89,5,0)</f>
        <v>-3.4317508834647017E-13</v>
      </c>
      <c r="EL97" s="13" t="e">
        <f t="shared" si="99"/>
        <v>#NUM!</v>
      </c>
      <c r="EM97" s="20" t="e">
        <f t="shared" si="73"/>
        <v>#NUM!</v>
      </c>
      <c r="EN97" s="59" t="e">
        <f t="shared" si="74"/>
        <v>#NUM!</v>
      </c>
      <c r="EO97" s="59">
        <f ca="1">AVERAGE(OFFSET($EN$3,0,0,'Données projet'!$E$15+1,1))-AVERAGE(OFFSET($H$3,0,0,'Données projet'!$E$15+1,1))</f>
        <v>207.93042467236967</v>
      </c>
      <c r="EP97" s="59">
        <f t="shared" si="100"/>
        <v>250.70954318710835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0.77456741833588927</v>
      </c>
      <c r="EW97" s="21">
        <f>EXP(-LN(2)/25)*EW96+(1-EXP(-LN(2)/25))/(LN(2)/25)*Calculateur!ER97*Calculateur!ET97*VLOOKUP('Données projet'!$B$15,Paramètres!$A$1:$I$89,3,0)*0.475*44/12</f>
        <v>2.9337995581386465</v>
      </c>
      <c r="EX97" s="21">
        <f>EXP(-LN(2)/2)*EX96+(1-EXP(-LN(2)/2))/(LN(2)/2)*ER97*EU97*VLOOKUP('Données projet'!$B$15,Paramètres!$A$1:$I$89,3,0)*0.475*44/12</f>
        <v>4.7190592974340508E-9</v>
      </c>
      <c r="EY97" s="22">
        <f t="shared" si="75"/>
        <v>3.7083669811935951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7.1782051282051267</v>
      </c>
      <c r="FE97" s="12">
        <f>IF('Données projet'!$A$218&gt;35,FE96+FD97-FM96,IF(A97&lt;'Données projet'!$A$218,$FB$205^A97,IF(A97='Données projet'!$A$218,'Données projet'!$B$218,FE96+FD97-FM96)))</f>
        <v>282.35897435897459</v>
      </c>
      <c r="FF97" s="17">
        <f>FE97*VLOOKUP('Données projet'!$B$16,Paramètres!$A$1:$I$89,3,0)*VLOOKUP('Données projet'!$B$16,Paramètres!$A$1:$I$89,5,0)</f>
        <v>303.93120000000022</v>
      </c>
      <c r="FG97" s="13">
        <f t="shared" si="101"/>
        <v>71.999968513183362</v>
      </c>
      <c r="FH97" s="20">
        <f t="shared" si="76"/>
        <v>654.7467851604614</v>
      </c>
      <c r="FI97" s="59">
        <f t="shared" si="77"/>
        <v>948.08011849379477</v>
      </c>
      <c r="FJ97" s="59">
        <f ca="1">AVERAGE(OFFSET($FI$3,0,0,'Données projet'!$E$16+1,1))-AVERAGE(OFFSET($H$3,0,0,'Données projet'!$E$16+1,1))</f>
        <v>286.77702855541287</v>
      </c>
      <c r="FK97" s="59">
        <f t="shared" si="102"/>
        <v>227.12211541860779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0</v>
      </c>
      <c r="FR97" s="21">
        <f>EXP(-LN(2)/25)*FR96+(1-EXP(-LN(2)/25))/(LN(2)/25)*Calculateur!FM97*Calculateur!FO97*VLOOKUP('Données projet'!$B$16,Paramètres!$A$1:$I$89,3,0)*0.475*44/12</f>
        <v>0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0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8.7211538461538449</v>
      </c>
      <c r="FZ97" s="12">
        <f>IF('Données projet'!$A$244&gt;35,FZ96+FY97-GH96,IF(A97&lt;'Données projet'!$A$244,$FW$205^A97,IF(A97='Données projet'!$A$244,'Données projet'!$B$244,FZ96+FY97-GH96)))</f>
        <v>372.11346153846159</v>
      </c>
      <c r="GA97" s="17">
        <f>FZ97*VLOOKUP('Données projet'!$B$17,Paramètres!$A$1:$I$89,3,0)*VLOOKUP('Données projet'!$B$17,Paramètres!$A$1:$I$89,5,0)</f>
        <v>174.14910000000003</v>
      </c>
      <c r="GB97" s="13">
        <f t="shared" si="103"/>
        <v>44.017975824904816</v>
      </c>
      <c r="GC97" s="20">
        <f t="shared" si="79"/>
        <v>379.97432372837596</v>
      </c>
      <c r="GD97" s="59">
        <f t="shared" si="80"/>
        <v>673.30765706170928</v>
      </c>
      <c r="GE97" s="59">
        <f ca="1">AVERAGE(OFFSET($GD$3,0,0,'Données projet'!$E$17+1,1))-AVERAGE(OFFSET($H$3,0,0,'Données projet'!$E$17+1,1))</f>
        <v>123.2823358462245</v>
      </c>
      <c r="GF97" s="59">
        <f t="shared" si="104"/>
        <v>92.75115399786057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0</v>
      </c>
      <c r="GM97" s="21">
        <f>EXP(-LN(2)/25)*GM96+(1-EXP(-LN(2)/25))/(LN(2)/25)*Calculateur!GH97*Calculateur!GJ97*VLOOKUP('Données projet'!$B$17,Paramètres!$A$1:$I$89,3,0)*0.475*44/12</f>
        <v>0</v>
      </c>
      <c r="GN97" s="21">
        <f>EXP(-LN(2)/2)*GN96+(1-EXP(-LN(2)/2))/(LN(2)/2)*GH97*GK97*VLOOKUP('Données projet'!$B$17,Paramètres!$A$1:$I$89,3,0)*0.475*44/12</f>
        <v>0</v>
      </c>
      <c r="GO97" s="21">
        <f t="shared" si="81"/>
        <v>0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-2.8421709430404007E-13</v>
      </c>
      <c r="GV97" s="17">
        <f>GU97*VLOOKUP('Données projet'!$B$18,Paramètres!$A$1:$I$89,3,0)*VLOOKUP('Données projet'!$B$18,Paramètres!$A$1:$I$89,5,0)</f>
        <v>-1.69961822393816E-13</v>
      </c>
      <c r="GW97" s="13" t="e">
        <f t="shared" si="105"/>
        <v>#NUM!</v>
      </c>
      <c r="GX97" s="20" t="e">
        <f t="shared" si="82"/>
        <v>#NUM!</v>
      </c>
      <c r="GY97" s="59" t="e">
        <f t="shared" si="83"/>
        <v>#NUM!</v>
      </c>
      <c r="GZ97" s="59">
        <f ca="1">AVERAGE(OFFSET($GY$3,0,0,'Données projet'!$E$18+1,1))-AVERAGE(OFFSET($H$3,0,0,'Données projet'!$E$18+1,1))</f>
        <v>171.96009656745713</v>
      </c>
      <c r="HA97" s="59">
        <f t="shared" si="106"/>
        <v>172.37574906747716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>
        <f>EXP(-LN(2)/35)*HG96+(1-EXP(-LN(2)/35))/(LN(2)/35)*HC97*HD97*VLOOKUP('Données projet'!$B$18,Paramètres!$A$1:$I$89,3,0)*0.475*44/12</f>
        <v>0.46962845674479503</v>
      </c>
      <c r="HH97" s="21">
        <f>EXP(-LN(2)/25)*HH96+(1-EXP(-LN(2)/25))/(LN(2)/25)*Calculateur!HC97*Calculateur!HE97*VLOOKUP('Données projet'!$B$18,Paramètres!$A$1:$I$89,3,0)*0.475*44/12</f>
        <v>3.4859593959457866</v>
      </c>
      <c r="HI97" s="21">
        <f>EXP(-LN(2)/2)*HI96+(1-EXP(-LN(2)/2))/(LN(2)/2)*HC97*HF97*VLOOKUP('Données projet'!$B$18,Paramètres!$A$1:$I$89,3,0)*0.475*44/12</f>
        <v>2.8043569251257396E-9</v>
      </c>
      <c r="HJ97" s="22">
        <f t="shared" si="84"/>
        <v>3.9555878554949384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-2.2737367544323206E-13</v>
      </c>
      <c r="O98" s="13">
        <f>N98*VLOOKUP('Données projet'!$B$9,Paramètres!$A$1:$I$89,3,0)*VLOOKUP('Données projet'!$B$9,Paramètres!$A$1:$I$89,5,0)</f>
        <v>-1.2710188457276673E-13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255.5374979188561</v>
      </c>
      <c r="T98" s="59">
        <f t="shared" si="88"/>
        <v>343.10418468620901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0.85292042387611877</v>
      </c>
      <c r="AA98" s="21">
        <f>EXP(-LN(2)/25)*AA97+(1-EXP(-LN(2)/25))/(LN(2)/25)*Calculateur!V98*Calculateur!X98*VLOOKUP('Données projet'!$B$9,Paramètres!$A$1:$I$89,3,0)*0.475*44/12</f>
        <v>2.6324610225467464</v>
      </c>
      <c r="AB98" s="21">
        <f>EXP(-LN(2)/2)*AB97+(1-EXP(-LN(2)/2))/(LN(2)/2)*V98*Y98*VLOOKUP('Données projet'!$B$9,Paramètres!$A$1:$I$89,3,0)*0.475*44/12</f>
        <v>2.7867168271250113E-10</v>
      </c>
      <c r="AC98" s="22">
        <f t="shared" si="57"/>
        <v>3.4853814467015369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469.12307692307689</v>
      </c>
      <c r="AG98" s="12">
        <f>VLOOKUP(A98,'Données projet'!$A$61:$I$81,9,0)</f>
        <v>11.242307692307691</v>
      </c>
      <c r="AH98" s="12">
        <f t="array" ref="AH98">INDEX(AG:AG,MIN(IF(ISNUMBER(AG98:AG294),ROW(AG98:AG294),"")))</f>
        <v>11.242307692307691</v>
      </c>
      <c r="AI98" s="13">
        <f>IF('Données projet'!$A$62&gt;35,AI97+AH98-AQ97,IF(A98&lt;'Données projet'!$A$62,$AF$205^A98,IF(A98='Données projet'!$A$62,'Données projet'!$B$62,AI97+AH98-AQ97)))</f>
        <v>469.12307692307712</v>
      </c>
      <c r="AJ98" s="13">
        <f>AI98*VLOOKUP('Données projet'!$B$10,Paramètres!$A$1:$I$89,3,0)*VLOOKUP('Données projet'!$B$10,Paramètres!$A$1:$I$89,5,0)</f>
        <v>219.54960000000008</v>
      </c>
      <c r="AK98" s="13">
        <f t="shared" si="89"/>
        <v>54.016981833057052</v>
      </c>
      <c r="AL98" s="20">
        <f t="shared" si="58"/>
        <v>476.46179669257441</v>
      </c>
      <c r="AM98" s="59">
        <f t="shared" si="59"/>
        <v>769.79513002590772</v>
      </c>
      <c r="AN98" s="59">
        <f ca="1">AVERAGE(OFFSET($AM$3,0,0,'Données projet'!$E$10+1,1))-AVERAGE(OFFSET($H$3,0,0,'Données projet'!$E$10+1,1))</f>
        <v>158.58786357608489</v>
      </c>
      <c r="AO98" s="59">
        <f t="shared" si="90"/>
        <v>163.20074068819849</v>
      </c>
      <c r="AP98" s="15">
        <f>IF(ISNA(VLOOKUP(A98,'Données projet'!$A$61:$I$81,3,0)),0,VLOOKUP(A98,'Données projet'!$A$61:$I$81,3,0))</f>
        <v>8</v>
      </c>
      <c r="AQ98" s="15">
        <f>IF(ISNA(VLOOKUP(A98,'Données projet'!$A$61:$I$81,4,0)),0,VLOOKUP(A98,'Données projet'!$A$61:$I$81,4,0))</f>
        <v>234.42307692307691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0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-1.7053025658242404E-13</v>
      </c>
      <c r="BE98" s="13">
        <f>BD98*VLOOKUP('Données projet'!$B$11,Paramètres!$A$1:$I$89,3,0)*VLOOKUP('Données projet'!$B$11,Paramètres!$A$1:$I$89,5,0)</f>
        <v>-1.0197709343628959E-13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243.85350804244348</v>
      </c>
      <c r="BJ98" s="59">
        <f t="shared" si="92"/>
        <v>304.60992308960545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1.2492320566549615</v>
      </c>
      <c r="BQ98" s="21">
        <f>EXP(-LN(2)/25)*BQ97+(1-EXP(-LN(2)/25))/(LN(2)/25)*Calculateur!BL98*Calculateur!BN98*VLOOKUP('Données projet'!$B$11,Paramètres!$A$1:$I$89,3,0)*0.475*44/12</f>
        <v>2.9241780998474138</v>
      </c>
      <c r="BR98" s="21">
        <f>EXP(-LN(2)/2)*BR97+(1-EXP(-LN(2)/2))/(LN(2)/2)*BL98*BO98*VLOOKUP('Données projet'!$B$11,Paramètres!$A$1:$I$89,3,0)*0.475*44/12</f>
        <v>6.1544713728252274E-10</v>
      </c>
      <c r="BS98" s="22">
        <f t="shared" si="63"/>
        <v>4.1734101571178224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497</v>
      </c>
      <c r="BZ98" s="13">
        <f>BY98*VLOOKUP('Données projet'!$B$12,Paramètres!$A$1:$I$89,3,0)*VLOOKUP('Données projet'!$B$12,Paramètres!$A$1:$I$89,5,0)</f>
        <v>297.20600000000002</v>
      </c>
      <c r="CA98" s="13">
        <f t="shared" si="93"/>
        <v>70.590415164571112</v>
      </c>
      <c r="CB98" s="20">
        <f t="shared" si="64"/>
        <v>640.57875641162809</v>
      </c>
      <c r="CC98" s="59">
        <f t="shared" si="65"/>
        <v>933.91208974496135</v>
      </c>
      <c r="CD98" s="59">
        <f ca="1">AVERAGE(OFFSET($CC$3,0,0,'Données projet'!$E$12+1,1))-AVERAGE(OFFSET($H$3,0,0,'Données projet'!$E$12+1,1))</f>
        <v>270.30888762640245</v>
      </c>
      <c r="CE98" s="59">
        <f t="shared" si="94"/>
        <v>202.23783851977691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0.59120431933657236</v>
      </c>
      <c r="CL98" s="21">
        <f>EXP(-LN(2)/25)*CL97+(1-EXP(-LN(2)/25))/(LN(2)/25)*Calculateur!CG98*Calculateur!CI98*VLOOKUP('Données projet'!$B$12,Paramètres!$A$1:$I$89,3,0)*0.475*44/12</f>
        <v>2.0279530559839007</v>
      </c>
      <c r="CM98" s="21">
        <f>EXP(-LN(2)/2)*CM97+(1-EXP(-LN(2)/2))/(LN(2)/2)*CG98*CJ98*VLOOKUP('Données projet'!$B$12,Paramètres!$A$1:$I$89,3,0)*0.475*44/12</f>
        <v>3.0445514557222529E-9</v>
      </c>
      <c r="CN98" s="22">
        <f t="shared" si="66"/>
        <v>2.6191573783650242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-5.1159076974727213E-13</v>
      </c>
      <c r="CU98" s="17">
        <f>CT98*VLOOKUP('Données projet'!$B$13,Paramètres!$A$1:$I$89,3,0)*VLOOKUP('Données projet'!$B$13,Paramètres!$A$1:$I$89,5,0)</f>
        <v>-4.0702161641092972E-13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260.20517190557814</v>
      </c>
      <c r="CZ98" s="59">
        <f t="shared" si="96"/>
        <v>307.22009971147133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0.90065836764631968</v>
      </c>
      <c r="DG98" s="21">
        <f>EXP(-LN(2)/25)*DG97+(1-EXP(-LN(2)/25))/(LN(2)/25)*Calculateur!DB98*Calculateur!DD98*VLOOKUP('Données projet'!$B$13,Paramètres!$A$1:$I$89,3,0)*0.475*44/12</f>
        <v>3.3844722651608343</v>
      </c>
      <c r="DH98" s="21">
        <f>EXP(-LN(2)/2)*DH97+(1-EXP(-LN(2)/2))/(LN(2)/2)*DB98*DE98*VLOOKUP('Données projet'!$B$13,Paramètres!$A$1:$I$89,3,0)*0.475*44/12</f>
        <v>3.9576934960904455E-9</v>
      </c>
      <c r="DI98" s="22">
        <f t="shared" si="69"/>
        <v>4.2851306367648476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7.1782051282051267</v>
      </c>
      <c r="DO98" s="12">
        <f>IF('Données projet'!$A$166&gt;35,DO97+DN98-DW97,IF(A98&lt;'Données projet'!$A$166,$DL$205^A98,IF(A98='Données projet'!$A$166,'Données projet'!$B$166,DO97+DN98-DW97)))</f>
        <v>289.53717948717974</v>
      </c>
      <c r="DP98" s="17">
        <f>DO98*VLOOKUP('Données projet'!$B$14,Paramètres!$A$1:$I$89,3,0)*VLOOKUP('Données projet'!$B$14,Paramètres!$A$1:$I$89,5,0)</f>
        <v>293.59070000000025</v>
      </c>
      <c r="DQ98" s="13">
        <f t="shared" si="97"/>
        <v>69.831143895049522</v>
      </c>
      <c r="DR98" s="20">
        <f t="shared" si="70"/>
        <v>632.959711450545</v>
      </c>
      <c r="DS98" s="59">
        <f t="shared" si="71"/>
        <v>926.29304478387826</v>
      </c>
      <c r="DT98" s="59">
        <f ca="1">AVERAGE(OFFSET($DS$3,0,0,'Données projet'!$E$14+1,1))-AVERAGE(OFFSET($H$3,0,0,'Données projet'!$E$14+1,1))</f>
        <v>263.15518481854753</v>
      </c>
      <c r="DU98" s="59">
        <f t="shared" si="98"/>
        <v>210.80755370263819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0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-5.1159076974727213E-13</v>
      </c>
      <c r="EK98" s="17">
        <f>EJ98*VLOOKUP('Données projet'!$B$15,Paramètres!$A$1:$I$89,3,0)*VLOOKUP('Données projet'!$B$15,Paramètres!$A$1:$I$89,5,0)</f>
        <v>-3.4317508834647017E-13</v>
      </c>
      <c r="EL98" s="13" t="e">
        <f t="shared" si="99"/>
        <v>#NUM!</v>
      </c>
      <c r="EM98" s="20" t="e">
        <f t="shared" si="73"/>
        <v>#NUM!</v>
      </c>
      <c r="EN98" s="59" t="e">
        <f t="shared" si="74"/>
        <v>#NUM!</v>
      </c>
      <c r="EO98" s="59">
        <f ca="1">AVERAGE(OFFSET($EN$3,0,0,'Données projet'!$E$15+1,1))-AVERAGE(OFFSET($H$3,0,0,'Données projet'!$E$15+1,1))</f>
        <v>207.93042467236967</v>
      </c>
      <c r="EP98" s="59">
        <f t="shared" si="100"/>
        <v>250.70954318710835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0.75937862370179809</v>
      </c>
      <c r="EW98" s="21">
        <f>EXP(-LN(2)/25)*EW97+(1-EXP(-LN(2)/25))/(LN(2)/25)*Calculateur!ER98*Calculateur!ET98*VLOOKUP('Données projet'!$B$15,Paramètres!$A$1:$I$89,3,0)*0.475*44/12</f>
        <v>2.8535746549395316</v>
      </c>
      <c r="EX98" s="21">
        <f>EXP(-LN(2)/2)*EX97+(1-EXP(-LN(2)/2))/(LN(2)/2)*ER98*EU98*VLOOKUP('Données projet'!$B$15,Paramètres!$A$1:$I$89,3,0)*0.475*44/12</f>
        <v>3.3368788300370421E-9</v>
      </c>
      <c r="EY98" s="22">
        <f t="shared" si="75"/>
        <v>3.6129532819782084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7.1782051282051267</v>
      </c>
      <c r="FE98" s="12">
        <f>IF('Données projet'!$A$218&gt;35,FE97+FD98-FM97,IF(A98&lt;'Données projet'!$A$218,$FB$205^A98,IF(A98='Données projet'!$A$218,'Données projet'!$B$218,FE97+FD98-FM97)))</f>
        <v>289.53717948717974</v>
      </c>
      <c r="FF98" s="17">
        <f>FE98*VLOOKUP('Données projet'!$B$16,Paramètres!$A$1:$I$89,3,0)*VLOOKUP('Données projet'!$B$16,Paramètres!$A$1:$I$89,5,0)</f>
        <v>311.65782000000024</v>
      </c>
      <c r="FG98" s="13">
        <f t="shared" si="101"/>
        <v>73.61494142673034</v>
      </c>
      <c r="FH98" s="20">
        <f t="shared" si="76"/>
        <v>671.01672615155564</v>
      </c>
      <c r="FI98" s="59">
        <f t="shared" si="77"/>
        <v>964.35005948488902</v>
      </c>
      <c r="FJ98" s="59">
        <f ca="1">AVERAGE(OFFSET($FI$3,0,0,'Données projet'!$E$16+1,1))-AVERAGE(OFFSET($H$3,0,0,'Données projet'!$E$16+1,1))</f>
        <v>286.77702855541287</v>
      </c>
      <c r="FK98" s="59">
        <f t="shared" si="102"/>
        <v>227.12211541860779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0</v>
      </c>
      <c r="FR98" s="21">
        <f>EXP(-LN(2)/25)*FR97+(1-EXP(-LN(2)/25))/(LN(2)/25)*Calculateur!FM98*Calculateur!FO98*VLOOKUP('Données projet'!$B$16,Paramètres!$A$1:$I$89,3,0)*0.475*44/12</f>
        <v>0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0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8.7211538461538449</v>
      </c>
      <c r="FZ98" s="12">
        <f>IF('Données projet'!$A$244&gt;35,FZ97+FY98-GH97,IF(A98&lt;'Données projet'!$A$244,$FW$205^A98,IF(A98='Données projet'!$A$244,'Données projet'!$B$244,FZ97+FY98-GH97)))</f>
        <v>380.83461538461546</v>
      </c>
      <c r="GA98" s="17">
        <f>FZ98*VLOOKUP('Données projet'!$B$17,Paramètres!$A$1:$I$89,3,0)*VLOOKUP('Données projet'!$B$17,Paramètres!$A$1:$I$89,5,0)</f>
        <v>178.23060000000004</v>
      </c>
      <c r="GB98" s="13">
        <f t="shared" si="103"/>
        <v>44.92830122304332</v>
      </c>
      <c r="GC98" s="20">
        <f t="shared" si="79"/>
        <v>388.66841963013377</v>
      </c>
      <c r="GD98" s="59">
        <f t="shared" si="80"/>
        <v>682.00175296346708</v>
      </c>
      <c r="GE98" s="59">
        <f ca="1">AVERAGE(OFFSET($GD$3,0,0,'Données projet'!$E$17+1,1))-AVERAGE(OFFSET($H$3,0,0,'Données projet'!$E$17+1,1))</f>
        <v>123.2823358462245</v>
      </c>
      <c r="GF98" s="59">
        <f t="shared" si="104"/>
        <v>92.75115399786057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0</v>
      </c>
      <c r="GM98" s="21">
        <f>EXP(-LN(2)/25)*GM97+(1-EXP(-LN(2)/25))/(LN(2)/25)*Calculateur!GH98*Calculateur!GJ98*VLOOKUP('Données projet'!$B$17,Paramètres!$A$1:$I$89,3,0)*0.475*44/12</f>
        <v>0</v>
      </c>
      <c r="GN98" s="21">
        <f>EXP(-LN(2)/2)*GN97+(1-EXP(-LN(2)/2))/(LN(2)/2)*GH98*GK98*VLOOKUP('Données projet'!$B$17,Paramètres!$A$1:$I$89,3,0)*0.475*44/12</f>
        <v>0</v>
      </c>
      <c r="GO98" s="21">
        <f t="shared" si="81"/>
        <v>0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-2.8421709430404007E-13</v>
      </c>
      <c r="GV98" s="17">
        <f>GU98*VLOOKUP('Données projet'!$B$18,Paramètres!$A$1:$I$89,3,0)*VLOOKUP('Données projet'!$B$18,Paramètres!$A$1:$I$89,5,0)</f>
        <v>-1.69961822393816E-13</v>
      </c>
      <c r="GW98" s="13" t="e">
        <f t="shared" si="105"/>
        <v>#NUM!</v>
      </c>
      <c r="GX98" s="20" t="e">
        <f t="shared" si="82"/>
        <v>#NUM!</v>
      </c>
      <c r="GY98" s="59" t="e">
        <f t="shared" si="83"/>
        <v>#NUM!</v>
      </c>
      <c r="GZ98" s="59">
        <f ca="1">AVERAGE(OFFSET($GY$3,0,0,'Données projet'!$E$18+1,1))-AVERAGE(OFFSET($H$3,0,0,'Données projet'!$E$18+1,1))</f>
        <v>171.96009656745713</v>
      </c>
      <c r="HA98" s="59">
        <f t="shared" si="106"/>
        <v>172.37574906747716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>
        <f>EXP(-LN(2)/35)*HG97+(1-EXP(-LN(2)/35))/(LN(2)/35)*HC98*HD98*VLOOKUP('Données projet'!$B$18,Paramètres!$A$1:$I$89,3,0)*0.475*44/12</f>
        <v>0.46041932915310413</v>
      </c>
      <c r="HH98" s="21">
        <f>EXP(-LN(2)/25)*HH97+(1-EXP(-LN(2)/25))/(LN(2)/25)*Calculateur!HC98*Calculateur!HE98*VLOOKUP('Données projet'!$B$18,Paramètres!$A$1:$I$89,3,0)*0.475*44/12</f>
        <v>3.3906356529450119</v>
      </c>
      <c r="HI98" s="21">
        <f>EXP(-LN(2)/2)*HI97+(1-EXP(-LN(2)/2))/(LN(2)/2)*HC98*HF98*VLOOKUP('Données projet'!$B$18,Paramètres!$A$1:$I$89,3,0)*0.475*44/12</f>
        <v>1.9829797986238656E-9</v>
      </c>
      <c r="HJ98" s="22">
        <f t="shared" si="84"/>
        <v>3.8510549840810961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-2.2737367544323206E-13</v>
      </c>
      <c r="O99" s="13">
        <f>N99*VLOOKUP('Données projet'!$B$9,Paramètres!$A$1:$I$89,3,0)*VLOOKUP('Données projet'!$B$9,Paramètres!$A$1:$I$89,5,0)</f>
        <v>-1.2710188457276673E-13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255.5374979188561</v>
      </c>
      <c r="T99" s="59">
        <f t="shared" si="88"/>
        <v>343.10418468620901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0.83619517459399817</v>
      </c>
      <c r="AA99" s="21">
        <f>EXP(-LN(2)/25)*AA98+(1-EXP(-LN(2)/25))/(LN(2)/25)*Calculateur!V99*Calculateur!X99*VLOOKUP('Données projet'!$B$9,Paramètres!$A$1:$I$89,3,0)*0.475*44/12</f>
        <v>2.5604762374500969</v>
      </c>
      <c r="AB99" s="21">
        <f>EXP(-LN(2)/2)*AB98+(1-EXP(-LN(2)/2))/(LN(2)/2)*V99*Y99*VLOOKUP('Données projet'!$B$9,Paramètres!$A$1:$I$89,3,0)*0.475*44/12</f>
        <v>1.9705063657067554E-10</v>
      </c>
      <c r="AC99" s="22">
        <f t="shared" si="57"/>
        <v>3.3966714122411461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7.5015384615384617</v>
      </c>
      <c r="AI99" s="13">
        <f>IF('Données projet'!$A$62&gt;35,AI98+AH99-AQ98,IF(A99&lt;'Données projet'!$A$62,$AF$205^A99,IF(A99='Données projet'!$A$62,'Données projet'!$B$62,AI98+AH99-AQ98)))</f>
        <v>242.20153846153869</v>
      </c>
      <c r="AJ99" s="13">
        <f>AI99*VLOOKUP('Données projet'!$B$10,Paramètres!$A$1:$I$89,3,0)*VLOOKUP('Données projet'!$B$10,Paramètres!$A$1:$I$89,5,0)</f>
        <v>113.35032000000011</v>
      </c>
      <c r="AK99" s="13">
        <f t="shared" si="89"/>
        <v>30.118962463528121</v>
      </c>
      <c r="AL99" s="20">
        <f t="shared" si="58"/>
        <v>249.87566695731167</v>
      </c>
      <c r="AM99" s="59">
        <f t="shared" si="59"/>
        <v>543.20900029064501</v>
      </c>
      <c r="AN99" s="59">
        <f ca="1">AVERAGE(OFFSET($AM$3,0,0,'Données projet'!$E$10+1,1))-AVERAGE(OFFSET($H$3,0,0,'Données projet'!$E$10+1,1))</f>
        <v>158.58786357608489</v>
      </c>
      <c r="AO99" s="59">
        <f t="shared" si="90"/>
        <v>163.20074068819849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0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-1.7053025658242404E-13</v>
      </c>
      <c r="BE99" s="13">
        <f>BD99*VLOOKUP('Données projet'!$B$11,Paramètres!$A$1:$I$89,3,0)*VLOOKUP('Données projet'!$B$11,Paramètres!$A$1:$I$89,5,0)</f>
        <v>-1.0197709343628959E-13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243.85350804244348</v>
      </c>
      <c r="BJ99" s="59">
        <f t="shared" si="92"/>
        <v>304.60992308960545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1.2247353779802754</v>
      </c>
      <c r="BQ99" s="21">
        <f>EXP(-LN(2)/25)*BQ98+(1-EXP(-LN(2)/25))/(LN(2)/25)*Calculateur!BL99*Calculateur!BN99*VLOOKUP('Données projet'!$B$11,Paramètres!$A$1:$I$89,3,0)*0.475*44/12</f>
        <v>2.8442162959312434</v>
      </c>
      <c r="BR99" s="21">
        <f>EXP(-LN(2)/2)*BR98+(1-EXP(-LN(2)/2))/(LN(2)/2)*BL99*BO99*VLOOKUP('Données projet'!$B$11,Paramètres!$A$1:$I$89,3,0)*0.475*44/12</f>
        <v>4.3518684423431988E-10</v>
      </c>
      <c r="BS99" s="22">
        <f t="shared" si="63"/>
        <v>4.0689516743467058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497</v>
      </c>
      <c r="BZ99" s="13">
        <f>BY99*VLOOKUP('Données projet'!$B$12,Paramètres!$A$1:$I$89,3,0)*VLOOKUP('Données projet'!$B$12,Paramètres!$A$1:$I$89,5,0)</f>
        <v>297.20600000000002</v>
      </c>
      <c r="CA99" s="13">
        <f t="shared" si="93"/>
        <v>70.590415164571112</v>
      </c>
      <c r="CB99" s="20">
        <f t="shared" si="64"/>
        <v>640.57875641162809</v>
      </c>
      <c r="CC99" s="59">
        <f t="shared" si="65"/>
        <v>933.91208974496135</v>
      </c>
      <c r="CD99" s="59">
        <f ca="1">AVERAGE(OFFSET($CC$3,0,0,'Données projet'!$E$12+1,1))-AVERAGE(OFFSET($H$3,0,0,'Données projet'!$E$12+1,1))</f>
        <v>270.30888762640245</v>
      </c>
      <c r="CE99" s="59">
        <f t="shared" si="94"/>
        <v>202.23783851977691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0.57961116323341078</v>
      </c>
      <c r="CL99" s="21">
        <f>EXP(-LN(2)/25)*CL98+(1-EXP(-LN(2)/25))/(LN(2)/25)*Calculateur!CG99*Calculateur!CI99*VLOOKUP('Données projet'!$B$12,Paramètres!$A$1:$I$89,3,0)*0.475*44/12</f>
        <v>1.9724985730226048</v>
      </c>
      <c r="CM99" s="21">
        <f>EXP(-LN(2)/2)*CM98+(1-EXP(-LN(2)/2))/(LN(2)/2)*CG99*CJ99*VLOOKUP('Données projet'!$B$12,Paramètres!$A$1:$I$89,3,0)*0.475*44/12</f>
        <v>2.1528229800125798E-9</v>
      </c>
      <c r="CN99" s="22">
        <f t="shared" si="66"/>
        <v>2.5521097384088383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-5.1159076974727213E-13</v>
      </c>
      <c r="CU99" s="17">
        <f>CT99*VLOOKUP('Données projet'!$B$13,Paramètres!$A$1:$I$89,3,0)*VLOOKUP('Données projet'!$B$13,Paramètres!$A$1:$I$89,5,0)</f>
        <v>-4.0702161641092972E-13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260.20517190557814</v>
      </c>
      <c r="CZ99" s="59">
        <f t="shared" si="96"/>
        <v>307.22009971147133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0.88299700640413603</v>
      </c>
      <c r="DG99" s="21">
        <f>EXP(-LN(2)/25)*DG98+(1-EXP(-LN(2)/25))/(LN(2)/25)*Calculateur!DB99*Calculateur!DD99*VLOOKUP('Données projet'!$B$13,Paramètres!$A$1:$I$89,3,0)*0.475*44/12</f>
        <v>3.2919236930883504</v>
      </c>
      <c r="DH99" s="21">
        <f>EXP(-LN(2)/2)*DH98+(1-EXP(-LN(2)/2))/(LN(2)/2)*DB99*DE99*VLOOKUP('Données projet'!$B$13,Paramètres!$A$1:$I$89,3,0)*0.475*44/12</f>
        <v>2.7985119089434489E-9</v>
      </c>
      <c r="DI99" s="22">
        <f t="shared" si="69"/>
        <v>4.174920702290998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7.1782051282051267</v>
      </c>
      <c r="DO99" s="12">
        <f>IF('Données projet'!$A$166&gt;35,DO98+DN99-DW98,IF(A99&lt;'Données projet'!$A$166,$DL$205^A99,IF(A99='Données projet'!$A$166,'Données projet'!$B$166,DO98+DN99-DW98)))</f>
        <v>296.71538461538489</v>
      </c>
      <c r="DP99" s="17">
        <f>DO99*VLOOKUP('Données projet'!$B$14,Paramètres!$A$1:$I$89,3,0)*VLOOKUP('Données projet'!$B$14,Paramètres!$A$1:$I$89,5,0)</f>
        <v>300.86940000000027</v>
      </c>
      <c r="DQ99" s="13">
        <f t="shared" si="97"/>
        <v>71.358692402245879</v>
      </c>
      <c r="DR99" s="20">
        <f t="shared" si="70"/>
        <v>648.29726093391207</v>
      </c>
      <c r="DS99" s="59">
        <f t="shared" si="71"/>
        <v>941.63059426724544</v>
      </c>
      <c r="DT99" s="59">
        <f ca="1">AVERAGE(OFFSET($DS$3,0,0,'Données projet'!$E$14+1,1))-AVERAGE(OFFSET($H$3,0,0,'Données projet'!$E$14+1,1))</f>
        <v>263.15518481854753</v>
      </c>
      <c r="DU99" s="59">
        <f t="shared" si="98"/>
        <v>210.80755370263819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0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-5.1159076974727213E-13</v>
      </c>
      <c r="EK99" s="17">
        <f>EJ99*VLOOKUP('Données projet'!$B$15,Paramètres!$A$1:$I$89,3,0)*VLOOKUP('Données projet'!$B$15,Paramètres!$A$1:$I$89,5,0)</f>
        <v>-3.4317508834647017E-13</v>
      </c>
      <c r="EL99" s="13" t="e">
        <f t="shared" si="99"/>
        <v>#NUM!</v>
      </c>
      <c r="EM99" s="20" t="e">
        <f t="shared" si="73"/>
        <v>#NUM!</v>
      </c>
      <c r="EN99" s="59" t="e">
        <f t="shared" si="74"/>
        <v>#NUM!</v>
      </c>
      <c r="EO99" s="59">
        <f ca="1">AVERAGE(OFFSET($EN$3,0,0,'Données projet'!$E$15+1,1))-AVERAGE(OFFSET($H$3,0,0,'Données projet'!$E$15+1,1))</f>
        <v>207.93042467236967</v>
      </c>
      <c r="EP99" s="59">
        <f t="shared" si="100"/>
        <v>250.70954318710835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0.74448767206623157</v>
      </c>
      <c r="EW99" s="21">
        <f>EXP(-LN(2)/25)*EW98+(1-EXP(-LN(2)/25))/(LN(2)/25)*Calculateur!ER99*Calculateur!ET99*VLOOKUP('Données projet'!$B$15,Paramètres!$A$1:$I$89,3,0)*0.475*44/12</f>
        <v>2.7755435059372409</v>
      </c>
      <c r="EX99" s="21">
        <f>EXP(-LN(2)/2)*EX98+(1-EXP(-LN(2)/2))/(LN(2)/2)*ER99*EU99*VLOOKUP('Données projet'!$B$15,Paramètres!$A$1:$I$89,3,0)*0.475*44/12</f>
        <v>2.3595296487170254E-9</v>
      </c>
      <c r="EY99" s="22">
        <f t="shared" si="75"/>
        <v>3.5200311803630018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7.1782051282051267</v>
      </c>
      <c r="FE99" s="12">
        <f>IF('Données projet'!$A$218&gt;35,FE98+FD99-FM98,IF(A99&lt;'Données projet'!$A$218,$FB$205^A99,IF(A99='Données projet'!$A$218,'Données projet'!$B$218,FE98+FD99-FM98)))</f>
        <v>296.71538461538489</v>
      </c>
      <c r="FF99" s="17">
        <f>FE99*VLOOKUP('Données projet'!$B$16,Paramètres!$A$1:$I$89,3,0)*VLOOKUP('Données projet'!$B$16,Paramètres!$A$1:$I$89,5,0)</f>
        <v>319.38444000000027</v>
      </c>
      <c r="FG99" s="13">
        <f t="shared" si="101"/>
        <v>75.225260084158577</v>
      </c>
      <c r="FH99" s="20">
        <f t="shared" si="76"/>
        <v>687.27856097990991</v>
      </c>
      <c r="FI99" s="59">
        <f t="shared" si="77"/>
        <v>980.61189431324328</v>
      </c>
      <c r="FJ99" s="59">
        <f ca="1">AVERAGE(OFFSET($FI$3,0,0,'Données projet'!$E$16+1,1))-AVERAGE(OFFSET($H$3,0,0,'Données projet'!$E$16+1,1))</f>
        <v>286.77702855541287</v>
      </c>
      <c r="FK99" s="59">
        <f t="shared" si="102"/>
        <v>227.12211541860779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0</v>
      </c>
      <c r="FR99" s="21">
        <f>EXP(-LN(2)/25)*FR98+(1-EXP(-LN(2)/25))/(LN(2)/25)*Calculateur!FM99*Calculateur!FO99*VLOOKUP('Données projet'!$B$16,Paramètres!$A$1:$I$89,3,0)*0.475*44/12</f>
        <v>0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0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8.7211538461538449</v>
      </c>
      <c r="FZ99" s="12">
        <f>IF('Données projet'!$A$244&gt;35,FZ98+FY99-GH98,IF(A99&lt;'Données projet'!$A$244,$FW$205^A99,IF(A99='Données projet'!$A$244,'Données projet'!$B$244,FZ98+FY99-GH98)))</f>
        <v>389.55576923076933</v>
      </c>
      <c r="GA99" s="17">
        <f>FZ99*VLOOKUP('Données projet'!$B$17,Paramètres!$A$1:$I$89,3,0)*VLOOKUP('Données projet'!$B$17,Paramètres!$A$1:$I$89,5,0)</f>
        <v>182.31210000000004</v>
      </c>
      <c r="GB99" s="13">
        <f t="shared" si="103"/>
        <v>45.836203090068075</v>
      </c>
      <c r="GC99" s="20">
        <f t="shared" si="79"/>
        <v>397.3582945485353</v>
      </c>
      <c r="GD99" s="59">
        <f t="shared" si="80"/>
        <v>690.69162788186861</v>
      </c>
      <c r="GE99" s="59">
        <f ca="1">AVERAGE(OFFSET($GD$3,0,0,'Données projet'!$E$17+1,1))-AVERAGE(OFFSET($H$3,0,0,'Données projet'!$E$17+1,1))</f>
        <v>123.2823358462245</v>
      </c>
      <c r="GF99" s="59">
        <f t="shared" si="104"/>
        <v>92.75115399786057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0</v>
      </c>
      <c r="GM99" s="21">
        <f>EXP(-LN(2)/25)*GM98+(1-EXP(-LN(2)/25))/(LN(2)/25)*Calculateur!GH99*Calculateur!GJ99*VLOOKUP('Données projet'!$B$17,Paramètres!$A$1:$I$89,3,0)*0.475*44/12</f>
        <v>0</v>
      </c>
      <c r="GN99" s="21">
        <f>EXP(-LN(2)/2)*GN98+(1-EXP(-LN(2)/2))/(LN(2)/2)*GH99*GK99*VLOOKUP('Données projet'!$B$17,Paramètres!$A$1:$I$89,3,0)*0.475*44/12</f>
        <v>0</v>
      </c>
      <c r="GO99" s="21">
        <f t="shared" si="81"/>
        <v>0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-2.8421709430404007E-13</v>
      </c>
      <c r="GV99" s="17">
        <f>GU99*VLOOKUP('Données projet'!$B$18,Paramètres!$A$1:$I$89,3,0)*VLOOKUP('Données projet'!$B$18,Paramètres!$A$1:$I$89,5,0)</f>
        <v>-1.69961822393816E-13</v>
      </c>
      <c r="GW99" s="13" t="e">
        <f t="shared" si="105"/>
        <v>#NUM!</v>
      </c>
      <c r="GX99" s="20" t="e">
        <f t="shared" si="82"/>
        <v>#NUM!</v>
      </c>
      <c r="GY99" s="59" t="e">
        <f t="shared" si="83"/>
        <v>#NUM!</v>
      </c>
      <c r="GZ99" s="59">
        <f ca="1">AVERAGE(OFFSET($GY$3,0,0,'Données projet'!$E$18+1,1))-AVERAGE(OFFSET($H$3,0,0,'Données projet'!$E$18+1,1))</f>
        <v>171.96009656745713</v>
      </c>
      <c r="HA99" s="59">
        <f t="shared" si="106"/>
        <v>172.37574906747716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>
        <f>EXP(-LN(2)/35)*HG98+(1-EXP(-LN(2)/35))/(LN(2)/35)*HC99*HD99*VLOOKUP('Données projet'!$B$18,Paramètres!$A$1:$I$89,3,0)*0.475*44/12</f>
        <v>0.45139078693647305</v>
      </c>
      <c r="HH99" s="21">
        <f>EXP(-LN(2)/25)*HH98+(1-EXP(-LN(2)/25))/(LN(2)/25)*Calculateur!HC99*Calculateur!HE99*VLOOKUP('Données projet'!$B$18,Paramètres!$A$1:$I$89,3,0)*0.475*44/12</f>
        <v>3.2979185427094508</v>
      </c>
      <c r="HI99" s="21">
        <f>EXP(-LN(2)/2)*HI98+(1-EXP(-LN(2)/2))/(LN(2)/2)*HC99*HF99*VLOOKUP('Données projet'!$B$18,Paramètres!$A$1:$I$89,3,0)*0.475*44/12</f>
        <v>1.4021784625628698E-9</v>
      </c>
      <c r="HJ99" s="22">
        <f t="shared" si="84"/>
        <v>3.7493093310481025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-2.2737367544323206E-13</v>
      </c>
      <c r="O100" s="13">
        <f>N100*VLOOKUP('Données projet'!$B$9,Paramètres!$A$1:$I$89,3,0)*VLOOKUP('Données projet'!$B$9,Paramètres!$A$1:$I$89,5,0)</f>
        <v>-1.2710188457276673E-13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255.5374979188561</v>
      </c>
      <c r="T100" s="59">
        <f t="shared" si="88"/>
        <v>343.10418468620901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0.81979789724890517</v>
      </c>
      <c r="AA100" s="21">
        <f>EXP(-LN(2)/25)*AA99+(1-EXP(-LN(2)/25))/(LN(2)/25)*Calculateur!V100*Calculateur!X100*VLOOKUP('Données projet'!$B$9,Paramètres!$A$1:$I$89,3,0)*0.475*44/12</f>
        <v>2.4904598800874309</v>
      </c>
      <c r="AB100" s="21">
        <f>EXP(-LN(2)/2)*AB99+(1-EXP(-LN(2)/2))/(LN(2)/2)*V100*Y100*VLOOKUP('Données projet'!$B$9,Paramètres!$A$1:$I$89,3,0)*0.475*44/12</f>
        <v>1.3933584135625056E-10</v>
      </c>
      <c r="AC100" s="22">
        <f t="shared" si="57"/>
        <v>3.3102577774756718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7.5015384615384617</v>
      </c>
      <c r="AI100" s="13">
        <f>IF('Données projet'!$A$62&gt;35,AI99+AH100-AQ99,IF(A100&lt;'Données projet'!$A$62,$AF$205^A100,IF(A100='Données projet'!$A$62,'Données projet'!$B$62,AI99+AH100-AQ99)))</f>
        <v>249.70307692307716</v>
      </c>
      <c r="AJ100" s="13">
        <f>AI100*VLOOKUP('Données projet'!$B$10,Paramètres!$A$1:$I$89,3,0)*VLOOKUP('Données projet'!$B$10,Paramètres!$A$1:$I$89,5,0)</f>
        <v>116.86104000000012</v>
      </c>
      <c r="AK100" s="13">
        <f t="shared" si="89"/>
        <v>30.941762857231797</v>
      </c>
      <c r="AL100" s="20">
        <f t="shared" si="58"/>
        <v>257.42321497634555</v>
      </c>
      <c r="AM100" s="59">
        <f t="shared" si="59"/>
        <v>550.75654830967892</v>
      </c>
      <c r="AN100" s="59">
        <f ca="1">AVERAGE(OFFSET($AM$3,0,0,'Données projet'!$E$10+1,1))-AVERAGE(OFFSET($H$3,0,0,'Données projet'!$E$10+1,1))</f>
        <v>158.58786357608489</v>
      </c>
      <c r="AO100" s="59">
        <f t="shared" si="90"/>
        <v>163.20074068819849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0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-1.7053025658242404E-13</v>
      </c>
      <c r="BE100" s="13">
        <f>BD100*VLOOKUP('Données projet'!$B$11,Paramètres!$A$1:$I$89,3,0)*VLOOKUP('Données projet'!$B$11,Paramètres!$A$1:$I$89,5,0)</f>
        <v>-1.0197709343628959E-13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243.85350804244348</v>
      </c>
      <c r="BJ100" s="59">
        <f t="shared" si="92"/>
        <v>304.60992308960545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1.2007190642329013</v>
      </c>
      <c r="BQ100" s="21">
        <f>EXP(-LN(2)/25)*BQ99+(1-EXP(-LN(2)/25))/(LN(2)/25)*Calculateur!BL100*Calculateur!BN100*VLOOKUP('Données projet'!$B$11,Paramètres!$A$1:$I$89,3,0)*0.475*44/12</f>
        <v>2.7664410517481692</v>
      </c>
      <c r="BR100" s="21">
        <f>EXP(-LN(2)/2)*BR99+(1-EXP(-LN(2)/2))/(LN(2)/2)*BL100*BO100*VLOOKUP('Données projet'!$B$11,Paramètres!$A$1:$I$89,3,0)*0.475*44/12</f>
        <v>3.0772356864126137E-10</v>
      </c>
      <c r="BS100" s="22">
        <f t="shared" si="63"/>
        <v>3.9671601162887944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497</v>
      </c>
      <c r="BZ100" s="13">
        <f>BY100*VLOOKUP('Données projet'!$B$12,Paramètres!$A$1:$I$89,3,0)*VLOOKUP('Données projet'!$B$12,Paramètres!$A$1:$I$89,5,0)</f>
        <v>297.20600000000002</v>
      </c>
      <c r="CA100" s="13">
        <f t="shared" si="93"/>
        <v>70.590415164571112</v>
      </c>
      <c r="CB100" s="20">
        <f t="shared" si="64"/>
        <v>640.57875641162809</v>
      </c>
      <c r="CC100" s="59">
        <f t="shared" si="65"/>
        <v>933.91208974496135</v>
      </c>
      <c r="CD100" s="59">
        <f ca="1">AVERAGE(OFFSET($CC$3,0,0,'Données projet'!$E$12+1,1))-AVERAGE(OFFSET($H$3,0,0,'Données projet'!$E$12+1,1))</f>
        <v>270.30888762640245</v>
      </c>
      <c r="CE100" s="59">
        <f t="shared" si="94"/>
        <v>202.23783851977691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0.56824534185030517</v>
      </c>
      <c r="CL100" s="21">
        <f>EXP(-LN(2)/25)*CL99+(1-EXP(-LN(2)/25))/(LN(2)/25)*Calculateur!CG100*Calculateur!CI100*VLOOKUP('Données projet'!$B$12,Paramètres!$A$1:$I$89,3,0)*0.475*44/12</f>
        <v>1.9185604958141098</v>
      </c>
      <c r="CM100" s="21">
        <f>EXP(-LN(2)/2)*CM99+(1-EXP(-LN(2)/2))/(LN(2)/2)*CG100*CJ100*VLOOKUP('Données projet'!$B$12,Paramètres!$A$1:$I$89,3,0)*0.475*44/12</f>
        <v>1.5222757278611265E-9</v>
      </c>
      <c r="CN100" s="22">
        <f t="shared" si="66"/>
        <v>2.4868058391866907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-5.1159076974727213E-13</v>
      </c>
      <c r="CU100" s="17">
        <f>CT100*VLOOKUP('Données projet'!$B$13,Paramètres!$A$1:$I$89,3,0)*VLOOKUP('Données projet'!$B$13,Paramètres!$A$1:$I$89,5,0)</f>
        <v>-4.0702161641092972E-13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260.20517190557814</v>
      </c>
      <c r="CZ100" s="59">
        <f t="shared" si="96"/>
        <v>307.22009971147133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0.86568197368354494</v>
      </c>
      <c r="DG100" s="21">
        <f>EXP(-LN(2)/25)*DG99+(1-EXP(-LN(2)/25))/(LN(2)/25)*Calculateur!DB100*Calculateur!DD100*VLOOKUP('Données projet'!$B$13,Paramètres!$A$1:$I$89,3,0)*0.475*44/12</f>
        <v>3.2019058665861064</v>
      </c>
      <c r="DH100" s="21">
        <f>EXP(-LN(2)/2)*DH99+(1-EXP(-LN(2)/2))/(LN(2)/2)*DB100*DE100*VLOOKUP('Données projet'!$B$13,Paramètres!$A$1:$I$89,3,0)*0.475*44/12</f>
        <v>1.9788467480452227E-9</v>
      </c>
      <c r="DI100" s="22">
        <f t="shared" si="69"/>
        <v>4.0675878422484981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7.1782051282051267</v>
      </c>
      <c r="DO100" s="12">
        <f>IF('Données projet'!$A$166&gt;35,DO99+DN100-DW99,IF(A100&lt;'Données projet'!$A$166,$DL$205^A100,IF(A100='Données projet'!$A$166,'Données projet'!$B$166,DO99+DN100-DW99)))</f>
        <v>303.89358974359004</v>
      </c>
      <c r="DP100" s="17">
        <f>DO100*VLOOKUP('Données projet'!$B$14,Paramètres!$A$1:$I$89,3,0)*VLOOKUP('Données projet'!$B$14,Paramètres!$A$1:$I$89,5,0)</f>
        <v>308.14810000000034</v>
      </c>
      <c r="DQ100" s="13">
        <f t="shared" si="97"/>
        <v>72.881944979142219</v>
      </c>
      <c r="DR100" s="20">
        <f t="shared" si="70"/>
        <v>663.62732833867324</v>
      </c>
      <c r="DS100" s="59">
        <f t="shared" si="71"/>
        <v>956.96066167200661</v>
      </c>
      <c r="DT100" s="59">
        <f ca="1">AVERAGE(OFFSET($DS$3,0,0,'Données projet'!$E$14+1,1))-AVERAGE(OFFSET($H$3,0,0,'Données projet'!$E$14+1,1))</f>
        <v>263.15518481854753</v>
      </c>
      <c r="DU100" s="59">
        <f t="shared" si="98"/>
        <v>210.80755370263819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0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-5.1159076974727213E-13</v>
      </c>
      <c r="EK100" s="17">
        <f>EJ100*VLOOKUP('Données projet'!$B$15,Paramètres!$A$1:$I$89,3,0)*VLOOKUP('Données projet'!$B$15,Paramètres!$A$1:$I$89,5,0)</f>
        <v>-3.4317508834647017E-13</v>
      </c>
      <c r="EL100" s="13" t="e">
        <f t="shared" si="99"/>
        <v>#NUM!</v>
      </c>
      <c r="EM100" s="20" t="e">
        <f t="shared" si="73"/>
        <v>#NUM!</v>
      </c>
      <c r="EN100" s="59" t="e">
        <f t="shared" si="74"/>
        <v>#NUM!</v>
      </c>
      <c r="EO100" s="59">
        <f ca="1">AVERAGE(OFFSET($EN$3,0,0,'Données projet'!$E$15+1,1))-AVERAGE(OFFSET($H$3,0,0,'Données projet'!$E$15+1,1))</f>
        <v>207.93042467236967</v>
      </c>
      <c r="EP100" s="59">
        <f t="shared" si="100"/>
        <v>250.70954318710835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0.72988872290965479</v>
      </c>
      <c r="EW100" s="21">
        <f>EXP(-LN(2)/25)*EW99+(1-EXP(-LN(2)/25))/(LN(2)/25)*Calculateur!ER100*Calculateur!ET100*VLOOKUP('Données projet'!$B$15,Paramètres!$A$1:$I$89,3,0)*0.475*44/12</f>
        <v>2.6996461228078976</v>
      </c>
      <c r="EX100" s="21">
        <f>EXP(-LN(2)/2)*EX99+(1-EXP(-LN(2)/2))/(LN(2)/2)*ER100*EU100*VLOOKUP('Données projet'!$B$15,Paramètres!$A$1:$I$89,3,0)*0.475*44/12</f>
        <v>1.668439415018521E-9</v>
      </c>
      <c r="EY100" s="22">
        <f t="shared" si="75"/>
        <v>3.4295348473859919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7.1782051282051267</v>
      </c>
      <c r="FE100" s="12">
        <f>IF('Données projet'!$A$218&gt;35,FE99+FD100-FM99,IF(A100&lt;'Données projet'!$A$218,$FB$205^A100,IF(A100='Données projet'!$A$218,'Données projet'!$B$218,FE99+FD100-FM99)))</f>
        <v>303.89358974359004</v>
      </c>
      <c r="FF100" s="17">
        <f>FE100*VLOOKUP('Données projet'!$B$16,Paramètres!$A$1:$I$89,3,0)*VLOOKUP('Données projet'!$B$16,Paramètres!$A$1:$I$89,5,0)</f>
        <v>327.11106000000035</v>
      </c>
      <c r="FG100" s="13">
        <f t="shared" si="101"/>
        <v>76.831050036487923</v>
      </c>
      <c r="FH100" s="20">
        <f t="shared" si="76"/>
        <v>703.53250831355035</v>
      </c>
      <c r="FI100" s="59">
        <f t="shared" si="77"/>
        <v>996.86584164688361</v>
      </c>
      <c r="FJ100" s="59">
        <f ca="1">AVERAGE(OFFSET($FI$3,0,0,'Données projet'!$E$16+1,1))-AVERAGE(OFFSET($H$3,0,0,'Données projet'!$E$16+1,1))</f>
        <v>286.77702855541287</v>
      </c>
      <c r="FK100" s="59">
        <f t="shared" si="102"/>
        <v>227.12211541860779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0</v>
      </c>
      <c r="FR100" s="21">
        <f>EXP(-LN(2)/25)*FR99+(1-EXP(-LN(2)/25))/(LN(2)/25)*Calculateur!FM100*Calculateur!FO100*VLOOKUP('Données projet'!$B$16,Paramètres!$A$1:$I$89,3,0)*0.475*44/12</f>
        <v>0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0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>
        <f>VLOOKUP(A100,'Données projet'!$A$243:$I$263,2,0)</f>
        <v>398.27692307692308</v>
      </c>
      <c r="FX100" s="12">
        <f>VLOOKUP(A100,'Données projet'!$A$243:$I$263,9,0)</f>
        <v>8.7211538461538449</v>
      </c>
      <c r="FY100" s="12">
        <f t="array" ref="FY100">INDEX(FX:FX,MIN(IF(ISNUMBER(FX100:FX296),ROW(FX100:FX296),"")))</f>
        <v>8.7211538461538449</v>
      </c>
      <c r="FZ100" s="12">
        <f>IF('Données projet'!$A$244&gt;35,FZ99+FY100-GH99,IF(A100&lt;'Données projet'!$A$244,$FW$205^A100,IF(A100='Données projet'!$A$244,'Données projet'!$B$244,FZ99+FY100-GH99)))</f>
        <v>398.2769230769232</v>
      </c>
      <c r="GA100" s="17">
        <f>FZ100*VLOOKUP('Données projet'!$B$17,Paramètres!$A$1:$I$89,3,0)*VLOOKUP('Données projet'!$B$17,Paramètres!$A$1:$I$89,5,0)</f>
        <v>186.39360000000008</v>
      </c>
      <c r="GB100" s="13">
        <f t="shared" si="103"/>
        <v>46.741741929451358</v>
      </c>
      <c r="GC100" s="20">
        <f t="shared" si="79"/>
        <v>406.04405386046125</v>
      </c>
      <c r="GD100" s="59">
        <f t="shared" si="80"/>
        <v>699.37738719379456</v>
      </c>
      <c r="GE100" s="59">
        <f ca="1">AVERAGE(OFFSET($GD$3,0,0,'Données projet'!$E$17+1,1))-AVERAGE(OFFSET($H$3,0,0,'Données projet'!$E$17+1,1))</f>
        <v>123.2823358462245</v>
      </c>
      <c r="GF100" s="59">
        <f t="shared" si="104"/>
        <v>92.75115399786057</v>
      </c>
      <c r="GG100" s="15">
        <f>IF(ISNA(VLOOKUP(A100,'Données projet'!$A$243:$I$263,3,0)),0,VLOOKUP(A100,'Données projet'!$A$243:$I$263,3,0))</f>
        <v>5</v>
      </c>
      <c r="GH100" s="15">
        <f>IF(ISNA(VLOOKUP(A100,'Données projet'!$A$243:$I$263,4,0)),0,VLOOKUP(A100,'Données projet'!$A$243:$I$263,4,0))</f>
        <v>79.669230769230765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0</v>
      </c>
      <c r="GM100" s="21">
        <f>EXP(-LN(2)/25)*GM99+(1-EXP(-LN(2)/25))/(LN(2)/25)*Calculateur!GH100*Calculateur!GJ100*VLOOKUP('Données projet'!$B$17,Paramètres!$A$1:$I$89,3,0)*0.475*44/12</f>
        <v>0</v>
      </c>
      <c r="GN100" s="21">
        <f>EXP(-LN(2)/2)*GN99+(1-EXP(-LN(2)/2))/(LN(2)/2)*GH100*GK100*VLOOKUP('Données projet'!$B$17,Paramètres!$A$1:$I$89,3,0)*0.475*44/12</f>
        <v>0</v>
      </c>
      <c r="GO100" s="21">
        <f t="shared" si="81"/>
        <v>0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-2.8421709430404007E-13</v>
      </c>
      <c r="GV100" s="17">
        <f>GU100*VLOOKUP('Données projet'!$B$18,Paramètres!$A$1:$I$89,3,0)*VLOOKUP('Données projet'!$B$18,Paramètres!$A$1:$I$89,5,0)</f>
        <v>-1.69961822393816E-13</v>
      </c>
      <c r="GW100" s="13" t="e">
        <f t="shared" si="105"/>
        <v>#NUM!</v>
      </c>
      <c r="GX100" s="20" t="e">
        <f t="shared" si="82"/>
        <v>#NUM!</v>
      </c>
      <c r="GY100" s="59" t="e">
        <f t="shared" si="83"/>
        <v>#NUM!</v>
      </c>
      <c r="GZ100" s="59">
        <f ca="1">AVERAGE(OFFSET($GY$3,0,0,'Données projet'!$E$18+1,1))-AVERAGE(OFFSET($H$3,0,0,'Données projet'!$E$18+1,1))</f>
        <v>171.96009656745713</v>
      </c>
      <c r="HA100" s="59">
        <f t="shared" si="106"/>
        <v>172.37574906747716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>
        <f>EXP(-LN(2)/35)*HG99+(1-EXP(-LN(2)/35))/(LN(2)/35)*HC100*HD100*VLOOKUP('Données projet'!$B$18,Paramètres!$A$1:$I$89,3,0)*0.475*44/12</f>
        <v>0.44253928892584316</v>
      </c>
      <c r="HH100" s="21">
        <f>EXP(-LN(2)/25)*HH99+(1-EXP(-LN(2)/25))/(LN(2)/25)*Calculateur!HC100*Calculateur!HE100*VLOOKUP('Données projet'!$B$18,Paramètres!$A$1:$I$89,3,0)*0.475*44/12</f>
        <v>3.207736786729062</v>
      </c>
      <c r="HI100" s="21">
        <f>EXP(-LN(2)/2)*HI99+(1-EXP(-LN(2)/2))/(LN(2)/2)*HC100*HF100*VLOOKUP('Données projet'!$B$18,Paramètres!$A$1:$I$89,3,0)*0.475*44/12</f>
        <v>9.9148989931193279E-10</v>
      </c>
      <c r="HJ100" s="22">
        <f t="shared" si="84"/>
        <v>3.6502760766463953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-2.2737367544323206E-13</v>
      </c>
      <c r="O101" s="13">
        <f>N101*VLOOKUP('Données projet'!$B$9,Paramètres!$A$1:$I$89,3,0)*VLOOKUP('Données projet'!$B$9,Paramètres!$A$1:$I$89,5,0)</f>
        <v>-1.2710188457276673E-13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255.5374979188561</v>
      </c>
      <c r="T101" s="59">
        <f t="shared" si="88"/>
        <v>343.10418468620901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0.80372216051119783</v>
      </c>
      <c r="AA101" s="21">
        <f>EXP(-LN(2)/25)*AA100+(1-EXP(-LN(2)/25))/(LN(2)/25)*Calculateur!V101*Calculateur!X101*VLOOKUP('Données projet'!$B$9,Paramètres!$A$1:$I$89,3,0)*0.475*44/12</f>
        <v>2.4223581236988472</v>
      </c>
      <c r="AB101" s="21">
        <f>EXP(-LN(2)/2)*AB100+(1-EXP(-LN(2)/2))/(LN(2)/2)*V101*Y101*VLOOKUP('Données projet'!$B$9,Paramètres!$A$1:$I$89,3,0)*0.475*44/12</f>
        <v>9.8525318285337768E-11</v>
      </c>
      <c r="AC101" s="22">
        <f t="shared" si="57"/>
        <v>3.2260802843085701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7.5015384615384617</v>
      </c>
      <c r="AI101" s="13">
        <f>IF('Données projet'!$A$62&gt;35,AI100+AH101-AQ100,IF(A101&lt;'Données projet'!$A$62,$AF$205^A101,IF(A101='Données projet'!$A$62,'Données projet'!$B$62,AI100+AH101-AQ100)))</f>
        <v>257.20461538461564</v>
      </c>
      <c r="AJ101" s="13">
        <f>AI101*VLOOKUP('Données projet'!$B$10,Paramètres!$A$1:$I$89,3,0)*VLOOKUP('Données projet'!$B$10,Paramètres!$A$1:$I$89,5,0)</f>
        <v>120.37176000000012</v>
      </c>
      <c r="AK101" s="13">
        <f t="shared" si="89"/>
        <v>31.761690593555869</v>
      </c>
      <c r="AL101" s="20">
        <f t="shared" si="58"/>
        <v>264.96575978377672</v>
      </c>
      <c r="AM101" s="59">
        <f t="shared" si="59"/>
        <v>558.29909311711003</v>
      </c>
      <c r="AN101" s="59">
        <f ca="1">AVERAGE(OFFSET($AM$3,0,0,'Données projet'!$E$10+1,1))-AVERAGE(OFFSET($H$3,0,0,'Données projet'!$E$10+1,1))</f>
        <v>158.58786357608489</v>
      </c>
      <c r="AO101" s="59">
        <f t="shared" si="90"/>
        <v>163.20074068819849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0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-1.7053025658242404E-13</v>
      </c>
      <c r="BE101" s="13">
        <f>BD101*VLOOKUP('Données projet'!$B$11,Paramètres!$A$1:$I$89,3,0)*VLOOKUP('Données projet'!$B$11,Paramètres!$A$1:$I$89,5,0)</f>
        <v>-1.0197709343628959E-13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243.85350804244348</v>
      </c>
      <c r="BJ101" s="59">
        <f t="shared" si="92"/>
        <v>304.60992308960545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1.1771736957496082</v>
      </c>
      <c r="BQ101" s="21">
        <f>EXP(-LN(2)/25)*BQ100+(1-EXP(-LN(2)/25))/(LN(2)/25)*Calculateur!BL101*Calculateur!BN101*VLOOKUP('Données projet'!$B$11,Paramètres!$A$1:$I$89,3,0)*0.475*44/12</f>
        <v>2.6907925757073032</v>
      </c>
      <c r="BR101" s="21">
        <f>EXP(-LN(2)/2)*BR100+(1-EXP(-LN(2)/2))/(LN(2)/2)*BL101*BO101*VLOOKUP('Données projet'!$B$11,Paramètres!$A$1:$I$89,3,0)*0.475*44/12</f>
        <v>2.1759342211715994E-10</v>
      </c>
      <c r="BS101" s="22">
        <f t="shared" si="63"/>
        <v>3.8679662716745047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497</v>
      </c>
      <c r="BZ101" s="13">
        <f>BY101*VLOOKUP('Données projet'!$B$12,Paramètres!$A$1:$I$89,3,0)*VLOOKUP('Données projet'!$B$12,Paramètres!$A$1:$I$89,5,0)</f>
        <v>297.20600000000002</v>
      </c>
      <c r="CA101" s="13">
        <f t="shared" si="93"/>
        <v>70.590415164571112</v>
      </c>
      <c r="CB101" s="20">
        <f t="shared" si="64"/>
        <v>640.57875641162809</v>
      </c>
      <c r="CC101" s="59">
        <f t="shared" si="65"/>
        <v>933.91208974496135</v>
      </c>
      <c r="CD101" s="59">
        <f ca="1">AVERAGE(OFFSET($CC$3,0,0,'Données projet'!$E$12+1,1))-AVERAGE(OFFSET($H$3,0,0,'Données projet'!$E$12+1,1))</f>
        <v>270.30888762640245</v>
      </c>
      <c r="CE101" s="59">
        <f t="shared" si="94"/>
        <v>202.23783851977691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0.5571023972920558</v>
      </c>
      <c r="CL101" s="21">
        <f>EXP(-LN(2)/25)*CL100+(1-EXP(-LN(2)/25))/(LN(2)/25)*Calculateur!CG101*Calculateur!CI101*VLOOKUP('Données projet'!$B$12,Paramètres!$A$1:$I$89,3,0)*0.475*44/12</f>
        <v>1.8660973581633615</v>
      </c>
      <c r="CM101" s="21">
        <f>EXP(-LN(2)/2)*CM100+(1-EXP(-LN(2)/2))/(LN(2)/2)*CG101*CJ101*VLOOKUP('Données projet'!$B$12,Paramètres!$A$1:$I$89,3,0)*0.475*44/12</f>
        <v>1.0764114900062899E-9</v>
      </c>
      <c r="CN101" s="22">
        <f t="shared" si="66"/>
        <v>2.4231997565318286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-5.1159076974727213E-13</v>
      </c>
      <c r="CU101" s="17">
        <f>CT101*VLOOKUP('Données projet'!$B$13,Paramètres!$A$1:$I$89,3,0)*VLOOKUP('Données projet'!$B$13,Paramètres!$A$1:$I$89,5,0)</f>
        <v>-4.0702161641092972E-13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260.20517190557814</v>
      </c>
      <c r="CZ101" s="59">
        <f t="shared" si="96"/>
        <v>307.22009971147133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0.84870647819347755</v>
      </c>
      <c r="DG101" s="21">
        <f>EXP(-LN(2)/25)*DG100+(1-EXP(-LN(2)/25))/(LN(2)/25)*Calculateur!DB101*Calculateur!DD101*VLOOKUP('Données projet'!$B$13,Paramètres!$A$1:$I$89,3,0)*0.475*44/12</f>
        <v>3.1143495822833978</v>
      </c>
      <c r="DH101" s="21">
        <f>EXP(-LN(2)/2)*DH100+(1-EXP(-LN(2)/2))/(LN(2)/2)*DB101*DE101*VLOOKUP('Données projet'!$B$13,Paramètres!$A$1:$I$89,3,0)*0.475*44/12</f>
        <v>1.3992559544717245E-9</v>
      </c>
      <c r="DI101" s="22">
        <f t="shared" si="69"/>
        <v>3.9630560618761312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7.1782051282051267</v>
      </c>
      <c r="DO101" s="12">
        <f>IF('Données projet'!$A$166&gt;35,DO100+DN101-DW100,IF(A101&lt;'Données projet'!$A$166,$DL$205^A101,IF(A101='Données projet'!$A$166,'Données projet'!$B$166,DO100+DN101-DW100)))</f>
        <v>311.07179487179519</v>
      </c>
      <c r="DP101" s="17">
        <f>DO101*VLOOKUP('Données projet'!$B$14,Paramètres!$A$1:$I$89,3,0)*VLOOKUP('Données projet'!$B$14,Paramètres!$A$1:$I$89,5,0)</f>
        <v>315.42680000000036</v>
      </c>
      <c r="DQ101" s="13">
        <f t="shared" si="97"/>
        <v>74.401014776148614</v>
      </c>
      <c r="DR101" s="20">
        <f t="shared" si="70"/>
        <v>678.95011073512603</v>
      </c>
      <c r="DS101" s="59">
        <f t="shared" si="71"/>
        <v>972.2834440684594</v>
      </c>
      <c r="DT101" s="59">
        <f ca="1">AVERAGE(OFFSET($DS$3,0,0,'Données projet'!$E$14+1,1))-AVERAGE(OFFSET($H$3,0,0,'Données projet'!$E$14+1,1))</f>
        <v>263.15518481854753</v>
      </c>
      <c r="DU101" s="59">
        <f t="shared" si="98"/>
        <v>210.80755370263819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0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-5.1159076974727213E-13</v>
      </c>
      <c r="EK101" s="17">
        <f>EJ101*VLOOKUP('Données projet'!$B$15,Paramètres!$A$1:$I$89,3,0)*VLOOKUP('Données projet'!$B$15,Paramètres!$A$1:$I$89,5,0)</f>
        <v>-3.4317508834647017E-13</v>
      </c>
      <c r="EL101" s="13" t="e">
        <f t="shared" si="99"/>
        <v>#NUM!</v>
      </c>
      <c r="EM101" s="20" t="e">
        <f t="shared" si="73"/>
        <v>#NUM!</v>
      </c>
      <c r="EN101" s="59" t="e">
        <f t="shared" si="74"/>
        <v>#NUM!</v>
      </c>
      <c r="EO101" s="59">
        <f ca="1">AVERAGE(OFFSET($EN$3,0,0,'Données projet'!$E$15+1,1))-AVERAGE(OFFSET($H$3,0,0,'Données projet'!$E$15+1,1))</f>
        <v>207.93042467236967</v>
      </c>
      <c r="EP101" s="59">
        <f t="shared" si="100"/>
        <v>250.70954318710835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0.71557605024155879</v>
      </c>
      <c r="EW101" s="21">
        <f>EXP(-LN(2)/25)*EW100+(1-EXP(-LN(2)/25))/(LN(2)/25)*Calculateur!ER101*Calculateur!ET101*VLOOKUP('Données projet'!$B$15,Paramètres!$A$1:$I$89,3,0)*0.475*44/12</f>
        <v>2.625824157611496</v>
      </c>
      <c r="EX101" s="21">
        <f>EXP(-LN(2)/2)*EX100+(1-EXP(-LN(2)/2))/(LN(2)/2)*ER101*EU101*VLOOKUP('Données projet'!$B$15,Paramètres!$A$1:$I$89,3,0)*0.475*44/12</f>
        <v>1.1797648243585127E-9</v>
      </c>
      <c r="EY101" s="22">
        <f t="shared" si="75"/>
        <v>3.3414002090328196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7.1782051282051267</v>
      </c>
      <c r="FE101" s="12">
        <f>IF('Données projet'!$A$218&gt;35,FE100+FD101-FM100,IF(A101&lt;'Données projet'!$A$218,$FB$205^A101,IF(A101='Données projet'!$A$218,'Données projet'!$B$218,FE100+FD101-FM100)))</f>
        <v>311.07179487179519</v>
      </c>
      <c r="FF101" s="17">
        <f>FE101*VLOOKUP('Données projet'!$B$16,Paramètres!$A$1:$I$89,3,0)*VLOOKUP('Données projet'!$B$16,Paramètres!$A$1:$I$89,5,0)</f>
        <v>334.83768000000038</v>
      </c>
      <c r="FG101" s="13">
        <f t="shared" si="101"/>
        <v>78.432430565178777</v>
      </c>
      <c r="FH101" s="20">
        <f t="shared" si="76"/>
        <v>719.77877590102037</v>
      </c>
      <c r="FI101" s="59">
        <f t="shared" si="77"/>
        <v>1013.1121092343537</v>
      </c>
      <c r="FJ101" s="59">
        <f ca="1">AVERAGE(OFFSET($FI$3,0,0,'Données projet'!$E$16+1,1))-AVERAGE(OFFSET($H$3,0,0,'Données projet'!$E$16+1,1))</f>
        <v>286.77702855541287</v>
      </c>
      <c r="FK101" s="59">
        <f t="shared" si="102"/>
        <v>227.12211541860779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0</v>
      </c>
      <c r="FR101" s="21">
        <f>EXP(-LN(2)/25)*FR100+(1-EXP(-LN(2)/25))/(LN(2)/25)*Calculateur!FM101*Calculateur!FO101*VLOOKUP('Données projet'!$B$16,Paramètres!$A$1:$I$89,3,0)*0.475*44/12</f>
        <v>0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0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7.882692307692305</v>
      </c>
      <c r="FZ101" s="12">
        <f>IF('Données projet'!$A$244&gt;35,FZ100+FY101-GH100,IF(A101&lt;'Données projet'!$A$244,$FW$205^A101,IF(A101='Données projet'!$A$244,'Données projet'!$B$244,FZ100+FY101-GH100)))</f>
        <v>326.49038461538476</v>
      </c>
      <c r="GA101" s="17">
        <f>FZ101*VLOOKUP('Données projet'!$B$17,Paramètres!$A$1:$I$89,3,0)*VLOOKUP('Données projet'!$B$17,Paramètres!$A$1:$I$89,5,0)</f>
        <v>152.79750000000007</v>
      </c>
      <c r="GB101" s="13">
        <f t="shared" si="103"/>
        <v>39.213642223408904</v>
      </c>
      <c r="GC101" s="20">
        <f t="shared" si="79"/>
        <v>334.41940603910399</v>
      </c>
      <c r="GD101" s="59">
        <f t="shared" si="80"/>
        <v>627.7527393724373</v>
      </c>
      <c r="GE101" s="59">
        <f ca="1">AVERAGE(OFFSET($GD$3,0,0,'Données projet'!$E$17+1,1))-AVERAGE(OFFSET($H$3,0,0,'Données projet'!$E$17+1,1))</f>
        <v>123.2823358462245</v>
      </c>
      <c r="GF101" s="59">
        <f t="shared" si="104"/>
        <v>92.75115399786057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0</v>
      </c>
      <c r="GM101" s="21">
        <f>EXP(-LN(2)/25)*GM100+(1-EXP(-LN(2)/25))/(LN(2)/25)*Calculateur!GH101*Calculateur!GJ101*VLOOKUP('Données projet'!$B$17,Paramètres!$A$1:$I$89,3,0)*0.475*44/12</f>
        <v>0</v>
      </c>
      <c r="GN101" s="21">
        <f>EXP(-LN(2)/2)*GN100+(1-EXP(-LN(2)/2))/(LN(2)/2)*GH101*GK101*VLOOKUP('Données projet'!$B$17,Paramètres!$A$1:$I$89,3,0)*0.475*44/12</f>
        <v>0</v>
      </c>
      <c r="GO101" s="21">
        <f t="shared" si="81"/>
        <v>0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-2.8421709430404007E-13</v>
      </c>
      <c r="GV101" s="17">
        <f>GU101*VLOOKUP('Données projet'!$B$18,Paramètres!$A$1:$I$89,3,0)*VLOOKUP('Données projet'!$B$18,Paramètres!$A$1:$I$89,5,0)</f>
        <v>-1.69961822393816E-13</v>
      </c>
      <c r="GW101" s="13" t="e">
        <f t="shared" si="105"/>
        <v>#NUM!</v>
      </c>
      <c r="GX101" s="20" t="e">
        <f t="shared" si="82"/>
        <v>#NUM!</v>
      </c>
      <c r="GY101" s="59" t="e">
        <f t="shared" si="83"/>
        <v>#NUM!</v>
      </c>
      <c r="GZ101" s="59">
        <f ca="1">AVERAGE(OFFSET($GY$3,0,0,'Données projet'!$E$18+1,1))-AVERAGE(OFFSET($H$3,0,0,'Données projet'!$E$18+1,1))</f>
        <v>171.96009656745713</v>
      </c>
      <c r="HA101" s="59">
        <f t="shared" si="106"/>
        <v>172.37574906747716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>
        <f>EXP(-LN(2)/35)*HG100+(1-EXP(-LN(2)/35))/(LN(2)/35)*HC101*HD101*VLOOKUP('Données projet'!$B$18,Paramètres!$A$1:$I$89,3,0)*0.475*44/12</f>
        <v>0.43386136339232101</v>
      </c>
      <c r="HH101" s="21">
        <f>EXP(-LN(2)/25)*HH100+(1-EXP(-LN(2)/25))/(LN(2)/25)*Calculateur!HC101*Calculateur!HE101*VLOOKUP('Données projet'!$B$18,Paramètres!$A$1:$I$89,3,0)*0.475*44/12</f>
        <v>3.1200210556084098</v>
      </c>
      <c r="HI101" s="21">
        <f>EXP(-LN(2)/2)*HI100+(1-EXP(-LN(2)/2))/(LN(2)/2)*HC101*HF101*VLOOKUP('Données projet'!$B$18,Paramètres!$A$1:$I$89,3,0)*0.475*44/12</f>
        <v>7.010892312814349E-10</v>
      </c>
      <c r="HJ101" s="22">
        <f t="shared" si="84"/>
        <v>3.5538824197018202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-2.2737367544323206E-13</v>
      </c>
      <c r="O102" s="13">
        <f>N102*VLOOKUP('Données projet'!$B$9,Paramètres!$A$1:$I$89,3,0)*VLOOKUP('Données projet'!$B$9,Paramètres!$A$1:$I$89,5,0)</f>
        <v>-1.2710188457276673E-13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255.5374979188561</v>
      </c>
      <c r="T102" s="59">
        <f t="shared" si="88"/>
        <v>343.10418468620901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0.78796165916568572</v>
      </c>
      <c r="AA102" s="21">
        <f>EXP(-LN(2)/25)*AA101+(1-EXP(-LN(2)/25))/(LN(2)/25)*Calculateur!V102*Calculateur!X102*VLOOKUP('Données projet'!$B$9,Paramètres!$A$1:$I$89,3,0)*0.475*44/12</f>
        <v>2.3561186134200249</v>
      </c>
      <c r="AB102" s="21">
        <f>EXP(-LN(2)/2)*AB101+(1-EXP(-LN(2)/2))/(LN(2)/2)*V102*Y102*VLOOKUP('Données projet'!$B$9,Paramètres!$A$1:$I$89,3,0)*0.475*44/12</f>
        <v>6.9667920678125282E-11</v>
      </c>
      <c r="AC102" s="22">
        <f t="shared" si="57"/>
        <v>3.1440802726553785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7.5015384615384617</v>
      </c>
      <c r="AI102" s="13">
        <f>IF('Données projet'!$A$62&gt;35,AI101+AH102-AQ101,IF(A102&lt;'Données projet'!$A$62,$AF$205^A102,IF(A102='Données projet'!$A$62,'Données projet'!$B$62,AI101+AH102-AQ101)))</f>
        <v>264.70615384615411</v>
      </c>
      <c r="AJ102" s="13">
        <f>AI102*VLOOKUP('Données projet'!$B$10,Paramètres!$A$1:$I$89,3,0)*VLOOKUP('Données projet'!$B$10,Paramètres!$A$1:$I$89,5,0)</f>
        <v>123.88248000000011</v>
      </c>
      <c r="AK102" s="13">
        <f t="shared" si="89"/>
        <v>32.578839075986679</v>
      </c>
      <c r="AL102" s="20">
        <f t="shared" si="58"/>
        <v>272.50346405734365</v>
      </c>
      <c r="AM102" s="59">
        <f t="shared" si="59"/>
        <v>565.83679739067702</v>
      </c>
      <c r="AN102" s="59">
        <f ca="1">AVERAGE(OFFSET($AM$3,0,0,'Données projet'!$E$10+1,1))-AVERAGE(OFFSET($H$3,0,0,'Données projet'!$E$10+1,1))</f>
        <v>158.58786357608489</v>
      </c>
      <c r="AO102" s="59">
        <f t="shared" si="90"/>
        <v>163.20074068819849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0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-1.7053025658242404E-13</v>
      </c>
      <c r="BE102" s="13">
        <f>BD102*VLOOKUP('Données projet'!$B$11,Paramètres!$A$1:$I$89,3,0)*VLOOKUP('Données projet'!$B$11,Paramètres!$A$1:$I$89,5,0)</f>
        <v>-1.0197709343628959E-13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243.85350804244348</v>
      </c>
      <c r="BJ102" s="59">
        <f t="shared" si="92"/>
        <v>304.60992308960545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1.1540900375810157</v>
      </c>
      <c r="BQ102" s="21">
        <f>EXP(-LN(2)/25)*BQ101+(1-EXP(-LN(2)/25))/(LN(2)/25)*Calculateur!BL102*Calculateur!BN102*VLOOKUP('Données projet'!$B$11,Paramètres!$A$1:$I$89,3,0)*0.475*44/12</f>
        <v>2.6172127112219554</v>
      </c>
      <c r="BR102" s="21">
        <f>EXP(-LN(2)/2)*BR101+(1-EXP(-LN(2)/2))/(LN(2)/2)*BL102*BO102*VLOOKUP('Données projet'!$B$11,Paramètres!$A$1:$I$89,3,0)*0.475*44/12</f>
        <v>1.5386178432063068E-10</v>
      </c>
      <c r="BS102" s="22">
        <f t="shared" si="63"/>
        <v>3.7713027489568329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497</v>
      </c>
      <c r="BZ102" s="13">
        <f>BY102*VLOOKUP('Données projet'!$B$12,Paramètres!$A$1:$I$89,3,0)*VLOOKUP('Données projet'!$B$12,Paramètres!$A$1:$I$89,5,0)</f>
        <v>297.20600000000002</v>
      </c>
      <c r="CA102" s="13">
        <f t="shared" si="93"/>
        <v>70.590415164571112</v>
      </c>
      <c r="CB102" s="20">
        <f t="shared" si="64"/>
        <v>640.57875641162809</v>
      </c>
      <c r="CC102" s="59">
        <f t="shared" si="65"/>
        <v>933.91208974496135</v>
      </c>
      <c r="CD102" s="59">
        <f ca="1">AVERAGE(OFFSET($CC$3,0,0,'Données projet'!$E$12+1,1))-AVERAGE(OFFSET($H$3,0,0,'Données projet'!$E$12+1,1))</f>
        <v>270.30888762640245</v>
      </c>
      <c r="CE102" s="59">
        <f t="shared" si="94"/>
        <v>202.23783851977691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0.54617795908006861</v>
      </c>
      <c r="CL102" s="21">
        <f>EXP(-LN(2)/25)*CL101+(1-EXP(-LN(2)/25))/(LN(2)/25)*Calculateur!CG102*Calculateur!CI102*VLOOKUP('Données projet'!$B$12,Paramètres!$A$1:$I$89,3,0)*0.475*44/12</f>
        <v>1.8150688277705893</v>
      </c>
      <c r="CM102" s="21">
        <f>EXP(-LN(2)/2)*CM101+(1-EXP(-LN(2)/2))/(LN(2)/2)*CG102*CJ102*VLOOKUP('Données projet'!$B$12,Paramètres!$A$1:$I$89,3,0)*0.475*44/12</f>
        <v>7.6113786393056323E-10</v>
      </c>
      <c r="CN102" s="22">
        <f t="shared" si="66"/>
        <v>2.3612467876117957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-5.1159076974727213E-13</v>
      </c>
      <c r="CU102" s="17">
        <f>CT102*VLOOKUP('Données projet'!$B$13,Paramètres!$A$1:$I$89,3,0)*VLOOKUP('Données projet'!$B$13,Paramètres!$A$1:$I$89,5,0)</f>
        <v>-4.0702161641092972E-13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260.20517190557814</v>
      </c>
      <c r="CZ102" s="59">
        <f t="shared" si="96"/>
        <v>307.22009971147133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0.8320638618159405</v>
      </c>
      <c r="DG102" s="21">
        <f>EXP(-LN(2)/25)*DG101+(1-EXP(-LN(2)/25))/(LN(2)/25)*Calculateur!DB102*Calculateur!DD102*VLOOKUP('Données projet'!$B$13,Paramètres!$A$1:$I$89,3,0)*0.475*44/12</f>
        <v>3.0291875291793318</v>
      </c>
      <c r="DH102" s="21">
        <f>EXP(-LN(2)/2)*DH101+(1-EXP(-LN(2)/2))/(LN(2)/2)*DB102*DE102*VLOOKUP('Données projet'!$B$13,Paramètres!$A$1:$I$89,3,0)*0.475*44/12</f>
        <v>9.8942337402261137E-10</v>
      </c>
      <c r="DI102" s="22">
        <f t="shared" si="69"/>
        <v>3.8612513919846956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>
        <f>VLOOKUP(A102,'Données projet'!$A$165:$I$185,2,0)</f>
        <v>318.25</v>
      </c>
      <c r="DM102" s="12">
        <f>VLOOKUP(A102,'Données projet'!$A$165:$I$185,9,0)</f>
        <v>7.1782051282051267</v>
      </c>
      <c r="DN102" s="12">
        <f t="array" ref="DN102">INDEX(DM:DM,MIN(IF(ISNUMBER(DM102:DM298),ROW(DM102:DM298),"")))</f>
        <v>7.1782051282051267</v>
      </c>
      <c r="DO102" s="12">
        <f>IF('Données projet'!$A$166&gt;35,DO101+DN102-DW101,IF(A102&lt;'Données projet'!$A$166,$DL$205^A102,IF(A102='Données projet'!$A$166,'Données projet'!$B$166,DO101+DN102-DW101)))</f>
        <v>318.25000000000034</v>
      </c>
      <c r="DP102" s="17">
        <f>DO102*VLOOKUP('Données projet'!$B$14,Paramètres!$A$1:$I$89,3,0)*VLOOKUP('Données projet'!$B$14,Paramètres!$A$1:$I$89,5,0)</f>
        <v>322.70550000000037</v>
      </c>
      <c r="DQ102" s="13">
        <f t="shared" si="97"/>
        <v>75.916009423638741</v>
      </c>
      <c r="DR102" s="20">
        <f t="shared" si="70"/>
        <v>694.2657955795047</v>
      </c>
      <c r="DS102" s="59">
        <f t="shared" si="71"/>
        <v>987.59912891283807</v>
      </c>
      <c r="DT102" s="59">
        <f ca="1">AVERAGE(OFFSET($DS$3,0,0,'Données projet'!$E$14+1,1))-AVERAGE(OFFSET($H$3,0,0,'Données projet'!$E$14+1,1))</f>
        <v>263.15518481854753</v>
      </c>
      <c r="DU102" s="59">
        <f t="shared" si="98"/>
        <v>210.80755370263819</v>
      </c>
      <c r="DV102" s="15">
        <f>IF(ISNA(VLOOKUP(A102,'Données projet'!$A$165:$I$185,3,0)),0,VLOOKUP(A102,'Données projet'!$A$165:$I$185,3,0))</f>
        <v>9</v>
      </c>
      <c r="DW102" s="15">
        <f>IF(ISNA(VLOOKUP(A102,'Données projet'!$A$165:$I$185,4,0)),0,VLOOKUP(A102,'Données projet'!$A$165:$I$185,4,0))</f>
        <v>48.019230769230766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0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-5.1159076974727213E-13</v>
      </c>
      <c r="EK102" s="17">
        <f>EJ102*VLOOKUP('Données projet'!$B$15,Paramètres!$A$1:$I$89,3,0)*VLOOKUP('Données projet'!$B$15,Paramètres!$A$1:$I$89,5,0)</f>
        <v>-3.4317508834647017E-13</v>
      </c>
      <c r="EL102" s="13" t="e">
        <f t="shared" si="99"/>
        <v>#NUM!</v>
      </c>
      <c r="EM102" s="20" t="e">
        <f t="shared" si="73"/>
        <v>#NUM!</v>
      </c>
      <c r="EN102" s="59" t="e">
        <f t="shared" si="74"/>
        <v>#NUM!</v>
      </c>
      <c r="EO102" s="59">
        <f ca="1">AVERAGE(OFFSET($EN$3,0,0,'Données projet'!$E$15+1,1))-AVERAGE(OFFSET($H$3,0,0,'Données projet'!$E$15+1,1))</f>
        <v>207.93042467236967</v>
      </c>
      <c r="EP102" s="59">
        <f t="shared" si="100"/>
        <v>250.70954318710835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0.70154404035461582</v>
      </c>
      <c r="EW102" s="21">
        <f>EXP(-LN(2)/25)*EW101+(1-EXP(-LN(2)/25))/(LN(2)/25)*Calculateur!ER102*Calculateur!ET102*VLOOKUP('Données projet'!$B$15,Paramètres!$A$1:$I$89,3,0)*0.475*44/12</f>
        <v>2.5540208579355186</v>
      </c>
      <c r="EX102" s="21">
        <f>EXP(-LN(2)/2)*EX101+(1-EXP(-LN(2)/2))/(LN(2)/2)*ER102*EU102*VLOOKUP('Données projet'!$B$15,Paramètres!$A$1:$I$89,3,0)*0.475*44/12</f>
        <v>8.3421970750926052E-10</v>
      </c>
      <c r="EY102" s="22">
        <f t="shared" si="75"/>
        <v>3.2555648991243542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>
        <f>VLOOKUP(A102,'Données projet'!$A$217:$I$237,2,0)</f>
        <v>318.25</v>
      </c>
      <c r="FC102" s="12">
        <f>VLOOKUP(A102,'Données projet'!$A$217:$I$237,9,0)</f>
        <v>7.1782051282051267</v>
      </c>
      <c r="FD102" s="12">
        <f t="array" ref="FD102">INDEX(FC:FC,MIN(IF(ISNUMBER(FC102:FC298),ROW(FC102:FC298),"")))</f>
        <v>7.1782051282051267</v>
      </c>
      <c r="FE102" s="12">
        <f>IF('Données projet'!$A$218&gt;35,FE101+FD102-FM101,IF(A102&lt;'Données projet'!$A$218,$FB$205^A102,IF(A102='Données projet'!$A$218,'Données projet'!$B$218,FE101+FD102-FM101)))</f>
        <v>318.25000000000034</v>
      </c>
      <c r="FF102" s="17">
        <f>FE102*VLOOKUP('Données projet'!$B$16,Paramètres!$A$1:$I$89,3,0)*VLOOKUP('Données projet'!$B$16,Paramètres!$A$1:$I$89,5,0)</f>
        <v>342.56430000000034</v>
      </c>
      <c r="FG102" s="13">
        <f t="shared" si="101"/>
        <v>80.029515132551893</v>
      </c>
      <c r="FH102" s="20">
        <f t="shared" si="76"/>
        <v>736.01756135586174</v>
      </c>
      <c r="FI102" s="59">
        <f t="shared" si="77"/>
        <v>1029.350894689195</v>
      </c>
      <c r="FJ102" s="59">
        <f ca="1">AVERAGE(OFFSET($FI$3,0,0,'Données projet'!$E$16+1,1))-AVERAGE(OFFSET($H$3,0,0,'Données projet'!$E$16+1,1))</f>
        <v>286.77702855541287</v>
      </c>
      <c r="FK102" s="59">
        <f t="shared" si="102"/>
        <v>227.12211541860779</v>
      </c>
      <c r="FL102" s="15">
        <f>IF(ISNA(VLOOKUP(A102,'Données projet'!$A$217:$I$237,3,0)),0,VLOOKUP(A102,'Données projet'!$A$217:$I$237,3,0))</f>
        <v>9</v>
      </c>
      <c r="FM102" s="15">
        <f>IF(ISNA(VLOOKUP(A102,'Données projet'!$A$217:$I$237,4,0)),0,VLOOKUP(A102,'Données projet'!$A$217:$I$237,4,0))</f>
        <v>48.019230769230766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0</v>
      </c>
      <c r="FR102" s="21">
        <f>EXP(-LN(2)/25)*FR101+(1-EXP(-LN(2)/25))/(LN(2)/25)*Calculateur!FM102*Calculateur!FO102*VLOOKUP('Données projet'!$B$16,Paramètres!$A$1:$I$89,3,0)*0.475*44/12</f>
        <v>0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0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7.882692307692305</v>
      </c>
      <c r="FZ102" s="12">
        <f>IF('Données projet'!$A$244&gt;35,FZ101+FY102-GH101,IF(A102&lt;'Données projet'!$A$244,$FW$205^A102,IF(A102='Données projet'!$A$244,'Données projet'!$B$244,FZ101+FY102-GH101)))</f>
        <v>334.37307692307706</v>
      </c>
      <c r="GA102" s="17">
        <f>FZ102*VLOOKUP('Données projet'!$B$17,Paramètres!$A$1:$I$89,3,0)*VLOOKUP('Données projet'!$B$17,Paramètres!$A$1:$I$89,5,0)</f>
        <v>156.48660000000007</v>
      </c>
      <c r="GB102" s="13">
        <f t="shared" si="103"/>
        <v>40.04903709660919</v>
      </c>
      <c r="GC102" s="20">
        <f t="shared" si="79"/>
        <v>342.29956794326108</v>
      </c>
      <c r="GD102" s="59">
        <f t="shared" si="80"/>
        <v>635.63290127659434</v>
      </c>
      <c r="GE102" s="59">
        <f ca="1">AVERAGE(OFFSET($GD$3,0,0,'Données projet'!$E$17+1,1))-AVERAGE(OFFSET($H$3,0,0,'Données projet'!$E$17+1,1))</f>
        <v>123.2823358462245</v>
      </c>
      <c r="GF102" s="59">
        <f t="shared" si="104"/>
        <v>92.75115399786057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0</v>
      </c>
      <c r="GM102" s="21">
        <f>EXP(-LN(2)/25)*GM101+(1-EXP(-LN(2)/25))/(LN(2)/25)*Calculateur!GH102*Calculateur!GJ102*VLOOKUP('Données projet'!$B$17,Paramètres!$A$1:$I$89,3,0)*0.475*44/12</f>
        <v>0</v>
      </c>
      <c r="GN102" s="21">
        <f>EXP(-LN(2)/2)*GN101+(1-EXP(-LN(2)/2))/(LN(2)/2)*GH102*GK102*VLOOKUP('Données projet'!$B$17,Paramètres!$A$1:$I$89,3,0)*0.475*44/12</f>
        <v>0</v>
      </c>
      <c r="GO102" s="21">
        <f t="shared" si="81"/>
        <v>0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-2.8421709430404007E-13</v>
      </c>
      <c r="GV102" s="17">
        <f>GU102*VLOOKUP('Données projet'!$B$18,Paramètres!$A$1:$I$89,3,0)*VLOOKUP('Données projet'!$B$18,Paramètres!$A$1:$I$89,5,0)</f>
        <v>-1.69961822393816E-13</v>
      </c>
      <c r="GW102" s="13" t="e">
        <f t="shared" si="105"/>
        <v>#NUM!</v>
      </c>
      <c r="GX102" s="20" t="e">
        <f t="shared" si="82"/>
        <v>#NUM!</v>
      </c>
      <c r="GY102" s="59" t="e">
        <f t="shared" si="83"/>
        <v>#NUM!</v>
      </c>
      <c r="GZ102" s="59">
        <f ca="1">AVERAGE(OFFSET($GY$3,0,0,'Données projet'!$E$18+1,1))-AVERAGE(OFFSET($H$3,0,0,'Données projet'!$E$18+1,1))</f>
        <v>171.96009656745713</v>
      </c>
      <c r="HA102" s="59">
        <f t="shared" si="106"/>
        <v>172.37574906747716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>
        <f>EXP(-LN(2)/35)*HG101+(1-EXP(-LN(2)/35))/(LN(2)/35)*HC102*HD102*VLOOKUP('Données projet'!$B$18,Paramètres!$A$1:$I$89,3,0)*0.475*44/12</f>
        <v>0.42535360668549926</v>
      </c>
      <c r="HH102" s="21">
        <f>EXP(-LN(2)/25)*HH101+(1-EXP(-LN(2)/25))/(LN(2)/25)*Calculateur!HC102*Calculateur!HE102*VLOOKUP('Données projet'!$B$18,Paramètres!$A$1:$I$89,3,0)*0.475*44/12</f>
        <v>3.0347039157680213</v>
      </c>
      <c r="HI102" s="21">
        <f>EXP(-LN(2)/2)*HI101+(1-EXP(-LN(2)/2))/(LN(2)/2)*HC102*HF102*VLOOKUP('Données projet'!$B$18,Paramètres!$A$1:$I$89,3,0)*0.475*44/12</f>
        <v>4.9574494965596639E-10</v>
      </c>
      <c r="HJ102" s="22">
        <f t="shared" si="84"/>
        <v>3.4600575229492652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-2.2737367544323206E-13</v>
      </c>
      <c r="O103" s="13">
        <f>N103*VLOOKUP('Données projet'!$B$9,Paramètres!$A$1:$I$89,3,0)*VLOOKUP('Données projet'!$B$9,Paramètres!$A$1:$I$89,5,0)</f>
        <v>-1.2710188457276673E-13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255.5374979188561</v>
      </c>
      <c r="T103" s="59">
        <f t="shared" si="88"/>
        <v>343.10418468620901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0.77251021163860245</v>
      </c>
      <c r="AA103" s="21">
        <f>EXP(-LN(2)/25)*AA102+(1-EXP(-LN(2)/25))/(LN(2)/25)*Calculateur!V103*Calculateur!X103*VLOOKUP('Données projet'!$B$9,Paramètres!$A$1:$I$89,3,0)*0.475*44/12</f>
        <v>2.2916904260331616</v>
      </c>
      <c r="AB103" s="21">
        <f>EXP(-LN(2)/2)*AB102+(1-EXP(-LN(2)/2))/(LN(2)/2)*V103*Y103*VLOOKUP('Données projet'!$B$9,Paramètres!$A$1:$I$89,3,0)*0.475*44/12</f>
        <v>4.9262659142668884E-11</v>
      </c>
      <c r="AC103" s="22">
        <f t="shared" si="57"/>
        <v>3.0642006377210267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7.5015384615384617</v>
      </c>
      <c r="AI103" s="13">
        <f>IF('Données projet'!$A$62&gt;35,AI102+AH103-AQ102,IF(A103&lt;'Données projet'!$A$62,$AF$205^A103,IF(A103='Données projet'!$A$62,'Données projet'!$B$62,AI102+AH103-AQ102)))</f>
        <v>272.20769230769258</v>
      </c>
      <c r="AJ103" s="13">
        <f>AI103*VLOOKUP('Données projet'!$B$10,Paramètres!$A$1:$I$89,3,0)*VLOOKUP('Données projet'!$B$10,Paramètres!$A$1:$I$89,5,0)</f>
        <v>127.39320000000012</v>
      </c>
      <c r="AK103" s="13">
        <f t="shared" si="89"/>
        <v>33.393296112922592</v>
      </c>
      <c r="AL103" s="20">
        <f t="shared" si="58"/>
        <v>280.03648073000704</v>
      </c>
      <c r="AM103" s="59">
        <f t="shared" si="59"/>
        <v>573.3698140633403</v>
      </c>
      <c r="AN103" s="59">
        <f ca="1">AVERAGE(OFFSET($AM$3,0,0,'Données projet'!$E$10+1,1))-AVERAGE(OFFSET($H$3,0,0,'Données projet'!$E$10+1,1))</f>
        <v>158.58786357608489</v>
      </c>
      <c r="AO103" s="59">
        <f t="shared" si="90"/>
        <v>163.20074068819849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0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-1.7053025658242404E-13</v>
      </c>
      <c r="BE103" s="13">
        <f>BD103*VLOOKUP('Données projet'!$B$11,Paramètres!$A$1:$I$89,3,0)*VLOOKUP('Données projet'!$B$11,Paramètres!$A$1:$I$89,5,0)</f>
        <v>-1.0197709343628959E-13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243.85350804244348</v>
      </c>
      <c r="BJ103" s="59">
        <f t="shared" si="92"/>
        <v>304.60992308960545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1.1314590358694681</v>
      </c>
      <c r="BQ103" s="21">
        <f>EXP(-LN(2)/25)*BQ102+(1-EXP(-LN(2)/25))/(LN(2)/25)*Calculateur!BL103*Calculateur!BN103*VLOOKUP('Données projet'!$B$11,Paramètres!$A$1:$I$89,3,0)*0.475*44/12</f>
        <v>2.5456448920003565</v>
      </c>
      <c r="BR103" s="21">
        <f>EXP(-LN(2)/2)*BR102+(1-EXP(-LN(2)/2))/(LN(2)/2)*BL103*BO103*VLOOKUP('Données projet'!$B$11,Paramètres!$A$1:$I$89,3,0)*0.475*44/12</f>
        <v>1.0879671105857997E-10</v>
      </c>
      <c r="BS103" s="22">
        <f t="shared" si="63"/>
        <v>3.6771039279786208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497</v>
      </c>
      <c r="BZ103" s="13">
        <f>BY103*VLOOKUP('Données projet'!$B$12,Paramètres!$A$1:$I$89,3,0)*VLOOKUP('Données projet'!$B$12,Paramètres!$A$1:$I$89,5,0)</f>
        <v>297.20600000000002</v>
      </c>
      <c r="CA103" s="13">
        <f t="shared" si="93"/>
        <v>70.590415164571112</v>
      </c>
      <c r="CB103" s="20">
        <f t="shared" si="64"/>
        <v>640.57875641162809</v>
      </c>
      <c r="CC103" s="59">
        <f t="shared" si="65"/>
        <v>933.91208974496135</v>
      </c>
      <c r="CD103" s="59">
        <f ca="1">AVERAGE(OFFSET($CC$3,0,0,'Données projet'!$E$12+1,1))-AVERAGE(OFFSET($H$3,0,0,'Données projet'!$E$12+1,1))</f>
        <v>270.30888762640245</v>
      </c>
      <c r="CE103" s="59">
        <f t="shared" si="94"/>
        <v>202.23783851977691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0.53546774243816908</v>
      </c>
      <c r="CL103" s="21">
        <f>EXP(-LN(2)/25)*CL102+(1-EXP(-LN(2)/25))/(LN(2)/25)*Calculateur!CG103*Calculateur!CI103*VLOOKUP('Données projet'!$B$12,Paramètres!$A$1:$I$89,3,0)*0.475*44/12</f>
        <v>1.7654356752248812</v>
      </c>
      <c r="CM103" s="21">
        <f>EXP(-LN(2)/2)*CM102+(1-EXP(-LN(2)/2))/(LN(2)/2)*CG103*CJ103*VLOOKUP('Données projet'!$B$12,Paramètres!$A$1:$I$89,3,0)*0.475*44/12</f>
        <v>5.3820574500314495E-10</v>
      </c>
      <c r="CN103" s="22">
        <f t="shared" si="66"/>
        <v>2.3009034182012562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-5.1159076974727213E-13</v>
      </c>
      <c r="CU103" s="17">
        <f>CT103*VLOOKUP('Données projet'!$B$13,Paramètres!$A$1:$I$89,3,0)*VLOOKUP('Données projet'!$B$13,Paramètres!$A$1:$I$89,5,0)</f>
        <v>-4.0702161641092972E-13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260.20517190557814</v>
      </c>
      <c r="CZ103" s="59">
        <f t="shared" si="96"/>
        <v>307.22009971147133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0.81574759699457322</v>
      </c>
      <c r="DG103" s="21">
        <f>EXP(-LN(2)/25)*DG102+(1-EXP(-LN(2)/25))/(LN(2)/25)*Calculateur!DB103*Calculateur!DD103*VLOOKUP('Données projet'!$B$13,Paramètres!$A$1:$I$89,3,0)*0.475*44/12</f>
        <v>2.9463542368958739</v>
      </c>
      <c r="DH103" s="21">
        <f>EXP(-LN(2)/2)*DH102+(1-EXP(-LN(2)/2))/(LN(2)/2)*DB103*DE103*VLOOKUP('Données projet'!$B$13,Paramètres!$A$1:$I$89,3,0)*0.475*44/12</f>
        <v>6.9962797723586224E-10</v>
      </c>
      <c r="DI103" s="22">
        <f t="shared" si="69"/>
        <v>3.7621018345900752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6.9935897435897401</v>
      </c>
      <c r="DO103" s="12">
        <f>IF('Données projet'!$A$166&gt;35,DO102+DN103-DW102,IF(A103&lt;'Données projet'!$A$166,$DL$205^A103,IF(A103='Données projet'!$A$166,'Données projet'!$B$166,DO102+DN103-DW102)))</f>
        <v>277.22435897435929</v>
      </c>
      <c r="DP103" s="17">
        <f>DO103*VLOOKUP('Données projet'!$B$14,Paramètres!$A$1:$I$89,3,0)*VLOOKUP('Données projet'!$B$14,Paramètres!$A$1:$I$89,5,0)</f>
        <v>281.10550000000035</v>
      </c>
      <c r="DQ103" s="13">
        <f t="shared" si="97"/>
        <v>67.200579205657675</v>
      </c>
      <c r="DR103" s="20">
        <f t="shared" si="70"/>
        <v>606.63308794985437</v>
      </c>
      <c r="DS103" s="59">
        <f t="shared" si="71"/>
        <v>899.96642128318763</v>
      </c>
      <c r="DT103" s="59">
        <f ca="1">AVERAGE(OFFSET($DS$3,0,0,'Données projet'!$E$14+1,1))-AVERAGE(OFFSET($H$3,0,0,'Données projet'!$E$14+1,1))</f>
        <v>263.15518481854753</v>
      </c>
      <c r="DU103" s="59">
        <f t="shared" si="98"/>
        <v>210.80755370263819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0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-5.1159076974727213E-13</v>
      </c>
      <c r="EK103" s="17">
        <f>EJ103*VLOOKUP('Données projet'!$B$15,Paramètres!$A$1:$I$89,3,0)*VLOOKUP('Données projet'!$B$15,Paramètres!$A$1:$I$89,5,0)</f>
        <v>-3.4317508834647017E-13</v>
      </c>
      <c r="EL103" s="13" t="e">
        <f t="shared" si="99"/>
        <v>#NUM!</v>
      </c>
      <c r="EM103" s="20" t="e">
        <f t="shared" si="73"/>
        <v>#NUM!</v>
      </c>
      <c r="EN103" s="59" t="e">
        <f t="shared" si="74"/>
        <v>#NUM!</v>
      </c>
      <c r="EO103" s="59">
        <f ca="1">AVERAGE(OFFSET($EN$3,0,0,'Données projet'!$E$15+1,1))-AVERAGE(OFFSET($H$3,0,0,'Données projet'!$E$15+1,1))</f>
        <v>207.93042467236967</v>
      </c>
      <c r="EP103" s="59">
        <f t="shared" si="100"/>
        <v>250.70954318710835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0.68778718962287488</v>
      </c>
      <c r="EW103" s="21">
        <f>EXP(-LN(2)/25)*EW102+(1-EXP(-LN(2)/25))/(LN(2)/25)*Calculateur!ER103*Calculateur!ET103*VLOOKUP('Données projet'!$B$15,Paramètres!$A$1:$I$89,3,0)*0.475*44/12</f>
        <v>2.484181023265152</v>
      </c>
      <c r="EX103" s="21">
        <f>EXP(-LN(2)/2)*EX102+(1-EXP(-LN(2)/2))/(LN(2)/2)*ER103*EU103*VLOOKUP('Données projet'!$B$15,Paramètres!$A$1:$I$89,3,0)*0.475*44/12</f>
        <v>5.8988241217925635E-10</v>
      </c>
      <c r="EY103" s="22">
        <f t="shared" si="75"/>
        <v>3.1719682134779092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6.9935897435897401</v>
      </c>
      <c r="FE103" s="12">
        <f>IF('Données projet'!$A$218&gt;35,FE102+FD103-FM102,IF(A103&lt;'Données projet'!$A$218,$FB$205^A103,IF(A103='Données projet'!$A$218,'Données projet'!$B$218,FE102+FD103-FM102)))</f>
        <v>277.22435897435929</v>
      </c>
      <c r="FF103" s="17">
        <f>FE103*VLOOKUP('Données projet'!$B$16,Paramètres!$A$1:$I$89,3,0)*VLOOKUP('Données projet'!$B$16,Paramètres!$A$1:$I$89,5,0)</f>
        <v>298.40430000000032</v>
      </c>
      <c r="FG103" s="13">
        <f t="shared" si="101"/>
        <v>70.841839702665155</v>
      </c>
      <c r="FH103" s="20">
        <f t="shared" si="76"/>
        <v>643.10369331547565</v>
      </c>
      <c r="FI103" s="59">
        <f t="shared" si="77"/>
        <v>936.43702664880902</v>
      </c>
      <c r="FJ103" s="59">
        <f ca="1">AVERAGE(OFFSET($FI$3,0,0,'Données projet'!$E$16+1,1))-AVERAGE(OFFSET($H$3,0,0,'Données projet'!$E$16+1,1))</f>
        <v>286.77702855541287</v>
      </c>
      <c r="FK103" s="59">
        <f t="shared" si="102"/>
        <v>227.12211541860779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0</v>
      </c>
      <c r="FR103" s="21">
        <f>EXP(-LN(2)/25)*FR102+(1-EXP(-LN(2)/25))/(LN(2)/25)*Calculateur!FM103*Calculateur!FO103*VLOOKUP('Données projet'!$B$16,Paramètres!$A$1:$I$89,3,0)*0.475*44/12</f>
        <v>0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0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7.882692307692305</v>
      </c>
      <c r="FZ103" s="12">
        <f>IF('Données projet'!$A$244&gt;35,FZ102+FY103-GH102,IF(A103&lt;'Données projet'!$A$244,$FW$205^A103,IF(A103='Données projet'!$A$244,'Données projet'!$B$244,FZ102+FY103-GH102)))</f>
        <v>342.25576923076937</v>
      </c>
      <c r="GA103" s="17">
        <f>FZ103*VLOOKUP('Données projet'!$B$17,Paramètres!$A$1:$I$89,3,0)*VLOOKUP('Données projet'!$B$17,Paramètres!$A$1:$I$89,5,0)</f>
        <v>160.17570000000006</v>
      </c>
      <c r="GB103" s="13">
        <f t="shared" si="103"/>
        <v>40.882142500403504</v>
      </c>
      <c r="GC103" s="20">
        <f t="shared" si="79"/>
        <v>350.17574235486956</v>
      </c>
      <c r="GD103" s="59">
        <f t="shared" si="80"/>
        <v>643.50907568820287</v>
      </c>
      <c r="GE103" s="59">
        <f ca="1">AVERAGE(OFFSET($GD$3,0,0,'Données projet'!$E$17+1,1))-AVERAGE(OFFSET($H$3,0,0,'Données projet'!$E$17+1,1))</f>
        <v>123.2823358462245</v>
      </c>
      <c r="GF103" s="59">
        <f t="shared" si="104"/>
        <v>92.75115399786057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0</v>
      </c>
      <c r="GM103" s="21">
        <f>EXP(-LN(2)/25)*GM102+(1-EXP(-LN(2)/25))/(LN(2)/25)*Calculateur!GH103*Calculateur!GJ103*VLOOKUP('Données projet'!$B$17,Paramètres!$A$1:$I$89,3,0)*0.475*44/12</f>
        <v>0</v>
      </c>
      <c r="GN103" s="21">
        <f>EXP(-LN(2)/2)*GN102+(1-EXP(-LN(2)/2))/(LN(2)/2)*GH103*GK103*VLOOKUP('Données projet'!$B$17,Paramètres!$A$1:$I$89,3,0)*0.475*44/12</f>
        <v>0</v>
      </c>
      <c r="GO103" s="21">
        <f t="shared" si="81"/>
        <v>0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-2.8421709430404007E-13</v>
      </c>
      <c r="GV103" s="17">
        <f>GU103*VLOOKUP('Données projet'!$B$18,Paramètres!$A$1:$I$89,3,0)*VLOOKUP('Données projet'!$B$18,Paramètres!$A$1:$I$89,5,0)</f>
        <v>-1.69961822393816E-13</v>
      </c>
      <c r="GW103" s="13" t="e">
        <f t="shared" si="105"/>
        <v>#NUM!</v>
      </c>
      <c r="GX103" s="20" t="e">
        <f t="shared" si="82"/>
        <v>#NUM!</v>
      </c>
      <c r="GY103" s="59" t="e">
        <f t="shared" si="83"/>
        <v>#NUM!</v>
      </c>
      <c r="GZ103" s="59">
        <f ca="1">AVERAGE(OFFSET($GY$3,0,0,'Données projet'!$E$18+1,1))-AVERAGE(OFFSET($H$3,0,0,'Données projet'!$E$18+1,1))</f>
        <v>171.96009656745713</v>
      </c>
      <c r="HA103" s="59">
        <f t="shared" si="106"/>
        <v>172.37574906747716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>
        <f>EXP(-LN(2)/35)*HG102+(1-EXP(-LN(2)/35))/(LN(2)/35)*HC103*HD103*VLOOKUP('Données projet'!$B$18,Paramètres!$A$1:$I$89,3,0)*0.475*44/12</f>
        <v>0.41701268189847912</v>
      </c>
      <c r="HH103" s="21">
        <f>EXP(-LN(2)/25)*HH102+(1-EXP(-LN(2)/25))/(LN(2)/25)*Calculateur!HC103*Calculateur!HE103*VLOOKUP('Données projet'!$B$18,Paramètres!$A$1:$I$89,3,0)*0.475*44/12</f>
        <v>2.9517197776032016</v>
      </c>
      <c r="HI103" s="21">
        <f>EXP(-LN(2)/2)*HI102+(1-EXP(-LN(2)/2))/(LN(2)/2)*HC103*HF103*VLOOKUP('Données projet'!$B$18,Paramètres!$A$1:$I$89,3,0)*0.475*44/12</f>
        <v>3.5054461564071745E-10</v>
      </c>
      <c r="HJ103" s="22">
        <f t="shared" si="84"/>
        <v>3.3687324598522252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-2.2737367544323206E-13</v>
      </c>
      <c r="O104" s="13">
        <f>N104*VLOOKUP('Données projet'!$B$9,Paramètres!$A$1:$I$89,3,0)*VLOOKUP('Données projet'!$B$9,Paramètres!$A$1:$I$89,5,0)</f>
        <v>-1.2710188457276673E-13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255.5374979188561</v>
      </c>
      <c r="T104" s="59">
        <f t="shared" si="88"/>
        <v>343.10418468620901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0.75736175757307289</v>
      </c>
      <c r="AA104" s="21">
        <f>EXP(-LN(2)/25)*AA103+(1-EXP(-LN(2)/25))/(LN(2)/25)*Calculateur!V104*Calculateur!X104*VLOOKUP('Données projet'!$B$9,Paramètres!$A$1:$I$89,3,0)*0.475*44/12</f>
        <v>2.2290240308185232</v>
      </c>
      <c r="AB104" s="21">
        <f>EXP(-LN(2)/2)*AB103+(1-EXP(-LN(2)/2))/(LN(2)/2)*V104*Y104*VLOOKUP('Données projet'!$B$9,Paramètres!$A$1:$I$89,3,0)*0.475*44/12</f>
        <v>3.4833960339062641E-11</v>
      </c>
      <c r="AC104" s="22">
        <f t="shared" si="57"/>
        <v>2.9863857884264298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7.5015384615384617</v>
      </c>
      <c r="AI104" s="13">
        <f>IF('Données projet'!$A$62&gt;35,AI103+AH104-AQ103,IF(A104&lt;'Données projet'!$A$62,$AF$205^A104,IF(A104='Données projet'!$A$62,'Données projet'!$B$62,AI103+AH104-AQ103)))</f>
        <v>279.70923076923106</v>
      </c>
      <c r="AJ104" s="13">
        <f>AI104*VLOOKUP('Données projet'!$B$10,Paramètres!$A$1:$I$89,3,0)*VLOOKUP('Données projet'!$B$10,Paramètres!$A$1:$I$89,5,0)</f>
        <v>130.90392000000014</v>
      </c>
      <c r="AK104" s="13">
        <f t="shared" si="89"/>
        <v>34.205144397668505</v>
      </c>
      <c r="AL104" s="20">
        <f t="shared" si="58"/>
        <v>287.56495382593954</v>
      </c>
      <c r="AM104" s="59">
        <f t="shared" si="59"/>
        <v>580.89828715927285</v>
      </c>
      <c r="AN104" s="59">
        <f ca="1">AVERAGE(OFFSET($AM$3,0,0,'Données projet'!$E$10+1,1))-AVERAGE(OFFSET($H$3,0,0,'Données projet'!$E$10+1,1))</f>
        <v>158.58786357608489</v>
      </c>
      <c r="AO104" s="59">
        <f t="shared" si="90"/>
        <v>163.20074068819849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0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-1.7053025658242404E-13</v>
      </c>
      <c r="BE104" s="13">
        <f>BD104*VLOOKUP('Données projet'!$B$11,Paramètres!$A$1:$I$89,3,0)*VLOOKUP('Données projet'!$B$11,Paramètres!$A$1:$I$89,5,0)</f>
        <v>-1.0197709343628959E-13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243.85350804244348</v>
      </c>
      <c r="BJ104" s="59">
        <f t="shared" si="92"/>
        <v>304.60992308960545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1.1092718142979359</v>
      </c>
      <c r="BQ104" s="21">
        <f>EXP(-LN(2)/25)*BQ103+(1-EXP(-LN(2)/25))/(LN(2)/25)*Calculateur!BL104*Calculateur!BN104*VLOOKUP('Données projet'!$B$11,Paramètres!$A$1:$I$89,3,0)*0.475*44/12</f>
        <v>2.47603409855896</v>
      </c>
      <c r="BR104" s="21">
        <f>EXP(-LN(2)/2)*BR103+(1-EXP(-LN(2)/2))/(LN(2)/2)*BL104*BO104*VLOOKUP('Données projet'!$B$11,Paramètres!$A$1:$I$89,3,0)*0.475*44/12</f>
        <v>7.6930892160315342E-11</v>
      </c>
      <c r="BS104" s="22">
        <f t="shared" si="63"/>
        <v>3.5853059129338267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497</v>
      </c>
      <c r="BZ104" s="13">
        <f>BY104*VLOOKUP('Données projet'!$B$12,Paramètres!$A$1:$I$89,3,0)*VLOOKUP('Données projet'!$B$12,Paramètres!$A$1:$I$89,5,0)</f>
        <v>297.20600000000002</v>
      </c>
      <c r="CA104" s="13">
        <f t="shared" si="93"/>
        <v>70.590415164571112</v>
      </c>
      <c r="CB104" s="20">
        <f t="shared" si="64"/>
        <v>640.57875641162809</v>
      </c>
      <c r="CC104" s="59">
        <f t="shared" si="65"/>
        <v>933.91208974496135</v>
      </c>
      <c r="CD104" s="59">
        <f ca="1">AVERAGE(OFFSET($CC$3,0,0,'Données projet'!$E$12+1,1))-AVERAGE(OFFSET($H$3,0,0,'Données projet'!$E$12+1,1))</f>
        <v>270.30888762640245</v>
      </c>
      <c r="CE104" s="59">
        <f t="shared" si="94"/>
        <v>202.23783851977691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0.52496754661203004</v>
      </c>
      <c r="CL104" s="21">
        <f>EXP(-LN(2)/25)*CL103+(1-EXP(-LN(2)/25))/(LN(2)/25)*Calculateur!CG104*Calculateur!CI104*VLOOKUP('Données projet'!$B$12,Paramètres!$A$1:$I$89,3,0)*0.475*44/12</f>
        <v>1.7171597438456296</v>
      </c>
      <c r="CM104" s="21">
        <f>EXP(-LN(2)/2)*CM103+(1-EXP(-LN(2)/2))/(LN(2)/2)*CG104*CJ104*VLOOKUP('Données projet'!$B$12,Paramètres!$A$1:$I$89,3,0)*0.475*44/12</f>
        <v>3.8056893196528162E-10</v>
      </c>
      <c r="CN104" s="22">
        <f t="shared" si="66"/>
        <v>2.2421272908382286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-5.1159076974727213E-13</v>
      </c>
      <c r="CU104" s="17">
        <f>CT104*VLOOKUP('Données projet'!$B$13,Paramètres!$A$1:$I$89,3,0)*VLOOKUP('Données projet'!$B$13,Paramètres!$A$1:$I$89,5,0)</f>
        <v>-4.0702161641092972E-13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260.20517190557814</v>
      </c>
      <c r="CZ104" s="59">
        <f t="shared" si="96"/>
        <v>307.22009971147133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0.7997512841744141</v>
      </c>
      <c r="DG104" s="21">
        <f>EXP(-LN(2)/25)*DG103+(1-EXP(-LN(2)/25))/(LN(2)/25)*Calculateur!DB104*Calculateur!DD104*VLOOKUP('Données projet'!$B$13,Paramètres!$A$1:$I$89,3,0)*0.475*44/12</f>
        <v>2.8657860253459209</v>
      </c>
      <c r="DH104" s="21">
        <f>EXP(-LN(2)/2)*DH103+(1-EXP(-LN(2)/2))/(LN(2)/2)*DB104*DE104*VLOOKUP('Données projet'!$B$13,Paramètres!$A$1:$I$89,3,0)*0.475*44/12</f>
        <v>4.9471168701130569E-10</v>
      </c>
      <c r="DI104" s="22">
        <f t="shared" si="69"/>
        <v>3.665537310015047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6.9935897435897401</v>
      </c>
      <c r="DO104" s="12">
        <f>IF('Données projet'!$A$166&gt;35,DO103+DN104-DW103,IF(A104&lt;'Données projet'!$A$166,$DL$205^A104,IF(A104='Données projet'!$A$166,'Données projet'!$B$166,DO103+DN104-DW103)))</f>
        <v>284.21794871794901</v>
      </c>
      <c r="DP104" s="17">
        <f>DO104*VLOOKUP('Données projet'!$B$14,Paramètres!$A$1:$I$89,3,0)*VLOOKUP('Données projet'!$B$14,Paramètres!$A$1:$I$89,5,0)</f>
        <v>288.19700000000034</v>
      </c>
      <c r="DQ104" s="13">
        <f t="shared" si="97"/>
        <v>68.696350845178046</v>
      </c>
      <c r="DR104" s="20">
        <f t="shared" si="70"/>
        <v>621.58925272201895</v>
      </c>
      <c r="DS104" s="59">
        <f t="shared" si="71"/>
        <v>914.92258605535221</v>
      </c>
      <c r="DT104" s="59">
        <f ca="1">AVERAGE(OFFSET($DS$3,0,0,'Données projet'!$E$14+1,1))-AVERAGE(OFFSET($H$3,0,0,'Données projet'!$E$14+1,1))</f>
        <v>263.15518481854753</v>
      </c>
      <c r="DU104" s="59">
        <f t="shared" si="98"/>
        <v>210.80755370263819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0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-5.1159076974727213E-13</v>
      </c>
      <c r="EK104" s="17">
        <f>EJ104*VLOOKUP('Données projet'!$B$15,Paramètres!$A$1:$I$89,3,0)*VLOOKUP('Données projet'!$B$15,Paramètres!$A$1:$I$89,5,0)</f>
        <v>-3.4317508834647017E-13</v>
      </c>
      <c r="EL104" s="13" t="e">
        <f t="shared" si="99"/>
        <v>#NUM!</v>
      </c>
      <c r="EM104" s="20" t="e">
        <f t="shared" si="73"/>
        <v>#NUM!</v>
      </c>
      <c r="EN104" s="59" t="e">
        <f t="shared" si="74"/>
        <v>#NUM!</v>
      </c>
      <c r="EO104" s="59">
        <f ca="1">AVERAGE(OFFSET($EN$3,0,0,'Données projet'!$E$15+1,1))-AVERAGE(OFFSET($H$3,0,0,'Données projet'!$E$15+1,1))</f>
        <v>207.93042467236967</v>
      </c>
      <c r="EP104" s="59">
        <f t="shared" si="100"/>
        <v>250.70954318710835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0.67430010234313298</v>
      </c>
      <c r="EW104" s="21">
        <f>EXP(-LN(2)/25)*EW103+(1-EXP(-LN(2)/25))/(LN(2)/25)*Calculateur!ER104*Calculateur!ET104*VLOOKUP('Données projet'!$B$15,Paramètres!$A$1:$I$89,3,0)*0.475*44/12</f>
        <v>2.416250962546564</v>
      </c>
      <c r="EX104" s="21">
        <f>EXP(-LN(2)/2)*EX103+(1-EXP(-LN(2)/2))/(LN(2)/2)*ER104*EU104*VLOOKUP('Données projet'!$B$15,Paramètres!$A$1:$I$89,3,0)*0.475*44/12</f>
        <v>4.1710985375463026E-10</v>
      </c>
      <c r="EY104" s="22">
        <f t="shared" si="75"/>
        <v>3.0905510653068067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6.9935897435897401</v>
      </c>
      <c r="FE104" s="12">
        <f>IF('Données projet'!$A$218&gt;35,FE103+FD104-FM103,IF(A104&lt;'Données projet'!$A$218,$FB$205^A104,IF(A104='Données projet'!$A$218,'Données projet'!$B$218,FE103+FD104-FM103)))</f>
        <v>284.21794871794901</v>
      </c>
      <c r="FF104" s="17">
        <f>FE104*VLOOKUP('Données projet'!$B$16,Paramètres!$A$1:$I$89,3,0)*VLOOKUP('Données projet'!$B$16,Paramètres!$A$1:$I$89,5,0)</f>
        <v>305.93220000000031</v>
      </c>
      <c r="FG104" s="13">
        <f t="shared" si="101"/>
        <v>72.418659664207524</v>
      </c>
      <c r="FH104" s="20">
        <f t="shared" si="76"/>
        <v>658.9610805818287</v>
      </c>
      <c r="FI104" s="59">
        <f t="shared" si="77"/>
        <v>952.29441391516207</v>
      </c>
      <c r="FJ104" s="59">
        <f ca="1">AVERAGE(OFFSET($FI$3,0,0,'Données projet'!$E$16+1,1))-AVERAGE(OFFSET($H$3,0,0,'Données projet'!$E$16+1,1))</f>
        <v>286.77702855541287</v>
      </c>
      <c r="FK104" s="59">
        <f t="shared" si="102"/>
        <v>227.12211541860779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0</v>
      </c>
      <c r="FR104" s="21">
        <f>EXP(-LN(2)/25)*FR103+(1-EXP(-LN(2)/25))/(LN(2)/25)*Calculateur!FM104*Calculateur!FO104*VLOOKUP('Données projet'!$B$16,Paramètres!$A$1:$I$89,3,0)*0.475*44/12</f>
        <v>0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0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7.882692307692305</v>
      </c>
      <c r="FZ104" s="12">
        <f>IF('Données projet'!$A$244&gt;35,FZ103+FY104-GH103,IF(A104&lt;'Données projet'!$A$244,$FW$205^A104,IF(A104='Données projet'!$A$244,'Données projet'!$B$244,FZ103+FY104-GH103)))</f>
        <v>350.13846153846168</v>
      </c>
      <c r="GA104" s="17">
        <f>FZ104*VLOOKUP('Données projet'!$B$17,Paramètres!$A$1:$I$89,3,0)*VLOOKUP('Données projet'!$B$17,Paramètres!$A$1:$I$89,5,0)</f>
        <v>163.86480000000006</v>
      </c>
      <c r="GB104" s="13">
        <f t="shared" si="103"/>
        <v>41.713017234350168</v>
      </c>
      <c r="GC104" s="20">
        <f t="shared" si="79"/>
        <v>358.04803168315993</v>
      </c>
      <c r="GD104" s="59">
        <f t="shared" si="80"/>
        <v>651.38136501649319</v>
      </c>
      <c r="GE104" s="59">
        <f ca="1">AVERAGE(OFFSET($GD$3,0,0,'Données projet'!$E$17+1,1))-AVERAGE(OFFSET($H$3,0,0,'Données projet'!$E$17+1,1))</f>
        <v>123.2823358462245</v>
      </c>
      <c r="GF104" s="59">
        <f t="shared" si="104"/>
        <v>92.75115399786057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0</v>
      </c>
      <c r="GM104" s="21">
        <f>EXP(-LN(2)/25)*GM103+(1-EXP(-LN(2)/25))/(LN(2)/25)*Calculateur!GH104*Calculateur!GJ104*VLOOKUP('Données projet'!$B$17,Paramètres!$A$1:$I$89,3,0)*0.475*44/12</f>
        <v>0</v>
      </c>
      <c r="GN104" s="21">
        <f>EXP(-LN(2)/2)*GN103+(1-EXP(-LN(2)/2))/(LN(2)/2)*GH104*GK104*VLOOKUP('Données projet'!$B$17,Paramètres!$A$1:$I$89,3,0)*0.475*44/12</f>
        <v>0</v>
      </c>
      <c r="GO104" s="21">
        <f t="shared" si="81"/>
        <v>0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-2.8421709430404007E-13</v>
      </c>
      <c r="GV104" s="17">
        <f>GU104*VLOOKUP('Données projet'!$B$18,Paramètres!$A$1:$I$89,3,0)*VLOOKUP('Données projet'!$B$18,Paramètres!$A$1:$I$89,5,0)</f>
        <v>-1.69961822393816E-13</v>
      </c>
      <c r="GW104" s="13" t="e">
        <f t="shared" si="105"/>
        <v>#NUM!</v>
      </c>
      <c r="GX104" s="20" t="e">
        <f t="shared" si="82"/>
        <v>#NUM!</v>
      </c>
      <c r="GY104" s="59" t="e">
        <f t="shared" si="83"/>
        <v>#NUM!</v>
      </c>
      <c r="GZ104" s="59">
        <f ca="1">AVERAGE(OFFSET($GY$3,0,0,'Données projet'!$E$18+1,1))-AVERAGE(OFFSET($H$3,0,0,'Données projet'!$E$18+1,1))</f>
        <v>171.96009656745713</v>
      </c>
      <c r="HA104" s="59">
        <f t="shared" si="106"/>
        <v>172.37574906747716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>
        <f>EXP(-LN(2)/35)*HG103+(1-EXP(-LN(2)/35))/(LN(2)/35)*HC104*HD104*VLOOKUP('Données projet'!$B$18,Paramètres!$A$1:$I$89,3,0)*0.475*44/12</f>
        <v>0.40883531755907065</v>
      </c>
      <c r="HH104" s="21">
        <f>EXP(-LN(2)/25)*HH103+(1-EXP(-LN(2)/25))/(LN(2)/25)*Calculateur!HC104*Calculateur!HE104*VLOOKUP('Données projet'!$B$18,Paramètres!$A$1:$I$89,3,0)*0.475*44/12</f>
        <v>2.8710048450604453</v>
      </c>
      <c r="HI104" s="21">
        <f>EXP(-LN(2)/2)*HI103+(1-EXP(-LN(2)/2))/(LN(2)/2)*HC104*HF104*VLOOKUP('Données projet'!$B$18,Paramètres!$A$1:$I$89,3,0)*0.475*44/12</f>
        <v>2.478724748279832E-10</v>
      </c>
      <c r="HJ104" s="22">
        <f t="shared" si="84"/>
        <v>3.2798401628673886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-2.2737367544323206E-13</v>
      </c>
      <c r="O105" s="13">
        <f>N105*VLOOKUP('Données projet'!$B$9,Paramètres!$A$1:$I$89,3,0)*VLOOKUP('Données projet'!$B$9,Paramètres!$A$1:$I$89,5,0)</f>
        <v>-1.2710188457276673E-13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255.5374979188561</v>
      </c>
      <c r="T105" s="59">
        <f t="shared" si="88"/>
        <v>343.10418468620901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0.74251035545212374</v>
      </c>
      <c r="AA105" s="21">
        <f>EXP(-LN(2)/25)*AA104+(1-EXP(-LN(2)/25))/(LN(2)/25)*Calculateur!V105*Calculateur!X105*VLOOKUP('Données projet'!$B$9,Paramètres!$A$1:$I$89,3,0)*0.475*44/12</f>
        <v>2.1680712514765115</v>
      </c>
      <c r="AB105" s="21">
        <f>EXP(-LN(2)/2)*AB104+(1-EXP(-LN(2)/2))/(LN(2)/2)*V105*Y105*VLOOKUP('Données projet'!$B$9,Paramètres!$A$1:$I$89,3,0)*0.475*44/12</f>
        <v>2.4631329571334442E-11</v>
      </c>
      <c r="AC105" s="22">
        <f t="shared" si="57"/>
        <v>2.9105816069532664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7.5015384615384617</v>
      </c>
      <c r="AI105" s="13">
        <f>IF('Données projet'!$A$62&gt;35,AI104+AH105-AQ104,IF(A105&lt;'Données projet'!$A$62,$AF$205^A105,IF(A105='Données projet'!$A$62,'Données projet'!$B$62,AI104+AH105-AQ104)))</f>
        <v>287.21076923076953</v>
      </c>
      <c r="AJ105" s="13">
        <f>AI105*VLOOKUP('Données projet'!$B$10,Paramètres!$A$1:$I$89,3,0)*VLOOKUP('Données projet'!$B$10,Paramètres!$A$1:$I$89,5,0)</f>
        <v>134.41464000000013</v>
      </c>
      <c r="AK105" s="13">
        <f t="shared" si="89"/>
        <v>35.014461935490388</v>
      </c>
      <c r="AL105" s="20">
        <f t="shared" si="58"/>
        <v>295.08901920431265</v>
      </c>
      <c r="AM105" s="59">
        <f t="shared" si="59"/>
        <v>588.42235253764602</v>
      </c>
      <c r="AN105" s="59">
        <f ca="1">AVERAGE(OFFSET($AM$3,0,0,'Données projet'!$E$10+1,1))-AVERAGE(OFFSET($H$3,0,0,'Données projet'!$E$10+1,1))</f>
        <v>158.58786357608489</v>
      </c>
      <c r="AO105" s="59">
        <f t="shared" si="90"/>
        <v>163.20074068819849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0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-1.7053025658242404E-13</v>
      </c>
      <c r="BE105" s="13">
        <f>BD105*VLOOKUP('Données projet'!$B$11,Paramètres!$A$1:$I$89,3,0)*VLOOKUP('Données projet'!$B$11,Paramètres!$A$1:$I$89,5,0)</f>
        <v>-1.0197709343628959E-13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243.85350804244348</v>
      </c>
      <c r="BJ105" s="59">
        <f t="shared" si="92"/>
        <v>304.60992308960545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1.0875196706085524</v>
      </c>
      <c r="BQ105" s="21">
        <f>EXP(-LN(2)/25)*BQ104+(1-EXP(-LN(2)/25))/(LN(2)/25)*Calculateur!BL105*Calculateur!BN105*VLOOKUP('Données projet'!$B$11,Paramètres!$A$1:$I$89,3,0)*0.475*44/12</f>
        <v>2.408326815924891</v>
      </c>
      <c r="BR105" s="21">
        <f>EXP(-LN(2)/2)*BR104+(1-EXP(-LN(2)/2))/(LN(2)/2)*BL105*BO105*VLOOKUP('Données projet'!$B$11,Paramètres!$A$1:$I$89,3,0)*0.475*44/12</f>
        <v>5.4398355529289986E-11</v>
      </c>
      <c r="BS105" s="22">
        <f t="shared" si="63"/>
        <v>3.4958464865878414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497</v>
      </c>
      <c r="BZ105" s="13">
        <f>BY105*VLOOKUP('Données projet'!$B$12,Paramètres!$A$1:$I$89,3,0)*VLOOKUP('Données projet'!$B$12,Paramètres!$A$1:$I$89,5,0)</f>
        <v>297.20600000000002</v>
      </c>
      <c r="CA105" s="13">
        <f t="shared" si="93"/>
        <v>70.590415164571112</v>
      </c>
      <c r="CB105" s="20">
        <f t="shared" si="64"/>
        <v>640.57875641162809</v>
      </c>
      <c r="CC105" s="59">
        <f t="shared" si="65"/>
        <v>933.91208974496135</v>
      </c>
      <c r="CD105" s="59">
        <f ca="1">AVERAGE(OFFSET($CC$3,0,0,'Données projet'!$E$12+1,1))-AVERAGE(OFFSET($H$3,0,0,'Données projet'!$E$12+1,1))</f>
        <v>270.30888762640245</v>
      </c>
      <c r="CE105" s="59">
        <f t="shared" si="94"/>
        <v>202.23783851977691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0.51467325322155455</v>
      </c>
      <c r="CL105" s="21">
        <f>EXP(-LN(2)/25)*CL104+(1-EXP(-LN(2)/25))/(LN(2)/25)*Calculateur!CG105*Calculateur!CI105*VLOOKUP('Données projet'!$B$12,Paramètres!$A$1:$I$89,3,0)*0.475*44/12</f>
        <v>1.6702039203486645</v>
      </c>
      <c r="CM105" s="21">
        <f>EXP(-LN(2)/2)*CM104+(1-EXP(-LN(2)/2))/(LN(2)/2)*CG105*CJ105*VLOOKUP('Données projet'!$B$12,Paramètres!$A$1:$I$89,3,0)*0.475*44/12</f>
        <v>2.6910287250157248E-10</v>
      </c>
      <c r="CN105" s="22">
        <f t="shared" si="66"/>
        <v>2.1848771738393218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-5.1159076974727213E-13</v>
      </c>
      <c r="CU105" s="17">
        <f>CT105*VLOOKUP('Données projet'!$B$13,Paramètres!$A$1:$I$89,3,0)*VLOOKUP('Données projet'!$B$13,Paramètres!$A$1:$I$89,5,0)</f>
        <v>-4.0702161641092972E-13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260.20517190557814</v>
      </c>
      <c r="CZ105" s="59">
        <f t="shared" si="96"/>
        <v>307.22009971147133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0.78406864929187092</v>
      </c>
      <c r="DG105" s="21">
        <f>EXP(-LN(2)/25)*DG104+(1-EXP(-LN(2)/25))/(LN(2)/25)*Calculateur!DB105*Calculateur!DD105*VLOOKUP('Données projet'!$B$13,Paramètres!$A$1:$I$89,3,0)*0.475*44/12</f>
        <v>2.7874209557776992</v>
      </c>
      <c r="DH105" s="21">
        <f>EXP(-LN(2)/2)*DH104+(1-EXP(-LN(2)/2))/(LN(2)/2)*DB105*DE105*VLOOKUP('Données projet'!$B$13,Paramètres!$A$1:$I$89,3,0)*0.475*44/12</f>
        <v>3.4981398861793112E-10</v>
      </c>
      <c r="DI105" s="22">
        <f t="shared" si="69"/>
        <v>3.5714896054193841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6.9935897435897401</v>
      </c>
      <c r="DO105" s="12">
        <f>IF('Données projet'!$A$166&gt;35,DO104+DN105-DW104,IF(A105&lt;'Données projet'!$A$166,$DL$205^A105,IF(A105='Données projet'!$A$166,'Données projet'!$B$166,DO104+DN105-DW104)))</f>
        <v>291.21153846153874</v>
      </c>
      <c r="DP105" s="17">
        <f>DO105*VLOOKUP('Données projet'!$B$14,Paramètres!$A$1:$I$89,3,0)*VLOOKUP('Données projet'!$B$14,Paramètres!$A$1:$I$89,5,0)</f>
        <v>295.28850000000028</v>
      </c>
      <c r="DQ105" s="13">
        <f t="shared" si="97"/>
        <v>70.187843985612062</v>
      </c>
      <c r="DR105" s="20">
        <f t="shared" si="70"/>
        <v>636.53796577494143</v>
      </c>
      <c r="DS105" s="59">
        <f t="shared" si="71"/>
        <v>929.8712991082748</v>
      </c>
      <c r="DT105" s="59">
        <f ca="1">AVERAGE(OFFSET($DS$3,0,0,'Données projet'!$E$14+1,1))-AVERAGE(OFFSET($H$3,0,0,'Données projet'!$E$14+1,1))</f>
        <v>263.15518481854753</v>
      </c>
      <c r="DU105" s="59">
        <f t="shared" si="98"/>
        <v>210.80755370263819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0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-5.1159076974727213E-13</v>
      </c>
      <c r="EK105" s="17">
        <f>EJ105*VLOOKUP('Données projet'!$B$15,Paramètres!$A$1:$I$89,3,0)*VLOOKUP('Données projet'!$B$15,Paramètres!$A$1:$I$89,5,0)</f>
        <v>-3.4317508834647017E-13</v>
      </c>
      <c r="EL105" s="13" t="e">
        <f t="shared" si="99"/>
        <v>#NUM!</v>
      </c>
      <c r="EM105" s="20" t="e">
        <f t="shared" si="73"/>
        <v>#NUM!</v>
      </c>
      <c r="EN105" s="59" t="e">
        <f t="shared" si="74"/>
        <v>#NUM!</v>
      </c>
      <c r="EO105" s="59">
        <f ca="1">AVERAGE(OFFSET($EN$3,0,0,'Données projet'!$E$15+1,1))-AVERAGE(OFFSET($H$3,0,0,'Données projet'!$E$15+1,1))</f>
        <v>207.93042467236967</v>
      </c>
      <c r="EP105" s="59">
        <f t="shared" si="100"/>
        <v>250.70954318710835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0.6610774886186358</v>
      </c>
      <c r="EW105" s="21">
        <f>EXP(-LN(2)/25)*EW104+(1-EXP(-LN(2)/25))/(LN(2)/25)*Calculateur!ER105*Calculateur!ET105*VLOOKUP('Données projet'!$B$15,Paramètres!$A$1:$I$89,3,0)*0.475*44/12</f>
        <v>2.3501784529106127</v>
      </c>
      <c r="EX105" s="21">
        <f>EXP(-LN(2)/2)*EX104+(1-EXP(-LN(2)/2))/(LN(2)/2)*ER105*EU105*VLOOKUP('Données projet'!$B$15,Paramètres!$A$1:$I$89,3,0)*0.475*44/12</f>
        <v>2.9494120608962818E-10</v>
      </c>
      <c r="EY105" s="22">
        <f t="shared" si="75"/>
        <v>3.01125594182419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6.9935897435897401</v>
      </c>
      <c r="FE105" s="12">
        <f>IF('Données projet'!$A$218&gt;35,FE104+FD105-FM104,IF(A105&lt;'Données projet'!$A$218,$FB$205^A105,IF(A105='Données projet'!$A$218,'Données projet'!$B$218,FE104+FD105-FM104)))</f>
        <v>291.21153846153874</v>
      </c>
      <c r="FF105" s="17">
        <f>FE105*VLOOKUP('Données projet'!$B$16,Paramètres!$A$1:$I$89,3,0)*VLOOKUP('Données projet'!$B$16,Paramètres!$A$1:$I$89,5,0)</f>
        <v>313.4601000000003</v>
      </c>
      <c r="FG105" s="13">
        <f t="shared" si="101"/>
        <v>73.990969296374502</v>
      </c>
      <c r="FH105" s="20">
        <f t="shared" si="76"/>
        <v>674.81061235785273</v>
      </c>
      <c r="FI105" s="59">
        <f t="shared" si="77"/>
        <v>968.14394569118599</v>
      </c>
      <c r="FJ105" s="59">
        <f ca="1">AVERAGE(OFFSET($FI$3,0,0,'Données projet'!$E$16+1,1))-AVERAGE(OFFSET($H$3,0,0,'Données projet'!$E$16+1,1))</f>
        <v>286.77702855541287</v>
      </c>
      <c r="FK105" s="59">
        <f t="shared" si="102"/>
        <v>227.12211541860779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0</v>
      </c>
      <c r="FR105" s="21">
        <f>EXP(-LN(2)/25)*FR104+(1-EXP(-LN(2)/25))/(LN(2)/25)*Calculateur!FM105*Calculateur!FO105*VLOOKUP('Données projet'!$B$16,Paramètres!$A$1:$I$89,3,0)*0.475*44/12</f>
        <v>0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0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7.882692307692305</v>
      </c>
      <c r="FZ105" s="12">
        <f>IF('Données projet'!$A$244&gt;35,FZ104+FY105-GH104,IF(A105&lt;'Données projet'!$A$244,$FW$205^A105,IF(A105='Données projet'!$A$244,'Données projet'!$B$244,FZ104+FY105-GH104)))</f>
        <v>358.02115384615399</v>
      </c>
      <c r="GA105" s="17">
        <f>FZ105*VLOOKUP('Données projet'!$B$17,Paramètres!$A$1:$I$89,3,0)*VLOOKUP('Données projet'!$B$17,Paramètres!$A$1:$I$89,5,0)</f>
        <v>167.55390000000006</v>
      </c>
      <c r="GB105" s="13">
        <f t="shared" si="103"/>
        <v>42.541717299361267</v>
      </c>
      <c r="GC105" s="20">
        <f t="shared" si="79"/>
        <v>365.91653346305429</v>
      </c>
      <c r="GD105" s="59">
        <f t="shared" si="80"/>
        <v>659.24986679638755</v>
      </c>
      <c r="GE105" s="59">
        <f ca="1">AVERAGE(OFFSET($GD$3,0,0,'Données projet'!$E$17+1,1))-AVERAGE(OFFSET($H$3,0,0,'Données projet'!$E$17+1,1))</f>
        <v>123.2823358462245</v>
      </c>
      <c r="GF105" s="59">
        <f t="shared" si="104"/>
        <v>92.75115399786057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0</v>
      </c>
      <c r="GM105" s="21">
        <f>EXP(-LN(2)/25)*GM104+(1-EXP(-LN(2)/25))/(LN(2)/25)*Calculateur!GH105*Calculateur!GJ105*VLOOKUP('Données projet'!$B$17,Paramètres!$A$1:$I$89,3,0)*0.475*44/12</f>
        <v>0</v>
      </c>
      <c r="GN105" s="21">
        <f>EXP(-LN(2)/2)*GN104+(1-EXP(-LN(2)/2))/(LN(2)/2)*GH105*GK105*VLOOKUP('Données projet'!$B$17,Paramètres!$A$1:$I$89,3,0)*0.475*44/12</f>
        <v>0</v>
      </c>
      <c r="GO105" s="21">
        <f t="shared" si="81"/>
        <v>0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-2.8421709430404007E-13</v>
      </c>
      <c r="GV105" s="17">
        <f>GU105*VLOOKUP('Données projet'!$B$18,Paramètres!$A$1:$I$89,3,0)*VLOOKUP('Données projet'!$B$18,Paramètres!$A$1:$I$89,5,0)</f>
        <v>-1.69961822393816E-13</v>
      </c>
      <c r="GW105" s="13" t="e">
        <f t="shared" si="105"/>
        <v>#NUM!</v>
      </c>
      <c r="GX105" s="20" t="e">
        <f t="shared" si="82"/>
        <v>#NUM!</v>
      </c>
      <c r="GY105" s="59" t="e">
        <f t="shared" si="83"/>
        <v>#NUM!</v>
      </c>
      <c r="GZ105" s="59">
        <f ca="1">AVERAGE(OFFSET($GY$3,0,0,'Données projet'!$E$18+1,1))-AVERAGE(OFFSET($H$3,0,0,'Données projet'!$E$18+1,1))</f>
        <v>171.96009656745713</v>
      </c>
      <c r="HA105" s="59">
        <f t="shared" si="106"/>
        <v>172.37574906747716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>
        <f>EXP(-LN(2)/35)*HG104+(1-EXP(-LN(2)/35))/(LN(2)/35)*HC105*HD105*VLOOKUP('Données projet'!$B$18,Paramètres!$A$1:$I$89,3,0)*0.475*44/12</f>
        <v>0.40081830634665827</v>
      </c>
      <c r="HH105" s="21">
        <f>EXP(-LN(2)/25)*HH104+(1-EXP(-LN(2)/25))/(LN(2)/25)*Calculateur!HC105*Calculateur!HE105*VLOOKUP('Données projet'!$B$18,Paramètres!$A$1:$I$89,3,0)*0.475*44/12</f>
        <v>2.7924970665926843</v>
      </c>
      <c r="HI105" s="21">
        <f>EXP(-LN(2)/2)*HI104+(1-EXP(-LN(2)/2))/(LN(2)/2)*HC105*HF105*VLOOKUP('Données projet'!$B$18,Paramètres!$A$1:$I$89,3,0)*0.475*44/12</f>
        <v>1.7527230782035872E-10</v>
      </c>
      <c r="HJ105" s="22">
        <f t="shared" si="84"/>
        <v>3.1933153731146149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-2.2737367544323206E-13</v>
      </c>
      <c r="O106" s="13">
        <f>N106*VLOOKUP('Données projet'!$B$9,Paramètres!$A$1:$I$89,3,0)*VLOOKUP('Données projet'!$B$9,Paramètres!$A$1:$I$89,5,0)</f>
        <v>-1.2710188457276673E-13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255.5374979188561</v>
      </c>
      <c r="T106" s="59">
        <f t="shared" si="88"/>
        <v>343.10418468620901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0.7279501802683056</v>
      </c>
      <c r="AA106" s="21">
        <f>EXP(-LN(2)/25)*AA105+(1-EXP(-LN(2)/25))/(LN(2)/25)*Calculateur!V106*Calculateur!X106*VLOOKUP('Données projet'!$B$9,Paramètres!$A$1:$I$89,3,0)*0.475*44/12</f>
        <v>2.1087852290909743</v>
      </c>
      <c r="AB106" s="21">
        <f>EXP(-LN(2)/2)*AB105+(1-EXP(-LN(2)/2))/(LN(2)/2)*V106*Y106*VLOOKUP('Données projet'!$B$9,Paramètres!$A$1:$I$89,3,0)*0.475*44/12</f>
        <v>1.741698016953132E-11</v>
      </c>
      <c r="AC106" s="22">
        <f t="shared" si="57"/>
        <v>2.836735409376697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7.5015384615384617</v>
      </c>
      <c r="AI106" s="13">
        <f>IF('Données projet'!$A$62&gt;35,AI105+AH106-AQ105,IF(A106&lt;'Données projet'!$A$62,$AF$205^A106,IF(A106='Données projet'!$A$62,'Données projet'!$B$62,AI105+AH106-AQ105)))</f>
        <v>294.712307692308</v>
      </c>
      <c r="AJ106" s="13">
        <f>AI106*VLOOKUP('Données projet'!$B$10,Paramètres!$A$1:$I$89,3,0)*VLOOKUP('Données projet'!$B$10,Paramètres!$A$1:$I$89,5,0)</f>
        <v>137.92536000000015</v>
      </c>
      <c r="AK106" s="13">
        <f t="shared" si="89"/>
        <v>35.82132242479814</v>
      </c>
      <c r="AL106" s="20">
        <f t="shared" si="58"/>
        <v>302.6088052231903</v>
      </c>
      <c r="AM106" s="59">
        <f t="shared" si="59"/>
        <v>595.94213855652356</v>
      </c>
      <c r="AN106" s="59">
        <f ca="1">AVERAGE(OFFSET($AM$3,0,0,'Données projet'!$E$10+1,1))-AVERAGE(OFFSET($H$3,0,0,'Données projet'!$E$10+1,1))</f>
        <v>158.58786357608489</v>
      </c>
      <c r="AO106" s="59">
        <f t="shared" si="90"/>
        <v>163.20074068819849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0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-1.7053025658242404E-13</v>
      </c>
      <c r="BE106" s="13">
        <f>BD106*VLOOKUP('Données projet'!$B$11,Paramètres!$A$1:$I$89,3,0)*VLOOKUP('Données projet'!$B$11,Paramètres!$A$1:$I$89,5,0)</f>
        <v>-1.0197709343628959E-13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243.85350804244348</v>
      </c>
      <c r="BJ106" s="59">
        <f t="shared" si="92"/>
        <v>304.60992308960545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1.0661940731894202</v>
      </c>
      <c r="BQ106" s="21">
        <f>EXP(-LN(2)/25)*BQ105+(1-EXP(-LN(2)/25))/(LN(2)/25)*Calculateur!BL106*Calculateur!BN106*VLOOKUP('Données projet'!$B$11,Paramètres!$A$1:$I$89,3,0)*0.475*44/12</f>
        <v>2.3424709924950218</v>
      </c>
      <c r="BR106" s="21">
        <f>EXP(-LN(2)/2)*BR105+(1-EXP(-LN(2)/2))/(LN(2)/2)*BL106*BO106*VLOOKUP('Données projet'!$B$11,Paramètres!$A$1:$I$89,3,0)*0.475*44/12</f>
        <v>3.8465446080157671E-11</v>
      </c>
      <c r="BS106" s="22">
        <f t="shared" si="63"/>
        <v>3.4086650657229072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497</v>
      </c>
      <c r="BZ106" s="13">
        <f>BY106*VLOOKUP('Données projet'!$B$12,Paramètres!$A$1:$I$89,3,0)*VLOOKUP('Données projet'!$B$12,Paramètres!$A$1:$I$89,5,0)</f>
        <v>297.20600000000002</v>
      </c>
      <c r="CA106" s="13">
        <f t="shared" si="93"/>
        <v>70.590415164571112</v>
      </c>
      <c r="CB106" s="20">
        <f t="shared" si="64"/>
        <v>640.57875641162809</v>
      </c>
      <c r="CC106" s="59">
        <f t="shared" si="65"/>
        <v>933.91208974496135</v>
      </c>
      <c r="CD106" s="59">
        <f ca="1">AVERAGE(OFFSET($CC$3,0,0,'Données projet'!$E$12+1,1))-AVERAGE(OFFSET($H$3,0,0,'Données projet'!$E$12+1,1))</f>
        <v>270.30888762640245</v>
      </c>
      <c r="CE106" s="59">
        <f t="shared" si="94"/>
        <v>202.23783851977691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0.50458082464556731</v>
      </c>
      <c r="CL106" s="21">
        <f>EXP(-LN(2)/25)*CL105+(1-EXP(-LN(2)/25))/(LN(2)/25)*Calculateur!CG106*Calculateur!CI106*VLOOKUP('Données projet'!$B$12,Paramètres!$A$1:$I$89,3,0)*0.475*44/12</f>
        <v>1.6245321063145235</v>
      </c>
      <c r="CM106" s="21">
        <f>EXP(-LN(2)/2)*CM105+(1-EXP(-LN(2)/2))/(LN(2)/2)*CG106*CJ106*VLOOKUP('Données projet'!$B$12,Paramètres!$A$1:$I$89,3,0)*0.475*44/12</f>
        <v>1.9028446598264081E-10</v>
      </c>
      <c r="CN106" s="22">
        <f t="shared" si="66"/>
        <v>2.1291129311503756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-5.1159076974727213E-13</v>
      </c>
      <c r="CU106" s="17">
        <f>CT106*VLOOKUP('Données projet'!$B$13,Paramètres!$A$1:$I$89,3,0)*VLOOKUP('Données projet'!$B$13,Paramètres!$A$1:$I$89,5,0)</f>
        <v>-4.0702161641092972E-13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260.20517190557814</v>
      </c>
      <c r="CZ106" s="59">
        <f t="shared" si="96"/>
        <v>307.22009971147133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0.76869354131391165</v>
      </c>
      <c r="DG106" s="21">
        <f>EXP(-LN(2)/25)*DG105+(1-EXP(-LN(2)/25))/(LN(2)/25)*Calculateur!DB106*Calculateur!DD106*VLOOKUP('Données projet'!$B$13,Paramètres!$A$1:$I$89,3,0)*0.475*44/12</f>
        <v>2.7111987831578608</v>
      </c>
      <c r="DH106" s="21">
        <f>EXP(-LN(2)/2)*DH105+(1-EXP(-LN(2)/2))/(LN(2)/2)*DB106*DE106*VLOOKUP('Données projet'!$B$13,Paramètres!$A$1:$I$89,3,0)*0.475*44/12</f>
        <v>2.4735584350565284E-10</v>
      </c>
      <c r="DI106" s="22">
        <f t="shared" si="69"/>
        <v>3.4798923247191285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6.9935897435897401</v>
      </c>
      <c r="DO106" s="12">
        <f>IF('Données projet'!$A$166&gt;35,DO105+DN106-DW105,IF(A106&lt;'Données projet'!$A$166,$DL$205^A106,IF(A106='Données projet'!$A$166,'Données projet'!$B$166,DO105+DN106-DW105)))</f>
        <v>298.20512820512846</v>
      </c>
      <c r="DP106" s="17">
        <f>DO106*VLOOKUP('Données projet'!$B$14,Paramètres!$A$1:$I$89,3,0)*VLOOKUP('Données projet'!$B$14,Paramètres!$A$1:$I$89,5,0)</f>
        <v>302.38000000000028</v>
      </c>
      <c r="DQ106" s="13">
        <f t="shared" si="97"/>
        <v>71.675173199461099</v>
      </c>
      <c r="DR106" s="20">
        <f t="shared" si="70"/>
        <v>651.4794266557285</v>
      </c>
      <c r="DS106" s="59">
        <f t="shared" si="71"/>
        <v>944.81275998906176</v>
      </c>
      <c r="DT106" s="59">
        <f ca="1">AVERAGE(OFFSET($DS$3,0,0,'Données projet'!$E$14+1,1))-AVERAGE(OFFSET($H$3,0,0,'Données projet'!$E$14+1,1))</f>
        <v>263.15518481854753</v>
      </c>
      <c r="DU106" s="59">
        <f t="shared" si="98"/>
        <v>210.80755370263819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0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-5.1159076974727213E-13</v>
      </c>
      <c r="EK106" s="17">
        <f>EJ106*VLOOKUP('Données projet'!$B$15,Paramètres!$A$1:$I$89,3,0)*VLOOKUP('Données projet'!$B$15,Paramètres!$A$1:$I$89,5,0)</f>
        <v>-3.4317508834647017E-13</v>
      </c>
      <c r="EL106" s="13" t="e">
        <f t="shared" si="99"/>
        <v>#NUM!</v>
      </c>
      <c r="EM106" s="20" t="e">
        <f t="shared" si="73"/>
        <v>#NUM!</v>
      </c>
      <c r="EN106" s="59" t="e">
        <f t="shared" si="74"/>
        <v>#NUM!</v>
      </c>
      <c r="EO106" s="59">
        <f ca="1">AVERAGE(OFFSET($EN$3,0,0,'Données projet'!$E$15+1,1))-AVERAGE(OFFSET($H$3,0,0,'Données projet'!$E$15+1,1))</f>
        <v>207.93042467236967</v>
      </c>
      <c r="EP106" s="59">
        <f t="shared" si="100"/>
        <v>250.70954318710835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0.64811416228427798</v>
      </c>
      <c r="EW106" s="21">
        <f>EXP(-LN(2)/25)*EW105+(1-EXP(-LN(2)/25))/(LN(2)/25)*Calculateur!ER106*Calculateur!ET106*VLOOKUP('Données projet'!$B$15,Paramètres!$A$1:$I$89,3,0)*0.475*44/12</f>
        <v>2.2859126995252583</v>
      </c>
      <c r="EX106" s="21">
        <f>EXP(-LN(2)/2)*EX105+(1-EXP(-LN(2)/2))/(LN(2)/2)*ER106*EU106*VLOOKUP('Données projet'!$B$15,Paramètres!$A$1:$I$89,3,0)*0.475*44/12</f>
        <v>2.0855492687731513E-10</v>
      </c>
      <c r="EY106" s="22">
        <f t="shared" si="75"/>
        <v>2.9340268620180914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6.9935897435897401</v>
      </c>
      <c r="FE106" s="12">
        <f>IF('Données projet'!$A$218&gt;35,FE105+FD106-FM105,IF(A106&lt;'Données projet'!$A$218,$FB$205^A106,IF(A106='Données projet'!$A$218,'Données projet'!$B$218,FE105+FD106-FM105)))</f>
        <v>298.20512820512846</v>
      </c>
      <c r="FF106" s="17">
        <f>FE106*VLOOKUP('Données projet'!$B$16,Paramètres!$A$1:$I$89,3,0)*VLOOKUP('Données projet'!$B$16,Paramètres!$A$1:$I$89,5,0)</f>
        <v>320.98800000000028</v>
      </c>
      <c r="FG106" s="13">
        <f t="shared" si="101"/>
        <v>75.558889379773333</v>
      </c>
      <c r="FH106" s="20">
        <f t="shared" si="76"/>
        <v>690.65249900310573</v>
      </c>
      <c r="FI106" s="59">
        <f t="shared" si="77"/>
        <v>983.98583233643899</v>
      </c>
      <c r="FJ106" s="59">
        <f ca="1">AVERAGE(OFFSET($FI$3,0,0,'Données projet'!$E$16+1,1))-AVERAGE(OFFSET($H$3,0,0,'Données projet'!$E$16+1,1))</f>
        <v>286.77702855541287</v>
      </c>
      <c r="FK106" s="59">
        <f t="shared" si="102"/>
        <v>227.12211541860779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0</v>
      </c>
      <c r="FR106" s="21">
        <f>EXP(-LN(2)/25)*FR105+(1-EXP(-LN(2)/25))/(LN(2)/25)*Calculateur!FM106*Calculateur!FO106*VLOOKUP('Données projet'!$B$16,Paramètres!$A$1:$I$89,3,0)*0.475*44/12</f>
        <v>0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0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7.882692307692305</v>
      </c>
      <c r="FZ106" s="12">
        <f>IF('Données projet'!$A$244&gt;35,FZ105+FY106-GH105,IF(A106&lt;'Données projet'!$A$244,$FW$205^A106,IF(A106='Données projet'!$A$244,'Données projet'!$B$244,FZ105+FY106-GH105)))</f>
        <v>365.9038461538463</v>
      </c>
      <c r="GA106" s="17">
        <f>FZ106*VLOOKUP('Données projet'!$B$17,Paramètres!$A$1:$I$89,3,0)*VLOOKUP('Données projet'!$B$17,Paramètres!$A$1:$I$89,5,0)</f>
        <v>171.24300000000005</v>
      </c>
      <c r="GB106" s="13">
        <f t="shared" si="103"/>
        <v>43.36829608954848</v>
      </c>
      <c r="GC106" s="20">
        <f t="shared" si="79"/>
        <v>373.781340689297</v>
      </c>
      <c r="GD106" s="59">
        <f t="shared" si="80"/>
        <v>667.11467402263031</v>
      </c>
      <c r="GE106" s="59">
        <f ca="1">AVERAGE(OFFSET($GD$3,0,0,'Données projet'!$E$17+1,1))-AVERAGE(OFFSET($H$3,0,0,'Données projet'!$E$17+1,1))</f>
        <v>123.2823358462245</v>
      </c>
      <c r="GF106" s="59">
        <f t="shared" si="104"/>
        <v>92.75115399786057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0</v>
      </c>
      <c r="GM106" s="21">
        <f>EXP(-LN(2)/25)*GM105+(1-EXP(-LN(2)/25))/(LN(2)/25)*Calculateur!GH106*Calculateur!GJ106*VLOOKUP('Données projet'!$B$17,Paramètres!$A$1:$I$89,3,0)*0.475*44/12</f>
        <v>0</v>
      </c>
      <c r="GN106" s="21">
        <f>EXP(-LN(2)/2)*GN105+(1-EXP(-LN(2)/2))/(LN(2)/2)*GH106*GK106*VLOOKUP('Données projet'!$B$17,Paramètres!$A$1:$I$89,3,0)*0.475*44/12</f>
        <v>0</v>
      </c>
      <c r="GO106" s="21">
        <f t="shared" si="81"/>
        <v>0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-2.8421709430404007E-13</v>
      </c>
      <c r="GV106" s="17">
        <f>GU106*VLOOKUP('Données projet'!$B$18,Paramètres!$A$1:$I$89,3,0)*VLOOKUP('Données projet'!$B$18,Paramètres!$A$1:$I$89,5,0)</f>
        <v>-1.69961822393816E-13</v>
      </c>
      <c r="GW106" s="13" t="e">
        <f t="shared" si="105"/>
        <v>#NUM!</v>
      </c>
      <c r="GX106" s="20" t="e">
        <f t="shared" si="82"/>
        <v>#NUM!</v>
      </c>
      <c r="GY106" s="59" t="e">
        <f t="shared" si="83"/>
        <v>#NUM!</v>
      </c>
      <c r="GZ106" s="59">
        <f ca="1">AVERAGE(OFFSET($GY$3,0,0,'Données projet'!$E$18+1,1))-AVERAGE(OFFSET($H$3,0,0,'Données projet'!$E$18+1,1))</f>
        <v>171.96009656745713</v>
      </c>
      <c r="HA106" s="59">
        <f t="shared" si="106"/>
        <v>172.37574906747716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>
        <f>EXP(-LN(2)/35)*HG105+(1-EXP(-LN(2)/35))/(LN(2)/35)*HC106*HD106*VLOOKUP('Données projet'!$B$18,Paramètres!$A$1:$I$89,3,0)*0.475*44/12</f>
        <v>0.39295850383422726</v>
      </c>
      <c r="HH106" s="21">
        <f>EXP(-LN(2)/25)*HH105+(1-EXP(-LN(2)/25))/(LN(2)/25)*Calculateur!HC106*Calculateur!HE106*VLOOKUP('Données projet'!$B$18,Paramètres!$A$1:$I$89,3,0)*0.475*44/12</f>
        <v>2.716136087455669</v>
      </c>
      <c r="HI106" s="21">
        <f>EXP(-LN(2)/2)*HI105+(1-EXP(-LN(2)/2))/(LN(2)/2)*HC106*HF106*VLOOKUP('Données projet'!$B$18,Paramètres!$A$1:$I$89,3,0)*0.475*44/12</f>
        <v>1.239362374139916E-10</v>
      </c>
      <c r="HJ106" s="22">
        <f t="shared" si="84"/>
        <v>3.1090945914138328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-2.2737367544323206E-13</v>
      </c>
      <c r="O107" s="13">
        <f>N107*VLOOKUP('Données projet'!$B$9,Paramètres!$A$1:$I$89,3,0)*VLOOKUP('Données projet'!$B$9,Paramètres!$A$1:$I$89,5,0)</f>
        <v>-1.2710188457276673E-13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255.5374979188561</v>
      </c>
      <c r="T107" s="59">
        <f t="shared" si="88"/>
        <v>343.10418468620901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0.71367552123901212</v>
      </c>
      <c r="AA107" s="21">
        <f>EXP(-LN(2)/25)*AA106+(1-EXP(-LN(2)/25))/(LN(2)/25)*Calculateur!V107*Calculateur!X107*VLOOKUP('Données projet'!$B$9,Paramètres!$A$1:$I$89,3,0)*0.475*44/12</f>
        <v>2.051120386105286</v>
      </c>
      <c r="AB107" s="21">
        <f>EXP(-LN(2)/2)*AB106+(1-EXP(-LN(2)/2))/(LN(2)/2)*V107*Y107*VLOOKUP('Données projet'!$B$9,Paramètres!$A$1:$I$89,3,0)*0.475*44/12</f>
        <v>1.2315664785667221E-11</v>
      </c>
      <c r="AC107" s="22">
        <f t="shared" si="57"/>
        <v>2.7647959073566137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7.5015384615384617</v>
      </c>
      <c r="AI107" s="13">
        <f>IF('Données projet'!$A$62&gt;35,AI106+AH107-AQ106,IF(A107&lt;'Données projet'!$A$62,$AF$205^A107,IF(A107='Données projet'!$A$62,'Données projet'!$B$62,AI106+AH107-AQ106)))</f>
        <v>302.21384615384648</v>
      </c>
      <c r="AJ107" s="13">
        <f>AI107*VLOOKUP('Données projet'!$B$10,Paramètres!$A$1:$I$89,3,0)*VLOOKUP('Données projet'!$B$10,Paramètres!$A$1:$I$89,5,0)</f>
        <v>141.43608000000015</v>
      </c>
      <c r="AK107" s="13">
        <f t="shared" si="89"/>
        <v>36.625795598426585</v>
      </c>
      <c r="AL107" s="20">
        <f t="shared" si="58"/>
        <v>310.12443333392656</v>
      </c>
      <c r="AM107" s="59">
        <f t="shared" si="59"/>
        <v>603.45776666725988</v>
      </c>
      <c r="AN107" s="59">
        <f ca="1">AVERAGE(OFFSET($AM$3,0,0,'Données projet'!$E$10+1,1))-AVERAGE(OFFSET($H$3,0,0,'Données projet'!$E$10+1,1))</f>
        <v>158.58786357608489</v>
      </c>
      <c r="AO107" s="59">
        <f t="shared" si="90"/>
        <v>163.20074068819849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0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-1.7053025658242404E-13</v>
      </c>
      <c r="BE107" s="13">
        <f>BD107*VLOOKUP('Données projet'!$B$11,Paramètres!$A$1:$I$89,3,0)*VLOOKUP('Données projet'!$B$11,Paramètres!$A$1:$I$89,5,0)</f>
        <v>-1.0197709343628959E-13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243.85350804244348</v>
      </c>
      <c r="BJ107" s="59">
        <f t="shared" si="92"/>
        <v>304.60992308960545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1.0452866577283471</v>
      </c>
      <c r="BQ107" s="21">
        <f>EXP(-LN(2)/25)*BQ106+(1-EXP(-LN(2)/25))/(LN(2)/25)*Calculateur!BL107*Calculateur!BN107*VLOOKUP('Données projet'!$B$11,Paramètres!$A$1:$I$89,3,0)*0.475*44/12</f>
        <v>2.2784160000200497</v>
      </c>
      <c r="BR107" s="21">
        <f>EXP(-LN(2)/2)*BR106+(1-EXP(-LN(2)/2))/(LN(2)/2)*BL107*BO107*VLOOKUP('Données projet'!$B$11,Paramètres!$A$1:$I$89,3,0)*0.475*44/12</f>
        <v>2.7199177764644993E-11</v>
      </c>
      <c r="BS107" s="22">
        <f t="shared" si="63"/>
        <v>3.3237026577755961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497</v>
      </c>
      <c r="BZ107" s="13">
        <f>BY107*VLOOKUP('Données projet'!$B$12,Paramètres!$A$1:$I$89,3,0)*VLOOKUP('Données projet'!$B$12,Paramètres!$A$1:$I$89,5,0)</f>
        <v>297.20600000000002</v>
      </c>
      <c r="CA107" s="13">
        <f t="shared" si="93"/>
        <v>70.590415164571112</v>
      </c>
      <c r="CB107" s="20">
        <f t="shared" si="64"/>
        <v>640.57875641162809</v>
      </c>
      <c r="CC107" s="59">
        <f t="shared" si="65"/>
        <v>933.91208974496135</v>
      </c>
      <c r="CD107" s="59">
        <f ca="1">AVERAGE(OFFSET($CC$3,0,0,'Données projet'!$E$12+1,1))-AVERAGE(OFFSET($H$3,0,0,'Données projet'!$E$12+1,1))</f>
        <v>270.30888762640245</v>
      </c>
      <c r="CE107" s="59">
        <f t="shared" si="94"/>
        <v>202.23783851977691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0.49468630243818162</v>
      </c>
      <c r="CL107" s="21">
        <f>EXP(-LN(2)/25)*CL106+(1-EXP(-LN(2)/25))/(LN(2)/25)*Calculateur!CG107*Calculateur!CI107*VLOOKUP('Données projet'!$B$12,Paramètres!$A$1:$I$89,3,0)*0.475*44/12</f>
        <v>1.5801091904369222</v>
      </c>
      <c r="CM107" s="21">
        <f>EXP(-LN(2)/2)*CM106+(1-EXP(-LN(2)/2))/(LN(2)/2)*CG107*CJ107*VLOOKUP('Données projet'!$B$12,Paramètres!$A$1:$I$89,3,0)*0.475*44/12</f>
        <v>1.3455143625078624E-10</v>
      </c>
      <c r="CN107" s="22">
        <f t="shared" si="66"/>
        <v>2.0747954930096553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-5.1159076974727213E-13</v>
      </c>
      <c r="CU107" s="17">
        <f>CT107*VLOOKUP('Données projet'!$B$13,Paramètres!$A$1:$I$89,3,0)*VLOOKUP('Données projet'!$B$13,Paramètres!$A$1:$I$89,5,0)</f>
        <v>-4.0702161641092972E-13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260.20517190557814</v>
      </c>
      <c r="CZ107" s="59">
        <f t="shared" si="96"/>
        <v>307.22009971147133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0.75361992982551029</v>
      </c>
      <c r="DG107" s="21">
        <f>EXP(-LN(2)/25)*DG106+(1-EXP(-LN(2)/25))/(LN(2)/25)*Calculateur!DB107*Calculateur!DD107*VLOOKUP('Données projet'!$B$13,Paramètres!$A$1:$I$89,3,0)*0.475*44/12</f>
        <v>2.6370609098566615</v>
      </c>
      <c r="DH107" s="21">
        <f>EXP(-LN(2)/2)*DH106+(1-EXP(-LN(2)/2))/(LN(2)/2)*DB107*DE107*VLOOKUP('Données projet'!$B$13,Paramètres!$A$1:$I$89,3,0)*0.475*44/12</f>
        <v>1.7490699430896556E-10</v>
      </c>
      <c r="DI107" s="22">
        <f t="shared" si="69"/>
        <v>3.3906808398570791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6.9935897435897401</v>
      </c>
      <c r="DO107" s="12">
        <f>IF('Données projet'!$A$166&gt;35,DO106+DN107-DW106,IF(A107&lt;'Données projet'!$A$166,$DL$205^A107,IF(A107='Données projet'!$A$166,'Données projet'!$B$166,DO106+DN107-DW106)))</f>
        <v>305.19871794871818</v>
      </c>
      <c r="DP107" s="17">
        <f>DO107*VLOOKUP('Données projet'!$B$14,Paramètres!$A$1:$I$89,3,0)*VLOOKUP('Données projet'!$B$14,Paramètres!$A$1:$I$89,5,0)</f>
        <v>309.47150000000028</v>
      </c>
      <c r="DQ107" s="13">
        <f t="shared" si="97"/>
        <v>73.15844737867603</v>
      </c>
      <c r="DR107" s="20">
        <f t="shared" si="70"/>
        <v>666.41382501786131</v>
      </c>
      <c r="DS107" s="59">
        <f t="shared" si="71"/>
        <v>959.74715835119468</v>
      </c>
      <c r="DT107" s="59">
        <f ca="1">AVERAGE(OFFSET($DS$3,0,0,'Données projet'!$E$14+1,1))-AVERAGE(OFFSET($H$3,0,0,'Données projet'!$E$14+1,1))</f>
        <v>263.15518481854753</v>
      </c>
      <c r="DU107" s="59">
        <f t="shared" si="98"/>
        <v>210.80755370263819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0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-5.1159076974727213E-13</v>
      </c>
      <c r="EK107" s="17">
        <f>EJ107*VLOOKUP('Données projet'!$B$15,Paramètres!$A$1:$I$89,3,0)*VLOOKUP('Données projet'!$B$15,Paramètres!$A$1:$I$89,5,0)</f>
        <v>-3.4317508834647017E-13</v>
      </c>
      <c r="EL107" s="13" t="e">
        <f t="shared" si="99"/>
        <v>#NUM!</v>
      </c>
      <c r="EM107" s="20" t="e">
        <f t="shared" si="73"/>
        <v>#NUM!</v>
      </c>
      <c r="EN107" s="59" t="e">
        <f t="shared" si="74"/>
        <v>#NUM!</v>
      </c>
      <c r="EO107" s="59">
        <f ca="1">AVERAGE(OFFSET($EN$3,0,0,'Données projet'!$E$15+1,1))-AVERAGE(OFFSET($H$3,0,0,'Données projet'!$E$15+1,1))</f>
        <v>207.93042467236967</v>
      </c>
      <c r="EP107" s="59">
        <f t="shared" si="100"/>
        <v>250.70954318710835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0.63540503887248856</v>
      </c>
      <c r="EW107" s="21">
        <f>EXP(-LN(2)/25)*EW106+(1-EXP(-LN(2)/25))/(LN(2)/25)*Calculateur!ER107*Calculateur!ET107*VLOOKUP('Données projet'!$B$15,Paramètres!$A$1:$I$89,3,0)*0.475*44/12</f>
        <v>2.2234042965458158</v>
      </c>
      <c r="EX107" s="21">
        <f>EXP(-LN(2)/2)*EX106+(1-EXP(-LN(2)/2))/(LN(2)/2)*ER107*EU107*VLOOKUP('Données projet'!$B$15,Paramètres!$A$1:$I$89,3,0)*0.475*44/12</f>
        <v>1.4747060304481409E-10</v>
      </c>
      <c r="EY107" s="22">
        <f t="shared" si="75"/>
        <v>2.8588093355657751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6.9935897435897401</v>
      </c>
      <c r="FE107" s="12">
        <f>IF('Données projet'!$A$218&gt;35,FE106+FD107-FM106,IF(A107&lt;'Données projet'!$A$218,$FB$205^A107,IF(A107='Données projet'!$A$218,'Données projet'!$B$218,FE106+FD107-FM106)))</f>
        <v>305.19871794871818</v>
      </c>
      <c r="FF107" s="17">
        <f>FE107*VLOOKUP('Données projet'!$B$16,Paramètres!$A$1:$I$89,3,0)*VLOOKUP('Données projet'!$B$16,Paramètres!$A$1:$I$89,5,0)</f>
        <v>328.51590000000027</v>
      </c>
      <c r="FG107" s="13">
        <f t="shared" si="101"/>
        <v>77.122534706660645</v>
      </c>
      <c r="FH107" s="20">
        <f t="shared" si="76"/>
        <v>706.48694044743434</v>
      </c>
      <c r="FI107" s="59">
        <f t="shared" si="77"/>
        <v>999.82027378076759</v>
      </c>
      <c r="FJ107" s="59">
        <f ca="1">AVERAGE(OFFSET($FI$3,0,0,'Données projet'!$E$16+1,1))-AVERAGE(OFFSET($H$3,0,0,'Données projet'!$E$16+1,1))</f>
        <v>286.77702855541287</v>
      </c>
      <c r="FK107" s="59">
        <f t="shared" si="102"/>
        <v>227.12211541860779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0</v>
      </c>
      <c r="FR107" s="21">
        <f>EXP(-LN(2)/25)*FR106+(1-EXP(-LN(2)/25))/(LN(2)/25)*Calculateur!FM107*Calculateur!FO107*VLOOKUP('Données projet'!$B$16,Paramètres!$A$1:$I$89,3,0)*0.475*44/12</f>
        <v>0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0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7.882692307692305</v>
      </c>
      <c r="FZ107" s="12">
        <f>IF('Données projet'!$A$244&gt;35,FZ106+FY107-GH106,IF(A107&lt;'Données projet'!$A$244,$FW$205^A107,IF(A107='Données projet'!$A$244,'Données projet'!$B$244,FZ106+FY107-GH106)))</f>
        <v>373.78653846153861</v>
      </c>
      <c r="GA107" s="17">
        <f>FZ107*VLOOKUP('Données projet'!$B$17,Paramètres!$A$1:$I$89,3,0)*VLOOKUP('Données projet'!$B$17,Paramètres!$A$1:$I$89,5,0)</f>
        <v>174.93210000000008</v>
      </c>
      <c r="GB107" s="13">
        <f t="shared" si="103"/>
        <v>44.192804567069857</v>
      </c>
      <c r="GC107" s="20">
        <f t="shared" si="79"/>
        <v>381.64254212098012</v>
      </c>
      <c r="GD107" s="59">
        <f t="shared" si="80"/>
        <v>674.97587545431338</v>
      </c>
      <c r="GE107" s="59">
        <f ca="1">AVERAGE(OFFSET($GD$3,0,0,'Données projet'!$E$17+1,1))-AVERAGE(OFFSET($H$3,0,0,'Données projet'!$E$17+1,1))</f>
        <v>123.2823358462245</v>
      </c>
      <c r="GF107" s="59">
        <f t="shared" si="104"/>
        <v>92.75115399786057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0</v>
      </c>
      <c r="GM107" s="21">
        <f>EXP(-LN(2)/25)*GM106+(1-EXP(-LN(2)/25))/(LN(2)/25)*Calculateur!GH107*Calculateur!GJ107*VLOOKUP('Données projet'!$B$17,Paramètres!$A$1:$I$89,3,0)*0.475*44/12</f>
        <v>0</v>
      </c>
      <c r="GN107" s="21">
        <f>EXP(-LN(2)/2)*GN106+(1-EXP(-LN(2)/2))/(LN(2)/2)*GH107*GK107*VLOOKUP('Données projet'!$B$17,Paramètres!$A$1:$I$89,3,0)*0.475*44/12</f>
        <v>0</v>
      </c>
      <c r="GO107" s="21">
        <f t="shared" si="81"/>
        <v>0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-2.8421709430404007E-13</v>
      </c>
      <c r="GV107" s="17">
        <f>GU107*VLOOKUP('Données projet'!$B$18,Paramètres!$A$1:$I$89,3,0)*VLOOKUP('Données projet'!$B$18,Paramètres!$A$1:$I$89,5,0)</f>
        <v>-1.69961822393816E-13</v>
      </c>
      <c r="GW107" s="13" t="e">
        <f t="shared" si="105"/>
        <v>#NUM!</v>
      </c>
      <c r="GX107" s="20" t="e">
        <f t="shared" si="82"/>
        <v>#NUM!</v>
      </c>
      <c r="GY107" s="59" t="e">
        <f t="shared" si="83"/>
        <v>#NUM!</v>
      </c>
      <c r="GZ107" s="59">
        <f ca="1">AVERAGE(OFFSET($GY$3,0,0,'Données projet'!$E$18+1,1))-AVERAGE(OFFSET($H$3,0,0,'Données projet'!$E$18+1,1))</f>
        <v>171.96009656745713</v>
      </c>
      <c r="HA107" s="59">
        <f t="shared" si="106"/>
        <v>172.37574906747716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>
        <f>EXP(-LN(2)/35)*HG106+(1-EXP(-LN(2)/35))/(LN(2)/35)*HC107*HD107*VLOOKUP('Données projet'!$B$18,Paramètres!$A$1:$I$89,3,0)*0.475*44/12</f>
        <v>0.38525282725505888</v>
      </c>
      <c r="HH107" s="21">
        <f>EXP(-LN(2)/25)*HH106+(1-EXP(-LN(2)/25))/(LN(2)/25)*Calculateur!HC107*Calculateur!HE107*VLOOKUP('Données projet'!$B$18,Paramètres!$A$1:$I$89,3,0)*0.475*44/12</f>
        <v>2.6418632033088048</v>
      </c>
      <c r="HI107" s="21">
        <f>EXP(-LN(2)/2)*HI106+(1-EXP(-LN(2)/2))/(LN(2)/2)*HC107*HF107*VLOOKUP('Données projet'!$B$18,Paramètres!$A$1:$I$89,3,0)*0.475*44/12</f>
        <v>8.7636153910179362E-11</v>
      </c>
      <c r="HJ107" s="22">
        <f t="shared" si="84"/>
        <v>3.0271160306514999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-2.2737367544323206E-13</v>
      </c>
      <c r="O108" s="13">
        <f>N108*VLOOKUP('Données projet'!$B$9,Paramètres!$A$1:$I$89,3,0)*VLOOKUP('Données projet'!$B$9,Paramètres!$A$1:$I$89,5,0)</f>
        <v>-1.2710188457276673E-13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255.5374979188561</v>
      </c>
      <c r="T108" s="59">
        <f t="shared" si="88"/>
        <v>343.10418468620901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0.6996807795666008</v>
      </c>
      <c r="AA108" s="21">
        <f>EXP(-LN(2)/25)*AA107+(1-EXP(-LN(2)/25))/(LN(2)/25)*Calculateur!V108*Calculateur!X108*VLOOKUP('Données projet'!$B$9,Paramètres!$A$1:$I$89,3,0)*0.475*44/12</f>
        <v>1.9950323912835037</v>
      </c>
      <c r="AB108" s="21">
        <f>EXP(-LN(2)/2)*AB107+(1-EXP(-LN(2)/2))/(LN(2)/2)*V108*Y108*VLOOKUP('Données projet'!$B$9,Paramètres!$A$1:$I$89,3,0)*0.475*44/12</f>
        <v>8.7084900847656602E-12</v>
      </c>
      <c r="AC108" s="22">
        <f t="shared" si="57"/>
        <v>2.694713170858813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>
        <f>VLOOKUP(A108,'Données projet'!$A$61:$I$81,2,0)</f>
        <v>309.71538461538461</v>
      </c>
      <c r="AG108" s="12">
        <f>VLOOKUP(A108,'Données projet'!$A$61:$I$81,9,0)</f>
        <v>7.5015384615384617</v>
      </c>
      <c r="AH108" s="12">
        <f t="array" ref="AH108">INDEX(AG:AG,MIN(IF(ISNUMBER(AG108:AG304),ROW(AG108:AG304),"")))</f>
        <v>7.5015384615384617</v>
      </c>
      <c r="AI108" s="13">
        <f>IF('Données projet'!$A$62&gt;35,AI107+AH108-AQ107,IF(A108&lt;'Données projet'!$A$62,$AF$205^A108,IF(A108='Données projet'!$A$62,'Données projet'!$B$62,AI107+AH108-AQ107)))</f>
        <v>309.71538461538495</v>
      </c>
      <c r="AJ108" s="13">
        <f>AI108*VLOOKUP('Données projet'!$B$10,Paramètres!$A$1:$I$89,3,0)*VLOOKUP('Données projet'!$B$10,Paramètres!$A$1:$I$89,5,0)</f>
        <v>144.94680000000017</v>
      </c>
      <c r="AK108" s="13">
        <f t="shared" si="89"/>
        <v>37.427947530076956</v>
      </c>
      <c r="AL108" s="20">
        <f t="shared" si="58"/>
        <v>317.63601861488428</v>
      </c>
      <c r="AM108" s="59">
        <f t="shared" si="59"/>
        <v>610.96935194821754</v>
      </c>
      <c r="AN108" s="59">
        <f ca="1">AVERAGE(OFFSET($AM$3,0,0,'Données projet'!$E$10+1,1))-AVERAGE(OFFSET($H$3,0,0,'Données projet'!$E$10+1,1))</f>
        <v>158.58786357608489</v>
      </c>
      <c r="AO108" s="59">
        <f t="shared" si="90"/>
        <v>163.20074068819849</v>
      </c>
      <c r="AP108" s="15">
        <f>IF(ISNA(VLOOKUP(A108,'Données projet'!$A$61:$I$81,3,0)),0,VLOOKUP(A108,'Données projet'!$A$61:$I$81,3,0))</f>
        <v>9</v>
      </c>
      <c r="AQ108" s="15">
        <f>IF(ISNA(VLOOKUP(A108,'Données projet'!$A$61:$I$81,4,0)),0,VLOOKUP(A108,'Données projet'!$A$61:$I$81,4,0))</f>
        <v>309.71538461538461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0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-1.7053025658242404E-13</v>
      </c>
      <c r="BE108" s="13">
        <f>BD108*VLOOKUP('Données projet'!$B$11,Paramètres!$A$1:$I$89,3,0)*VLOOKUP('Données projet'!$B$11,Paramètres!$A$1:$I$89,5,0)</f>
        <v>-1.0197709343628959E-13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243.85350804244348</v>
      </c>
      <c r="BJ108" s="59">
        <f t="shared" si="92"/>
        <v>304.60992308960545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1.0247892239322014</v>
      </c>
      <c r="BQ108" s="21">
        <f>EXP(-LN(2)/25)*BQ107+(1-EXP(-LN(2)/25))/(LN(2)/25)*Calculateur!BL108*Calculateur!BN108*VLOOKUP('Données projet'!$B$11,Paramètres!$A$1:$I$89,3,0)*0.475*44/12</f>
        <v>2.2161125946828113</v>
      </c>
      <c r="BR108" s="21">
        <f>EXP(-LN(2)/2)*BR107+(1-EXP(-LN(2)/2))/(LN(2)/2)*BL108*BO108*VLOOKUP('Données projet'!$B$11,Paramètres!$A$1:$I$89,3,0)*0.475*44/12</f>
        <v>1.9232723040078836E-11</v>
      </c>
      <c r="BS108" s="22">
        <f t="shared" si="63"/>
        <v>3.2409018186342453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497</v>
      </c>
      <c r="BZ108" s="13">
        <f>BY108*VLOOKUP('Données projet'!$B$12,Paramètres!$A$1:$I$89,3,0)*VLOOKUP('Données projet'!$B$12,Paramètres!$A$1:$I$89,5,0)</f>
        <v>297.20600000000002</v>
      </c>
      <c r="CA108" s="13">
        <f t="shared" si="93"/>
        <v>70.590415164571112</v>
      </c>
      <c r="CB108" s="20">
        <f t="shared" si="64"/>
        <v>640.57875641162809</v>
      </c>
      <c r="CC108" s="59">
        <f t="shared" si="65"/>
        <v>933.91208974496135</v>
      </c>
      <c r="CD108" s="59">
        <f ca="1">AVERAGE(OFFSET($CC$3,0,0,'Données projet'!$E$12+1,1))-AVERAGE(OFFSET($H$3,0,0,'Données projet'!$E$12+1,1))</f>
        <v>270.30888762640245</v>
      </c>
      <c r="CE108" s="59">
        <f t="shared" si="94"/>
        <v>202.23783851977691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0.48498580577622014</v>
      </c>
      <c r="CL108" s="21">
        <f>EXP(-LN(2)/25)*CL107+(1-EXP(-LN(2)/25))/(LN(2)/25)*Calculateur!CG108*Calculateur!CI108*VLOOKUP('Données projet'!$B$12,Paramètres!$A$1:$I$89,3,0)*0.475*44/12</f>
        <v>1.5369010215300936</v>
      </c>
      <c r="CM108" s="21">
        <f>EXP(-LN(2)/2)*CM107+(1-EXP(-LN(2)/2))/(LN(2)/2)*CG108*CJ108*VLOOKUP('Données projet'!$B$12,Paramètres!$A$1:$I$89,3,0)*0.475*44/12</f>
        <v>9.5142232991320404E-11</v>
      </c>
      <c r="CN108" s="22">
        <f t="shared" si="66"/>
        <v>2.0218868274014556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-5.1159076974727213E-13</v>
      </c>
      <c r="CU108" s="17">
        <f>CT108*VLOOKUP('Données projet'!$B$13,Paramètres!$A$1:$I$89,3,0)*VLOOKUP('Données projet'!$B$13,Paramètres!$A$1:$I$89,5,0)</f>
        <v>-4.0702161641092972E-13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260.20517190557814</v>
      </c>
      <c r="CZ108" s="59">
        <f t="shared" si="96"/>
        <v>307.22009971147133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0.73884190266440131</v>
      </c>
      <c r="DG108" s="21">
        <f>EXP(-LN(2)/25)*DG107+(1-EXP(-LN(2)/25))/(LN(2)/25)*Calculateur!DB108*Calculateur!DD108*VLOOKUP('Données projet'!$B$13,Paramètres!$A$1:$I$89,3,0)*0.475*44/12</f>
        <v>2.564950340599625</v>
      </c>
      <c r="DH108" s="21">
        <f>EXP(-LN(2)/2)*DH107+(1-EXP(-LN(2)/2))/(LN(2)/2)*DB108*DE108*VLOOKUP('Données projet'!$B$13,Paramètres!$A$1:$I$89,3,0)*0.475*44/12</f>
        <v>1.2367792175282642E-10</v>
      </c>
      <c r="DI108" s="22">
        <f t="shared" si="69"/>
        <v>3.3037922433877043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6.9935897435897401</v>
      </c>
      <c r="DO108" s="12">
        <f>IF('Données projet'!$A$166&gt;35,DO107+DN108-DW107,IF(A108&lt;'Données projet'!$A$166,$DL$205^A108,IF(A108='Données projet'!$A$166,'Données projet'!$B$166,DO107+DN108-DW107)))</f>
        <v>312.19230769230791</v>
      </c>
      <c r="DP108" s="17">
        <f>DO108*VLOOKUP('Données projet'!$B$14,Paramètres!$A$1:$I$89,3,0)*VLOOKUP('Données projet'!$B$14,Paramètres!$A$1:$I$89,5,0)</f>
        <v>316.56300000000027</v>
      </c>
      <c r="DQ108" s="13">
        <f t="shared" si="97"/>
        <v>74.637770139918857</v>
      </c>
      <c r="DR108" s="20">
        <f t="shared" si="70"/>
        <v>681.34134132702582</v>
      </c>
      <c r="DS108" s="59">
        <f t="shared" si="71"/>
        <v>974.67467466035919</v>
      </c>
      <c r="DT108" s="59">
        <f ca="1">AVERAGE(OFFSET($DS$3,0,0,'Données projet'!$E$14+1,1))-AVERAGE(OFFSET($H$3,0,0,'Données projet'!$E$14+1,1))</f>
        <v>263.15518481854753</v>
      </c>
      <c r="DU108" s="59">
        <f t="shared" si="98"/>
        <v>210.80755370263819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0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-5.1159076974727213E-13</v>
      </c>
      <c r="EK108" s="17">
        <f>EJ108*VLOOKUP('Données projet'!$B$15,Paramètres!$A$1:$I$89,3,0)*VLOOKUP('Données projet'!$B$15,Paramètres!$A$1:$I$89,5,0)</f>
        <v>-3.4317508834647017E-13</v>
      </c>
      <c r="EL108" s="13" t="e">
        <f t="shared" si="99"/>
        <v>#NUM!</v>
      </c>
      <c r="EM108" s="20" t="e">
        <f t="shared" si="73"/>
        <v>#NUM!</v>
      </c>
      <c r="EN108" s="59" t="e">
        <f t="shared" si="74"/>
        <v>#NUM!</v>
      </c>
      <c r="EO108" s="59">
        <f ca="1">AVERAGE(OFFSET($EN$3,0,0,'Données projet'!$E$15+1,1))-AVERAGE(OFFSET($H$3,0,0,'Données projet'!$E$15+1,1))</f>
        <v>207.93042467236967</v>
      </c>
      <c r="EP108" s="59">
        <f t="shared" si="100"/>
        <v>250.70954318710835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0.6229451336190045</v>
      </c>
      <c r="EW108" s="21">
        <f>EXP(-LN(2)/25)*EW107+(1-EXP(-LN(2)/25))/(LN(2)/25)*Calculateur!ER108*Calculateur!ET108*VLOOKUP('Données projet'!$B$15,Paramètres!$A$1:$I$89,3,0)*0.475*44/12</f>
        <v>2.16260518913302</v>
      </c>
      <c r="EX108" s="21">
        <f>EXP(-LN(2)/2)*EX107+(1-EXP(-LN(2)/2))/(LN(2)/2)*ER108*EU108*VLOOKUP('Données projet'!$B$15,Paramètres!$A$1:$I$89,3,0)*0.475*44/12</f>
        <v>1.0427746343865757E-10</v>
      </c>
      <c r="EY108" s="22">
        <f t="shared" si="75"/>
        <v>2.7855503228563019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6.9935897435897401</v>
      </c>
      <c r="FE108" s="12">
        <f>IF('Données projet'!$A$218&gt;35,FE107+FD108-FM107,IF(A108&lt;'Données projet'!$A$218,$FB$205^A108,IF(A108='Données projet'!$A$218,'Données projet'!$B$218,FE107+FD108-FM107)))</f>
        <v>312.19230769230791</v>
      </c>
      <c r="FF108" s="17">
        <f>FE108*VLOOKUP('Données projet'!$B$16,Paramètres!$A$1:$I$89,3,0)*VLOOKUP('Données projet'!$B$16,Paramètres!$A$1:$I$89,5,0)</f>
        <v>336.04380000000026</v>
      </c>
      <c r="FG108" s="13">
        <f t="shared" si="101"/>
        <v>78.68201450816278</v>
      </c>
      <c r="FH108" s="20">
        <f t="shared" si="76"/>
        <v>722.31412693505047</v>
      </c>
      <c r="FI108" s="59">
        <f t="shared" si="77"/>
        <v>1015.6474602683838</v>
      </c>
      <c r="FJ108" s="59">
        <f ca="1">AVERAGE(OFFSET($FI$3,0,0,'Données projet'!$E$16+1,1))-AVERAGE(OFFSET($H$3,0,0,'Données projet'!$E$16+1,1))</f>
        <v>286.77702855541287</v>
      </c>
      <c r="FK108" s="59">
        <f t="shared" si="102"/>
        <v>227.12211541860779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0</v>
      </c>
      <c r="FR108" s="21">
        <f>EXP(-LN(2)/25)*FR107+(1-EXP(-LN(2)/25))/(LN(2)/25)*Calculateur!FM108*Calculateur!FO108*VLOOKUP('Données projet'!$B$16,Paramètres!$A$1:$I$89,3,0)*0.475*44/12</f>
        <v>0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0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7.882692307692305</v>
      </c>
      <c r="FZ108" s="12">
        <f>IF('Données projet'!$A$244&gt;35,FZ107+FY108-GH107,IF(A108&lt;'Données projet'!$A$244,$FW$205^A108,IF(A108='Données projet'!$A$244,'Données projet'!$B$244,FZ107+FY108-GH107)))</f>
        <v>381.66923076923092</v>
      </c>
      <c r="GA108" s="17">
        <f>FZ108*VLOOKUP('Données projet'!$B$17,Paramètres!$A$1:$I$89,3,0)*VLOOKUP('Données projet'!$B$17,Paramètres!$A$1:$I$89,5,0)</f>
        <v>178.62120000000007</v>
      </c>
      <c r="GB108" s="13">
        <f t="shared" si="103"/>
        <v>45.015291421812051</v>
      </c>
      <c r="GC108" s="20">
        <f t="shared" si="79"/>
        <v>389.50022255965609</v>
      </c>
      <c r="GD108" s="59">
        <f t="shared" si="80"/>
        <v>682.83355589298935</v>
      </c>
      <c r="GE108" s="59">
        <f ca="1">AVERAGE(OFFSET($GD$3,0,0,'Données projet'!$E$17+1,1))-AVERAGE(OFFSET($H$3,0,0,'Données projet'!$E$17+1,1))</f>
        <v>123.2823358462245</v>
      </c>
      <c r="GF108" s="59">
        <f t="shared" si="104"/>
        <v>92.75115399786057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0</v>
      </c>
      <c r="GM108" s="21">
        <f>EXP(-LN(2)/25)*GM107+(1-EXP(-LN(2)/25))/(LN(2)/25)*Calculateur!GH108*Calculateur!GJ108*VLOOKUP('Données projet'!$B$17,Paramètres!$A$1:$I$89,3,0)*0.475*44/12</f>
        <v>0</v>
      </c>
      <c r="GN108" s="21">
        <f>EXP(-LN(2)/2)*GN107+(1-EXP(-LN(2)/2))/(LN(2)/2)*GH108*GK108*VLOOKUP('Données projet'!$B$17,Paramètres!$A$1:$I$89,3,0)*0.475*44/12</f>
        <v>0</v>
      </c>
      <c r="GO108" s="21">
        <f t="shared" si="81"/>
        <v>0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-2.8421709430404007E-13</v>
      </c>
      <c r="GV108" s="17">
        <f>GU108*VLOOKUP('Données projet'!$B$18,Paramètres!$A$1:$I$89,3,0)*VLOOKUP('Données projet'!$B$18,Paramètres!$A$1:$I$89,5,0)</f>
        <v>-1.69961822393816E-13</v>
      </c>
      <c r="GW108" s="13" t="e">
        <f t="shared" si="105"/>
        <v>#NUM!</v>
      </c>
      <c r="GX108" s="20" t="e">
        <f t="shared" si="82"/>
        <v>#NUM!</v>
      </c>
      <c r="GY108" s="59" t="e">
        <f t="shared" si="83"/>
        <v>#NUM!</v>
      </c>
      <c r="GZ108" s="59">
        <f ca="1">AVERAGE(OFFSET($GY$3,0,0,'Données projet'!$E$18+1,1))-AVERAGE(OFFSET($H$3,0,0,'Données projet'!$E$18+1,1))</f>
        <v>171.96009656745713</v>
      </c>
      <c r="HA108" s="59">
        <f t="shared" si="106"/>
        <v>172.37574906747716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>
        <f>EXP(-LN(2)/35)*HG107+(1-EXP(-LN(2)/35))/(LN(2)/35)*HC108*HD108*VLOOKUP('Données projet'!$B$18,Paramètres!$A$1:$I$89,3,0)*0.475*44/12</f>
        <v>0.37769825429360937</v>
      </c>
      <c r="HH108" s="21">
        <f>EXP(-LN(2)/25)*HH107+(1-EXP(-LN(2)/25))/(LN(2)/25)*Calculateur!HC108*Calculateur!HE108*VLOOKUP('Données projet'!$B$18,Paramètres!$A$1:$I$89,3,0)*0.475*44/12</f>
        <v>2.5696213150847775</v>
      </c>
      <c r="HI108" s="21">
        <f>EXP(-LN(2)/2)*HI107+(1-EXP(-LN(2)/2))/(LN(2)/2)*HC108*HF108*VLOOKUP('Données projet'!$B$18,Paramètres!$A$1:$I$89,3,0)*0.475*44/12</f>
        <v>6.1968118706995799E-11</v>
      </c>
      <c r="HJ108" s="22">
        <f t="shared" si="84"/>
        <v>2.9473195694403551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-2.2737367544323206E-13</v>
      </c>
      <c r="O109" s="13">
        <f>N109*VLOOKUP('Données projet'!$B$9,Paramètres!$A$1:$I$89,3,0)*VLOOKUP('Données projet'!$B$9,Paramètres!$A$1:$I$89,5,0)</f>
        <v>-1.2710188457276673E-13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255.5374979188561</v>
      </c>
      <c r="T109" s="59">
        <f t="shared" si="88"/>
        <v>343.10418468620901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0.6859604662424359</v>
      </c>
      <c r="AA109" s="21">
        <f>EXP(-LN(2)/25)*AA108+(1-EXP(-LN(2)/25))/(LN(2)/25)*Calculateur!V109*Calculateur!X109*VLOOKUP('Données projet'!$B$9,Paramètres!$A$1:$I$89,3,0)*0.475*44/12</f>
        <v>1.9404781256296626</v>
      </c>
      <c r="AB109" s="21">
        <f>EXP(-LN(2)/2)*AB108+(1-EXP(-LN(2)/2))/(LN(2)/2)*V109*Y109*VLOOKUP('Données projet'!$B$9,Paramètres!$A$1:$I$89,3,0)*0.475*44/12</f>
        <v>6.1578323928336105E-12</v>
      </c>
      <c r="AC109" s="22">
        <f t="shared" si="57"/>
        <v>2.626438591878256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3.4106051316484809E-13</v>
      </c>
      <c r="AJ109" s="13">
        <f>AI109*VLOOKUP('Données projet'!$B$10,Paramètres!$A$1:$I$89,3,0)*VLOOKUP('Données projet'!$B$10,Paramètres!$A$1:$I$89,5,0)</f>
        <v>1.5961632016114892E-13</v>
      </c>
      <c r="AK109" s="13">
        <f t="shared" si="89"/>
        <v>2.2708641912150958E-12</v>
      </c>
      <c r="AL109" s="20">
        <f t="shared" si="58"/>
        <v>4.2330868906469593E-12</v>
      </c>
      <c r="AM109" s="59">
        <f t="shared" si="59"/>
        <v>293.33333333333752</v>
      </c>
      <c r="AN109" s="59">
        <f ca="1">AVERAGE(OFFSET($AM$3,0,0,'Données projet'!$E$10+1,1))-AVERAGE(OFFSET($H$3,0,0,'Données projet'!$E$10+1,1))</f>
        <v>158.58786357608489</v>
      </c>
      <c r="AO109" s="59">
        <f t="shared" si="90"/>
        <v>163.20074068819849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0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-1.7053025658242404E-13</v>
      </c>
      <c r="BE109" s="13">
        <f>BD109*VLOOKUP('Données projet'!$B$11,Paramètres!$A$1:$I$89,3,0)*VLOOKUP('Données projet'!$B$11,Paramètres!$A$1:$I$89,5,0)</f>
        <v>-1.0197709343628959E-13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243.85350804244348</v>
      </c>
      <c r="BJ109" s="59">
        <f t="shared" si="92"/>
        <v>304.60992308960545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1.004693732310598</v>
      </c>
      <c r="BQ109" s="21">
        <f>EXP(-LN(2)/25)*BQ108+(1-EXP(-LN(2)/25))/(LN(2)/25)*Calculateur!BL109*Calculateur!BN109*VLOOKUP('Données projet'!$B$11,Paramètres!$A$1:$I$89,3,0)*0.475*44/12</f>
        <v>2.1555128792409133</v>
      </c>
      <c r="BR109" s="21">
        <f>EXP(-LN(2)/2)*BR108+(1-EXP(-LN(2)/2))/(LN(2)/2)*BL109*BO109*VLOOKUP('Données projet'!$B$11,Paramètres!$A$1:$I$89,3,0)*0.475*44/12</f>
        <v>1.3599588882322496E-11</v>
      </c>
      <c r="BS109" s="22">
        <f t="shared" si="63"/>
        <v>3.1602066115651111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497</v>
      </c>
      <c r="BZ109" s="13">
        <f>BY109*VLOOKUP('Données projet'!$B$12,Paramètres!$A$1:$I$89,3,0)*VLOOKUP('Données projet'!$B$12,Paramètres!$A$1:$I$89,5,0)</f>
        <v>297.20600000000002</v>
      </c>
      <c r="CA109" s="13">
        <f t="shared" si="93"/>
        <v>70.590415164571112</v>
      </c>
      <c r="CB109" s="20">
        <f t="shared" si="64"/>
        <v>640.57875641162809</v>
      </c>
      <c r="CC109" s="59">
        <f t="shared" si="65"/>
        <v>933.91208974496135</v>
      </c>
      <c r="CD109" s="59">
        <f ca="1">AVERAGE(OFFSET($CC$3,0,0,'Données projet'!$E$12+1,1))-AVERAGE(OFFSET($H$3,0,0,'Données projet'!$E$12+1,1))</f>
        <v>270.30888762640245</v>
      </c>
      <c r="CE109" s="59">
        <f t="shared" si="94"/>
        <v>202.23783851977691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0.47547552993708098</v>
      </c>
      <c r="CL109" s="21">
        <f>EXP(-LN(2)/25)*CL108+(1-EXP(-LN(2)/25))/(LN(2)/25)*Calculateur!CG109*Calculateur!CI109*VLOOKUP('Données projet'!$B$12,Paramètres!$A$1:$I$89,3,0)*0.475*44/12</f>
        <v>1.494874382274241</v>
      </c>
      <c r="CM109" s="21">
        <f>EXP(-LN(2)/2)*CM108+(1-EXP(-LN(2)/2))/(LN(2)/2)*CG109*CJ109*VLOOKUP('Données projet'!$B$12,Paramètres!$A$1:$I$89,3,0)*0.475*44/12</f>
        <v>6.7275718125393119E-11</v>
      </c>
      <c r="CN109" s="22">
        <f t="shared" si="66"/>
        <v>1.9703499122785977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-5.1159076974727213E-13</v>
      </c>
      <c r="CU109" s="17">
        <f>CT109*VLOOKUP('Données projet'!$B$13,Paramètres!$A$1:$I$89,3,0)*VLOOKUP('Données projet'!$B$13,Paramètres!$A$1:$I$89,5,0)</f>
        <v>-4.0702161641092972E-13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260.20517190557814</v>
      </c>
      <c r="CZ109" s="59">
        <f t="shared" si="96"/>
        <v>307.22009971147133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0.72435366360221509</v>
      </c>
      <c r="DG109" s="21">
        <f>EXP(-LN(2)/25)*DG108+(1-EXP(-LN(2)/25))/(LN(2)/25)*Calculateur!DB109*Calculateur!DD109*VLOOKUP('Données projet'!$B$13,Paramètres!$A$1:$I$89,3,0)*0.475*44/12</f>
        <v>2.4948116386510519</v>
      </c>
      <c r="DH109" s="21">
        <f>EXP(-LN(2)/2)*DH108+(1-EXP(-LN(2)/2))/(LN(2)/2)*DB109*DE109*VLOOKUP('Données projet'!$B$13,Paramètres!$A$1:$I$89,3,0)*0.475*44/12</f>
        <v>8.7453497154482779E-11</v>
      </c>
      <c r="DI109" s="22">
        <f t="shared" si="69"/>
        <v>3.2191653023407207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6.9935897435897401</v>
      </c>
      <c r="DO109" s="12">
        <f>IF('Données projet'!$A$166&gt;35,DO108+DN109-DW108,IF(A109&lt;'Données projet'!$A$166,$DL$205^A109,IF(A109='Données projet'!$A$166,'Données projet'!$B$166,DO108+DN109-DW108)))</f>
        <v>319.18589743589763</v>
      </c>
      <c r="DP109" s="17">
        <f>DO109*VLOOKUP('Données projet'!$B$14,Paramètres!$A$1:$I$89,3,0)*VLOOKUP('Données projet'!$B$14,Paramètres!$A$1:$I$89,5,0)</f>
        <v>323.65450000000021</v>
      </c>
      <c r="DQ109" s="13">
        <f t="shared" si="97"/>
        <v>76.113240192485705</v>
      </c>
      <c r="DR109" s="20">
        <f t="shared" si="70"/>
        <v>696.26214750191286</v>
      </c>
      <c r="DS109" s="59">
        <f t="shared" si="71"/>
        <v>989.59548083524624</v>
      </c>
      <c r="DT109" s="59">
        <f ca="1">AVERAGE(OFFSET($DS$3,0,0,'Données projet'!$E$14+1,1))-AVERAGE(OFFSET($H$3,0,0,'Données projet'!$E$14+1,1))</f>
        <v>263.15518481854753</v>
      </c>
      <c r="DU109" s="59">
        <f t="shared" si="98"/>
        <v>210.80755370263819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0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-5.1159076974727213E-13</v>
      </c>
      <c r="EK109" s="17">
        <f>EJ109*VLOOKUP('Données projet'!$B$15,Paramètres!$A$1:$I$89,3,0)*VLOOKUP('Données projet'!$B$15,Paramètres!$A$1:$I$89,5,0)</f>
        <v>-3.4317508834647017E-13</v>
      </c>
      <c r="EL109" s="13" t="e">
        <f t="shared" si="99"/>
        <v>#NUM!</v>
      </c>
      <c r="EM109" s="20" t="e">
        <f t="shared" si="73"/>
        <v>#NUM!</v>
      </c>
      <c r="EN109" s="59" t="e">
        <f t="shared" si="74"/>
        <v>#NUM!</v>
      </c>
      <c r="EO109" s="59">
        <f ca="1">AVERAGE(OFFSET($EN$3,0,0,'Données projet'!$E$15+1,1))-AVERAGE(OFFSET($H$3,0,0,'Données projet'!$E$15+1,1))</f>
        <v>207.93042467236967</v>
      </c>
      <c r="EP109" s="59">
        <f t="shared" si="100"/>
        <v>250.70954318710835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0.61072955950774954</v>
      </c>
      <c r="EW109" s="21">
        <f>EXP(-LN(2)/25)*EW108+(1-EXP(-LN(2)/25))/(LN(2)/25)*Calculateur!ER109*Calculateur!ET109*VLOOKUP('Données projet'!$B$15,Paramètres!$A$1:$I$89,3,0)*0.475*44/12</f>
        <v>2.1034686365097133</v>
      </c>
      <c r="EX109" s="21">
        <f>EXP(-LN(2)/2)*EX108+(1-EXP(-LN(2)/2))/(LN(2)/2)*ER109*EU109*VLOOKUP('Données projet'!$B$15,Paramètres!$A$1:$I$89,3,0)*0.475*44/12</f>
        <v>7.3735301522407044E-11</v>
      </c>
      <c r="EY109" s="22">
        <f t="shared" si="75"/>
        <v>2.7141981960911981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6.9935897435897401</v>
      </c>
      <c r="FE109" s="12">
        <f>IF('Données projet'!$A$218&gt;35,FE108+FD109-FM108,IF(A109&lt;'Données projet'!$A$218,$FB$205^A109,IF(A109='Données projet'!$A$218,'Données projet'!$B$218,FE108+FD109-FM108)))</f>
        <v>319.18589743589763</v>
      </c>
      <c r="FF109" s="17">
        <f>FE109*VLOOKUP('Données projet'!$B$16,Paramètres!$A$1:$I$89,3,0)*VLOOKUP('Données projet'!$B$16,Paramètres!$A$1:$I$89,5,0)</f>
        <v>343.57170000000019</v>
      </c>
      <c r="FG109" s="13">
        <f t="shared" si="101"/>
        <v>80.237432842134865</v>
      </c>
      <c r="FH109" s="20">
        <f t="shared" si="76"/>
        <v>738.13423970005181</v>
      </c>
      <c r="FI109" s="59">
        <f t="shared" si="77"/>
        <v>1031.4675730333852</v>
      </c>
      <c r="FJ109" s="59">
        <f ca="1">AVERAGE(OFFSET($FI$3,0,0,'Données projet'!$E$16+1,1))-AVERAGE(OFFSET($H$3,0,0,'Données projet'!$E$16+1,1))</f>
        <v>286.77702855541287</v>
      </c>
      <c r="FK109" s="59">
        <f t="shared" si="102"/>
        <v>227.12211541860779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0</v>
      </c>
      <c r="FR109" s="21">
        <f>EXP(-LN(2)/25)*FR108+(1-EXP(-LN(2)/25))/(LN(2)/25)*Calculateur!FM109*Calculateur!FO109*VLOOKUP('Données projet'!$B$16,Paramètres!$A$1:$I$89,3,0)*0.475*44/12</f>
        <v>0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0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7.882692307692305</v>
      </c>
      <c r="FZ109" s="12">
        <f>IF('Données projet'!$A$244&gt;35,FZ108+FY109-GH108,IF(A109&lt;'Données projet'!$A$244,$FW$205^A109,IF(A109='Données projet'!$A$244,'Données projet'!$B$244,FZ108+FY109-GH108)))</f>
        <v>389.55192307692323</v>
      </c>
      <c r="GA109" s="17">
        <f>FZ109*VLOOKUP('Données projet'!$B$17,Paramètres!$A$1:$I$89,3,0)*VLOOKUP('Données projet'!$B$17,Paramètres!$A$1:$I$89,5,0)</f>
        <v>182.31030000000007</v>
      </c>
      <c r="GB109" s="13">
        <f t="shared" si="103"/>
        <v>45.835803217507859</v>
      </c>
      <c r="GC109" s="20">
        <f t="shared" si="79"/>
        <v>397.35446310382622</v>
      </c>
      <c r="GD109" s="59">
        <f t="shared" si="80"/>
        <v>690.68779643715948</v>
      </c>
      <c r="GE109" s="59">
        <f ca="1">AVERAGE(OFFSET($GD$3,0,0,'Données projet'!$E$17+1,1))-AVERAGE(OFFSET($H$3,0,0,'Données projet'!$E$17+1,1))</f>
        <v>123.2823358462245</v>
      </c>
      <c r="GF109" s="59">
        <f t="shared" si="104"/>
        <v>92.75115399786057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0</v>
      </c>
      <c r="GM109" s="21">
        <f>EXP(-LN(2)/25)*GM108+(1-EXP(-LN(2)/25))/(LN(2)/25)*Calculateur!GH109*Calculateur!GJ109*VLOOKUP('Données projet'!$B$17,Paramètres!$A$1:$I$89,3,0)*0.475*44/12</f>
        <v>0</v>
      </c>
      <c r="GN109" s="21">
        <f>EXP(-LN(2)/2)*GN108+(1-EXP(-LN(2)/2))/(LN(2)/2)*GH109*GK109*VLOOKUP('Données projet'!$B$17,Paramètres!$A$1:$I$89,3,0)*0.475*44/12</f>
        <v>0</v>
      </c>
      <c r="GO109" s="21">
        <f t="shared" si="81"/>
        <v>0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-2.8421709430404007E-13</v>
      </c>
      <c r="GV109" s="17">
        <f>GU109*VLOOKUP('Données projet'!$B$18,Paramètres!$A$1:$I$89,3,0)*VLOOKUP('Données projet'!$B$18,Paramètres!$A$1:$I$89,5,0)</f>
        <v>-1.69961822393816E-13</v>
      </c>
      <c r="GW109" s="13" t="e">
        <f t="shared" si="105"/>
        <v>#NUM!</v>
      </c>
      <c r="GX109" s="20" t="e">
        <f t="shared" si="82"/>
        <v>#NUM!</v>
      </c>
      <c r="GY109" s="59" t="e">
        <f t="shared" si="83"/>
        <v>#NUM!</v>
      </c>
      <c r="GZ109" s="59">
        <f ca="1">AVERAGE(OFFSET($GY$3,0,0,'Données projet'!$E$18+1,1))-AVERAGE(OFFSET($H$3,0,0,'Données projet'!$E$18+1,1))</f>
        <v>171.96009656745713</v>
      </c>
      <c r="HA109" s="59">
        <f t="shared" si="106"/>
        <v>172.37574906747716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>
        <f>EXP(-LN(2)/35)*HG108+(1-EXP(-LN(2)/35))/(LN(2)/35)*HC109*HD109*VLOOKUP('Données projet'!$B$18,Paramètres!$A$1:$I$89,3,0)*0.475*44/12</f>
        <v>0.37029182190009935</v>
      </c>
      <c r="HH109" s="21">
        <f>EXP(-LN(2)/25)*HH108+(1-EXP(-LN(2)/25))/(LN(2)/25)*Calculateur!HC109*Calculateur!HE109*VLOOKUP('Données projet'!$B$18,Paramètres!$A$1:$I$89,3,0)*0.475*44/12</f>
        <v>2.4993548850932723</v>
      </c>
      <c r="HI109" s="21">
        <f>EXP(-LN(2)/2)*HI108+(1-EXP(-LN(2)/2))/(LN(2)/2)*HC109*HF109*VLOOKUP('Données projet'!$B$18,Paramètres!$A$1:$I$89,3,0)*0.475*44/12</f>
        <v>4.3818076955089681E-11</v>
      </c>
      <c r="HJ109" s="22">
        <f t="shared" si="84"/>
        <v>2.86964670703719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-2.2737367544323206E-13</v>
      </c>
      <c r="O110" s="13">
        <f>N110*VLOOKUP('Données projet'!$B$9,Paramètres!$A$1:$I$89,3,0)*VLOOKUP('Données projet'!$B$9,Paramètres!$A$1:$I$89,5,0)</f>
        <v>-1.2710188457276673E-13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255.5374979188561</v>
      </c>
      <c r="T110" s="59">
        <f t="shared" si="88"/>
        <v>343.10418468620901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0.67250919989399305</v>
      </c>
      <c r="AA110" s="21">
        <f>EXP(-LN(2)/25)*AA109+(1-EXP(-LN(2)/25))/(LN(2)/25)*Calculateur!V110*Calculateur!X110*VLOOKUP('Données projet'!$B$9,Paramètres!$A$1:$I$89,3,0)*0.475*44/12</f>
        <v>1.88741564923901</v>
      </c>
      <c r="AB110" s="21">
        <f>EXP(-LN(2)/2)*AB109+(1-EXP(-LN(2)/2))/(LN(2)/2)*V110*Y110*VLOOKUP('Données projet'!$B$9,Paramètres!$A$1:$I$89,3,0)*0.475*44/12</f>
        <v>4.3542450423828301E-12</v>
      </c>
      <c r="AC110" s="22">
        <f t="shared" si="57"/>
        <v>2.5599248491373574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3.4106051316484809E-13</v>
      </c>
      <c r="AJ110" s="13">
        <f>AI110*VLOOKUP('Données projet'!$B$10,Paramètres!$A$1:$I$89,3,0)*VLOOKUP('Données projet'!$B$10,Paramètres!$A$1:$I$89,5,0)</f>
        <v>1.5961632016114892E-13</v>
      </c>
      <c r="AK110" s="13">
        <f t="shared" si="89"/>
        <v>2.2708641912150958E-12</v>
      </c>
      <c r="AL110" s="20">
        <f t="shared" si="58"/>
        <v>4.2330868906469593E-12</v>
      </c>
      <c r="AM110" s="59">
        <f t="shared" si="59"/>
        <v>293.33333333333752</v>
      </c>
      <c r="AN110" s="59">
        <f ca="1">AVERAGE(OFFSET($AM$3,0,0,'Données projet'!$E$10+1,1))-AVERAGE(OFFSET($H$3,0,0,'Données projet'!$E$10+1,1))</f>
        <v>158.58786357608489</v>
      </c>
      <c r="AO110" s="59">
        <f t="shared" si="90"/>
        <v>163.20074068819849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0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-1.7053025658242404E-13</v>
      </c>
      <c r="BE110" s="13">
        <f>BD110*VLOOKUP('Données projet'!$B$11,Paramètres!$A$1:$I$89,3,0)*VLOOKUP('Données projet'!$B$11,Paramètres!$A$1:$I$89,5,0)</f>
        <v>-1.0197709343628959E-13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243.85350804244348</v>
      </c>
      <c r="BJ110" s="59">
        <f t="shared" si="92"/>
        <v>304.60992308960545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0.98499230102265467</v>
      </c>
      <c r="BQ110" s="21">
        <f>EXP(-LN(2)/25)*BQ109+(1-EXP(-LN(2)/25))/(LN(2)/25)*Calculateur!BL110*Calculateur!BN110*VLOOKUP('Données projet'!$B$11,Paramètres!$A$1:$I$89,3,0)*0.475*44/12</f>
        <v>2.0965702662045747</v>
      </c>
      <c r="BR110" s="21">
        <f>EXP(-LN(2)/2)*BR109+(1-EXP(-LN(2)/2))/(LN(2)/2)*BL110*BO110*VLOOKUP('Données projet'!$B$11,Paramètres!$A$1:$I$89,3,0)*0.475*44/12</f>
        <v>9.6163615200394178E-12</v>
      </c>
      <c r="BS110" s="22">
        <f t="shared" si="63"/>
        <v>3.0815625672368459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497</v>
      </c>
      <c r="BZ110" s="13">
        <f>BY110*VLOOKUP('Données projet'!$B$12,Paramètres!$A$1:$I$89,3,0)*VLOOKUP('Données projet'!$B$12,Paramètres!$A$1:$I$89,5,0)</f>
        <v>297.20600000000002</v>
      </c>
      <c r="CA110" s="13">
        <f t="shared" si="93"/>
        <v>70.590415164571112</v>
      </c>
      <c r="CB110" s="20">
        <f t="shared" si="64"/>
        <v>640.57875641162809</v>
      </c>
      <c r="CC110" s="59">
        <f t="shared" si="65"/>
        <v>933.91208974496135</v>
      </c>
      <c r="CD110" s="59">
        <f ca="1">AVERAGE(OFFSET($CC$3,0,0,'Données projet'!$E$12+1,1))-AVERAGE(OFFSET($H$3,0,0,'Données projet'!$E$12+1,1))</f>
        <v>270.30888762640245</v>
      </c>
      <c r="CE110" s="59">
        <f t="shared" si="94"/>
        <v>202.23783851977691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0.46615174480645183</v>
      </c>
      <c r="CL110" s="21">
        <f>EXP(-LN(2)/25)*CL109+(1-EXP(-LN(2)/25))/(LN(2)/25)*Calculateur!CG110*Calculateur!CI110*VLOOKUP('Données projet'!$B$12,Paramètres!$A$1:$I$89,3,0)*0.475*44/12</f>
        <v>1.4539969636789247</v>
      </c>
      <c r="CM110" s="21">
        <f>EXP(-LN(2)/2)*CM109+(1-EXP(-LN(2)/2))/(LN(2)/2)*CG110*CJ110*VLOOKUP('Données projet'!$B$12,Paramètres!$A$1:$I$89,3,0)*0.475*44/12</f>
        <v>4.7571116495660202E-11</v>
      </c>
      <c r="CN110" s="22">
        <f t="shared" si="66"/>
        <v>1.9201487085329476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-5.1159076974727213E-13</v>
      </c>
      <c r="CU110" s="17">
        <f>CT110*VLOOKUP('Données projet'!$B$13,Paramètres!$A$1:$I$89,3,0)*VLOOKUP('Données projet'!$B$13,Paramètres!$A$1:$I$89,5,0)</f>
        <v>-4.0702161641092972E-13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260.20517190557814</v>
      </c>
      <c r="CZ110" s="59">
        <f t="shared" si="96"/>
        <v>307.22009971147133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0.71014953007108517</v>
      </c>
      <c r="DG110" s="21">
        <f>EXP(-LN(2)/25)*DG109+(1-EXP(-LN(2)/25))/(LN(2)/25)*Calculateur!DB110*Calculateur!DD110*VLOOKUP('Données projet'!$B$13,Paramètres!$A$1:$I$89,3,0)*0.475*44/12</f>
        <v>2.4265908831956966</v>
      </c>
      <c r="DH110" s="21">
        <f>EXP(-LN(2)/2)*DH109+(1-EXP(-LN(2)/2))/(LN(2)/2)*DB110*DE110*VLOOKUP('Données projet'!$B$13,Paramètres!$A$1:$I$89,3,0)*0.475*44/12</f>
        <v>6.1838960876413211E-11</v>
      </c>
      <c r="DI110" s="22">
        <f t="shared" si="69"/>
        <v>3.1367404133286207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6.9935897435897401</v>
      </c>
      <c r="DO110" s="12">
        <f>IF('Données projet'!$A$166&gt;35,DO109+DN110-DW109,IF(A110&lt;'Données projet'!$A$166,$DL$205^A110,IF(A110='Données projet'!$A$166,'Données projet'!$B$166,DO109+DN110-DW109)))</f>
        <v>326.17948717948735</v>
      </c>
      <c r="DP110" s="17">
        <f>DO110*VLOOKUP('Données projet'!$B$14,Paramètres!$A$1:$I$89,3,0)*VLOOKUP('Données projet'!$B$14,Paramètres!$A$1:$I$89,5,0)</f>
        <v>330.74600000000021</v>
      </c>
      <c r="DQ110" s="13">
        <f t="shared" si="97"/>
        <v>77.584951673074755</v>
      </c>
      <c r="DR110" s="20">
        <f t="shared" si="70"/>
        <v>711.17640749727218</v>
      </c>
      <c r="DS110" s="59">
        <f t="shared" si="71"/>
        <v>1004.5097408306056</v>
      </c>
      <c r="DT110" s="59">
        <f ca="1">AVERAGE(OFFSET($DS$3,0,0,'Données projet'!$E$14+1,1))-AVERAGE(OFFSET($H$3,0,0,'Données projet'!$E$14+1,1))</f>
        <v>263.15518481854753</v>
      </c>
      <c r="DU110" s="59">
        <f t="shared" si="98"/>
        <v>210.80755370263819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0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-5.1159076974727213E-13</v>
      </c>
      <c r="EK110" s="17">
        <f>EJ110*VLOOKUP('Données projet'!$B$15,Paramètres!$A$1:$I$89,3,0)*VLOOKUP('Données projet'!$B$15,Paramètres!$A$1:$I$89,5,0)</f>
        <v>-3.4317508834647017E-13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207.93042467236967</v>
      </c>
      <c r="EP110" s="59">
        <f t="shared" si="100"/>
        <v>250.70954318710835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0.59875352535405169</v>
      </c>
      <c r="EW110" s="21">
        <f>EXP(-LN(2)/25)*EW109+(1-EXP(-LN(2)/25))/(LN(2)/25)*Calculateur!ER110*Calculateur!ET110*VLOOKUP('Données projet'!$B$15,Paramètres!$A$1:$I$89,3,0)*0.475*44/12</f>
        <v>2.0459491760277473</v>
      </c>
      <c r="EX110" s="21">
        <f>EXP(-LN(2)/2)*EX109+(1-EXP(-LN(2)/2))/(LN(2)/2)*ER110*EU110*VLOOKUP('Données projet'!$B$15,Paramètres!$A$1:$I$89,3,0)*0.475*44/12</f>
        <v>5.2138731719328783E-11</v>
      </c>
      <c r="EY110" s="22">
        <f t="shared" si="75"/>
        <v>2.6447027014339377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6.9935897435897401</v>
      </c>
      <c r="FE110" s="12">
        <f>IF('Données projet'!$A$218&gt;35,FE109+FD110-FM109,IF(A110&lt;'Données projet'!$A$218,$FB$205^A110,IF(A110='Données projet'!$A$218,'Données projet'!$B$218,FE109+FD110-FM109)))</f>
        <v>326.17948717948735</v>
      </c>
      <c r="FF110" s="17">
        <f>FE110*VLOOKUP('Données projet'!$B$16,Paramètres!$A$1:$I$89,3,0)*VLOOKUP('Données projet'!$B$16,Paramètres!$A$1:$I$89,5,0)</f>
        <v>351.09960000000012</v>
      </c>
      <c r="FG110" s="13">
        <f t="shared" si="101"/>
        <v>81.788888946068028</v>
      </c>
      <c r="FH110" s="20">
        <f t="shared" si="76"/>
        <v>753.94745158106855</v>
      </c>
      <c r="FI110" s="59">
        <f t="shared" si="77"/>
        <v>1047.2807849144019</v>
      </c>
      <c r="FJ110" s="59">
        <f ca="1">AVERAGE(OFFSET($FI$3,0,0,'Données projet'!$E$16+1,1))-AVERAGE(OFFSET($H$3,0,0,'Données projet'!$E$16+1,1))</f>
        <v>286.77702855541287</v>
      </c>
      <c r="FK110" s="59">
        <f t="shared" si="102"/>
        <v>227.12211541860779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0</v>
      </c>
      <c r="FR110" s="21">
        <f>EXP(-LN(2)/25)*FR109+(1-EXP(-LN(2)/25))/(LN(2)/25)*Calculateur!FM110*Calculateur!FO110*VLOOKUP('Données projet'!$B$16,Paramètres!$A$1:$I$89,3,0)*0.475*44/12</f>
        <v>0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0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7.882692307692305</v>
      </c>
      <c r="FZ110" s="12">
        <f>IF('Données projet'!$A$244&gt;35,FZ109+FY110-GH109,IF(A110&lt;'Données projet'!$A$244,$FW$205^A110,IF(A110='Données projet'!$A$244,'Données projet'!$B$244,FZ109+FY110-GH109)))</f>
        <v>397.43461538461554</v>
      </c>
      <c r="GA110" s="17">
        <f>FZ110*VLOOKUP('Données projet'!$B$17,Paramètres!$A$1:$I$89,3,0)*VLOOKUP('Données projet'!$B$17,Paramètres!$A$1:$I$89,5,0)</f>
        <v>185.99940000000007</v>
      </c>
      <c r="GB110" s="13">
        <f t="shared" si="103"/>
        <v>46.654384525692834</v>
      </c>
      <c r="GC110" s="20">
        <f t="shared" si="79"/>
        <v>405.20534138224843</v>
      </c>
      <c r="GD110" s="59">
        <f t="shared" si="80"/>
        <v>698.53867471558169</v>
      </c>
      <c r="GE110" s="59">
        <f ca="1">AVERAGE(OFFSET($GD$3,0,0,'Données projet'!$E$17+1,1))-AVERAGE(OFFSET($H$3,0,0,'Données projet'!$E$17+1,1))</f>
        <v>123.2823358462245</v>
      </c>
      <c r="GF110" s="59">
        <f t="shared" si="104"/>
        <v>92.75115399786057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0</v>
      </c>
      <c r="GM110" s="21">
        <f>EXP(-LN(2)/25)*GM109+(1-EXP(-LN(2)/25))/(LN(2)/25)*Calculateur!GH110*Calculateur!GJ110*VLOOKUP('Données projet'!$B$17,Paramètres!$A$1:$I$89,3,0)*0.475*44/12</f>
        <v>0</v>
      </c>
      <c r="GN110" s="21">
        <f>EXP(-LN(2)/2)*GN109+(1-EXP(-LN(2)/2))/(LN(2)/2)*GH110*GK110*VLOOKUP('Données projet'!$B$17,Paramètres!$A$1:$I$89,3,0)*0.475*44/12</f>
        <v>0</v>
      </c>
      <c r="GO110" s="21">
        <f t="shared" si="81"/>
        <v>0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-2.8421709430404007E-13</v>
      </c>
      <c r="GV110" s="17">
        <f>GU110*VLOOKUP('Données projet'!$B$18,Paramètres!$A$1:$I$89,3,0)*VLOOKUP('Données projet'!$B$18,Paramètres!$A$1:$I$89,5,0)</f>
        <v>-1.69961822393816E-13</v>
      </c>
      <c r="GW110" s="13" t="e">
        <f t="shared" si="105"/>
        <v>#NUM!</v>
      </c>
      <c r="GX110" s="20" t="e">
        <f t="shared" si="82"/>
        <v>#NUM!</v>
      </c>
      <c r="GY110" s="59" t="e">
        <f t="shared" si="83"/>
        <v>#NUM!</v>
      </c>
      <c r="GZ110" s="59">
        <f ca="1">AVERAGE(OFFSET($GY$3,0,0,'Données projet'!$E$18+1,1))-AVERAGE(OFFSET($H$3,0,0,'Données projet'!$E$18+1,1))</f>
        <v>171.96009656745713</v>
      </c>
      <c r="HA110" s="59">
        <f t="shared" si="106"/>
        <v>172.37574906747716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>
        <f>EXP(-LN(2)/35)*HG109+(1-EXP(-LN(2)/35))/(LN(2)/35)*HC110*HD110*VLOOKUP('Données projet'!$B$18,Paramètres!$A$1:$I$89,3,0)*0.475*44/12</f>
        <v>0.36303062512834838</v>
      </c>
      <c r="HH110" s="21">
        <f>EXP(-LN(2)/25)*HH109+(1-EXP(-LN(2)/25))/(LN(2)/25)*Calculateur!HC110*Calculateur!HE110*VLOOKUP('Données projet'!$B$18,Paramètres!$A$1:$I$89,3,0)*0.475*44/12</f>
        <v>2.4310098943250358</v>
      </c>
      <c r="HI110" s="21">
        <f>EXP(-LN(2)/2)*HI109+(1-EXP(-LN(2)/2))/(LN(2)/2)*HC110*HF110*VLOOKUP('Données projet'!$B$18,Paramètres!$A$1:$I$89,3,0)*0.475*44/12</f>
        <v>3.09840593534979E-11</v>
      </c>
      <c r="HJ110" s="22">
        <f t="shared" si="84"/>
        <v>2.7940405194843683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-2.2737367544323206E-13</v>
      </c>
      <c r="O111" s="13">
        <f>N111*VLOOKUP('Données projet'!$B$9,Paramètres!$A$1:$I$89,3,0)*VLOOKUP('Données projet'!$B$9,Paramètres!$A$1:$I$89,5,0)</f>
        <v>-1.2710188457276673E-13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255.5374979188561</v>
      </c>
      <c r="T111" s="59">
        <f t="shared" si="88"/>
        <v>343.10418468620901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0.65932170467418083</v>
      </c>
      <c r="AA111" s="21">
        <f>EXP(-LN(2)/25)*AA110+(1-EXP(-LN(2)/25))/(LN(2)/25)*Calculateur!V111*Calculateur!X111*VLOOKUP('Données projet'!$B$9,Paramètres!$A$1:$I$89,3,0)*0.475*44/12</f>
        <v>1.8358041690556939</v>
      </c>
      <c r="AB111" s="21">
        <f>EXP(-LN(2)/2)*AB110+(1-EXP(-LN(2)/2))/(LN(2)/2)*V111*Y111*VLOOKUP('Données projet'!$B$9,Paramètres!$A$1:$I$89,3,0)*0.475*44/12</f>
        <v>3.0789161964168052E-12</v>
      </c>
      <c r="AC111" s="22">
        <f t="shared" si="57"/>
        <v>2.4951258737329538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3.4106051316484809E-13</v>
      </c>
      <c r="AJ111" s="13">
        <f>AI111*VLOOKUP('Données projet'!$B$10,Paramètres!$A$1:$I$89,3,0)*VLOOKUP('Données projet'!$B$10,Paramètres!$A$1:$I$89,5,0)</f>
        <v>1.5961632016114892E-13</v>
      </c>
      <c r="AK111" s="13">
        <f t="shared" si="89"/>
        <v>2.2708641912150958E-12</v>
      </c>
      <c r="AL111" s="20">
        <f t="shared" si="58"/>
        <v>4.2330868906469593E-12</v>
      </c>
      <c r="AM111" s="59">
        <f t="shared" si="59"/>
        <v>293.33333333333752</v>
      </c>
      <c r="AN111" s="59">
        <f ca="1">AVERAGE(OFFSET($AM$3,0,0,'Données projet'!$E$10+1,1))-AVERAGE(OFFSET($H$3,0,0,'Données projet'!$E$10+1,1))</f>
        <v>158.58786357608489</v>
      </c>
      <c r="AO111" s="59">
        <f t="shared" si="90"/>
        <v>163.20074068819849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0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-1.7053025658242404E-13</v>
      </c>
      <c r="BE111" s="13">
        <f>BD111*VLOOKUP('Données projet'!$B$11,Paramètres!$A$1:$I$89,3,0)*VLOOKUP('Données projet'!$B$11,Paramètres!$A$1:$I$89,5,0)</f>
        <v>-1.0197709343628959E-13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243.85350804244348</v>
      </c>
      <c r="BJ111" s="59">
        <f t="shared" si="92"/>
        <v>304.60992308960545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0.96567720278558133</v>
      </c>
      <c r="BQ111" s="21">
        <f>EXP(-LN(2)/25)*BQ110+(1-EXP(-LN(2)/25))/(LN(2)/25)*Calculateur!BL111*Calculateur!BN111*VLOOKUP('Données projet'!$B$11,Paramètres!$A$1:$I$89,3,0)*0.475*44/12</f>
        <v>2.0392394420213722</v>
      </c>
      <c r="BR111" s="21">
        <f>EXP(-LN(2)/2)*BR110+(1-EXP(-LN(2)/2))/(LN(2)/2)*BL111*BO111*VLOOKUP('Données projet'!$B$11,Paramètres!$A$1:$I$89,3,0)*0.475*44/12</f>
        <v>6.7997944411612482E-12</v>
      </c>
      <c r="BS111" s="22">
        <f t="shared" si="63"/>
        <v>3.0049166448137532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497</v>
      </c>
      <c r="BZ111" s="13">
        <f>BY111*VLOOKUP('Données projet'!$B$12,Paramètres!$A$1:$I$89,3,0)*VLOOKUP('Données projet'!$B$12,Paramètres!$A$1:$I$89,5,0)</f>
        <v>297.20600000000002</v>
      </c>
      <c r="CA111" s="13">
        <f t="shared" si="93"/>
        <v>70.590415164571112</v>
      </c>
      <c r="CB111" s="20">
        <f t="shared" si="64"/>
        <v>640.57875641162809</v>
      </c>
      <c r="CC111" s="59">
        <f t="shared" si="65"/>
        <v>933.91208974496135</v>
      </c>
      <c r="CD111" s="59">
        <f ca="1">AVERAGE(OFFSET($CC$3,0,0,'Données projet'!$E$12+1,1))-AVERAGE(OFFSET($H$3,0,0,'Données projet'!$E$12+1,1))</f>
        <v>270.30888762640245</v>
      </c>
      <c r="CE111" s="59">
        <f t="shared" si="94"/>
        <v>202.23783851977691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0.45701079341528694</v>
      </c>
      <c r="CL111" s="21">
        <f>EXP(-LN(2)/25)*CL110+(1-EXP(-LN(2)/25))/(LN(2)/25)*Calculateur!CG111*Calculateur!CI111*VLOOKUP('Données projet'!$B$12,Paramètres!$A$1:$I$89,3,0)*0.475*44/12</f>
        <v>1.4142373402447475</v>
      </c>
      <c r="CM111" s="21">
        <f>EXP(-LN(2)/2)*CM110+(1-EXP(-LN(2)/2))/(LN(2)/2)*CG111*CJ111*VLOOKUP('Données projet'!$B$12,Paramètres!$A$1:$I$89,3,0)*0.475*44/12</f>
        <v>3.363785906269656E-11</v>
      </c>
      <c r="CN111" s="22">
        <f t="shared" si="66"/>
        <v>1.8712481336936722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-5.1159076974727213E-13</v>
      </c>
      <c r="CU111" s="17">
        <f>CT111*VLOOKUP('Données projet'!$B$13,Paramètres!$A$1:$I$89,3,0)*VLOOKUP('Données projet'!$B$13,Paramètres!$A$1:$I$89,5,0)</f>
        <v>-4.0702161641092972E-13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260.20517190557814</v>
      </c>
      <c r="CZ111" s="59">
        <f t="shared" si="96"/>
        <v>307.22009971147133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0.6962239309348347</v>
      </c>
      <c r="DG111" s="21">
        <f>EXP(-LN(2)/25)*DG110+(1-EXP(-LN(2)/25))/(LN(2)/25)*Calculateur!DB111*Calculateur!DD111*VLOOKUP('Données projet'!$B$13,Paramètres!$A$1:$I$89,3,0)*0.475*44/12</f>
        <v>2.3602356278858418</v>
      </c>
      <c r="DH111" s="21">
        <f>EXP(-LN(2)/2)*DH110+(1-EXP(-LN(2)/2))/(LN(2)/2)*DB111*DE111*VLOOKUP('Données projet'!$B$13,Paramètres!$A$1:$I$89,3,0)*0.475*44/12</f>
        <v>4.372674857724139E-11</v>
      </c>
      <c r="DI111" s="22">
        <f t="shared" si="69"/>
        <v>3.0564595588644035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6.9935897435897401</v>
      </c>
      <c r="DO111" s="12">
        <f>IF('Données projet'!$A$166&gt;35,DO110+DN111-DW110,IF(A111&lt;'Données projet'!$A$166,$DL$205^A111,IF(A111='Données projet'!$A$166,'Données projet'!$B$166,DO110+DN111-DW110)))</f>
        <v>333.17307692307708</v>
      </c>
      <c r="DP111" s="17">
        <f>DO111*VLOOKUP('Données projet'!$B$14,Paramètres!$A$1:$I$89,3,0)*VLOOKUP('Données projet'!$B$14,Paramètres!$A$1:$I$89,5,0)</f>
        <v>337.8375000000002</v>
      </c>
      <c r="DQ111" s="13">
        <f t="shared" si="97"/>
        <v>79.052994451033257</v>
      </c>
      <c r="DR111" s="20">
        <f t="shared" si="70"/>
        <v>726.08427783554998</v>
      </c>
      <c r="DS111" s="59">
        <f t="shared" si="71"/>
        <v>1019.4176111688832</v>
      </c>
      <c r="DT111" s="59">
        <f ca="1">AVERAGE(OFFSET($DS$3,0,0,'Données projet'!$E$14+1,1))-AVERAGE(OFFSET($H$3,0,0,'Données projet'!$E$14+1,1))</f>
        <v>263.15518481854753</v>
      </c>
      <c r="DU111" s="59">
        <f t="shared" si="98"/>
        <v>210.80755370263819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0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-5.1159076974727213E-13</v>
      </c>
      <c r="EK111" s="17">
        <f>EJ111*VLOOKUP('Données projet'!$B$15,Paramètres!$A$1:$I$89,3,0)*VLOOKUP('Données projet'!$B$15,Paramètres!$A$1:$I$89,5,0)</f>
        <v>-3.4317508834647017E-13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207.93042467236967</v>
      </c>
      <c r="EP111" s="59">
        <f t="shared" si="100"/>
        <v>250.70954318710835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0.58701233392544838</v>
      </c>
      <c r="EW111" s="21">
        <f>EXP(-LN(2)/25)*EW110+(1-EXP(-LN(2)/25))/(LN(2)/25)*Calculateur!ER111*Calculateur!ET111*VLOOKUP('Données projet'!$B$15,Paramètres!$A$1:$I$89,3,0)*0.475*44/12</f>
        <v>1.9900025882174774</v>
      </c>
      <c r="EX111" s="21">
        <f>EXP(-LN(2)/2)*EX110+(1-EXP(-LN(2)/2))/(LN(2)/2)*ER111*EU111*VLOOKUP('Données projet'!$B$15,Paramètres!$A$1:$I$89,3,0)*0.475*44/12</f>
        <v>3.6867650761203522E-11</v>
      </c>
      <c r="EY111" s="22">
        <f t="shared" si="75"/>
        <v>2.5770149221797936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6.9935897435897401</v>
      </c>
      <c r="FE111" s="12">
        <f>IF('Données projet'!$A$218&gt;35,FE110+FD111-FM110,IF(A111&lt;'Données projet'!$A$218,$FB$205^A111,IF(A111='Données projet'!$A$218,'Données projet'!$B$218,FE110+FD111-FM110)))</f>
        <v>333.17307692307708</v>
      </c>
      <c r="FF111" s="17">
        <f>FE111*VLOOKUP('Données projet'!$B$16,Paramètres!$A$1:$I$89,3,0)*VLOOKUP('Données projet'!$B$16,Paramètres!$A$1:$I$89,5,0)</f>
        <v>358.62750000000011</v>
      </c>
      <c r="FG111" s="13">
        <f t="shared" si="101"/>
        <v>83.336477558876226</v>
      </c>
      <c r="FH111" s="20">
        <f t="shared" si="76"/>
        <v>769.75392758170949</v>
      </c>
      <c r="FI111" s="59">
        <f t="shared" si="77"/>
        <v>1063.0872609150429</v>
      </c>
      <c r="FJ111" s="59">
        <f ca="1">AVERAGE(OFFSET($FI$3,0,0,'Données projet'!$E$16+1,1))-AVERAGE(OFFSET($H$3,0,0,'Données projet'!$E$16+1,1))</f>
        <v>286.77702855541287</v>
      </c>
      <c r="FK111" s="59">
        <f t="shared" si="102"/>
        <v>227.12211541860779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0</v>
      </c>
      <c r="FR111" s="21">
        <f>EXP(-LN(2)/25)*FR110+(1-EXP(-LN(2)/25))/(LN(2)/25)*Calculateur!FM111*Calculateur!FO111*VLOOKUP('Données projet'!$B$16,Paramètres!$A$1:$I$89,3,0)*0.475*44/12</f>
        <v>0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0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7.882692307692305</v>
      </c>
      <c r="FZ111" s="12">
        <f>IF('Données projet'!$A$244&gt;35,FZ110+FY111-GH110,IF(A111&lt;'Données projet'!$A$244,$FW$205^A111,IF(A111='Données projet'!$A$244,'Données projet'!$B$244,FZ110+FY111-GH110)))</f>
        <v>405.31730769230785</v>
      </c>
      <c r="GA111" s="17">
        <f>FZ111*VLOOKUP('Données projet'!$B$17,Paramètres!$A$1:$I$89,3,0)*VLOOKUP('Données projet'!$B$17,Paramètres!$A$1:$I$89,5,0)</f>
        <v>189.68850000000006</v>
      </c>
      <c r="GB111" s="13">
        <f t="shared" si="103"/>
        <v>47.471078048734064</v>
      </c>
      <c r="GC111" s="20">
        <f t="shared" si="79"/>
        <v>413.05293176821192</v>
      </c>
      <c r="GD111" s="59">
        <f t="shared" si="80"/>
        <v>706.38626510154518</v>
      </c>
      <c r="GE111" s="59">
        <f ca="1">AVERAGE(OFFSET($GD$3,0,0,'Données projet'!$E$17+1,1))-AVERAGE(OFFSET($H$3,0,0,'Données projet'!$E$17+1,1))</f>
        <v>123.2823358462245</v>
      </c>
      <c r="GF111" s="59">
        <f t="shared" si="104"/>
        <v>92.75115399786057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0</v>
      </c>
      <c r="GM111" s="21">
        <f>EXP(-LN(2)/25)*GM110+(1-EXP(-LN(2)/25))/(LN(2)/25)*Calculateur!GH111*Calculateur!GJ111*VLOOKUP('Données projet'!$B$17,Paramètres!$A$1:$I$89,3,0)*0.475*44/12</f>
        <v>0</v>
      </c>
      <c r="GN111" s="21">
        <f>EXP(-LN(2)/2)*GN110+(1-EXP(-LN(2)/2))/(LN(2)/2)*GH111*GK111*VLOOKUP('Données projet'!$B$17,Paramètres!$A$1:$I$89,3,0)*0.475*44/12</f>
        <v>0</v>
      </c>
      <c r="GO111" s="21">
        <f t="shared" si="81"/>
        <v>0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-2.8421709430404007E-13</v>
      </c>
      <c r="GV111" s="17">
        <f>GU111*VLOOKUP('Données projet'!$B$18,Paramètres!$A$1:$I$89,3,0)*VLOOKUP('Données projet'!$B$18,Paramètres!$A$1:$I$89,5,0)</f>
        <v>-1.69961822393816E-13</v>
      </c>
      <c r="GW111" s="13" t="e">
        <f t="shared" si="105"/>
        <v>#NUM!</v>
      </c>
      <c r="GX111" s="20" t="e">
        <f t="shared" si="82"/>
        <v>#NUM!</v>
      </c>
      <c r="GY111" s="59" t="e">
        <f t="shared" si="83"/>
        <v>#NUM!</v>
      </c>
      <c r="GZ111" s="59">
        <f ca="1">AVERAGE(OFFSET($GY$3,0,0,'Données projet'!$E$18+1,1))-AVERAGE(OFFSET($H$3,0,0,'Données projet'!$E$18+1,1))</f>
        <v>171.96009656745713</v>
      </c>
      <c r="HA111" s="59">
        <f t="shared" si="106"/>
        <v>172.37574906747716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>
        <f>EXP(-LN(2)/35)*HG110+(1-EXP(-LN(2)/35))/(LN(2)/35)*HC111*HD111*VLOOKUP('Données projet'!$B$18,Paramètres!$A$1:$I$89,3,0)*0.475*44/12</f>
        <v>0.35591181599639871</v>
      </c>
      <c r="HH111" s="21">
        <f>EXP(-LN(2)/25)*HH110+(1-EXP(-LN(2)/25))/(LN(2)/25)*Calculateur!HC111*Calculateur!HE111*VLOOKUP('Données projet'!$B$18,Paramètres!$A$1:$I$89,3,0)*0.475*44/12</f>
        <v>2.3645338009234633</v>
      </c>
      <c r="HI111" s="21">
        <f>EXP(-LN(2)/2)*HI110+(1-EXP(-LN(2)/2))/(LN(2)/2)*HC111*HF111*VLOOKUP('Données projet'!$B$18,Paramètres!$A$1:$I$89,3,0)*0.475*44/12</f>
        <v>2.1909038477544841E-11</v>
      </c>
      <c r="HJ111" s="22">
        <f t="shared" si="84"/>
        <v>2.7204456169417712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-2.2737367544323206E-13</v>
      </c>
      <c r="O112" s="13">
        <f>N112*VLOOKUP('Données projet'!$B$9,Paramètres!$A$1:$I$89,3,0)*VLOOKUP('Données projet'!$B$9,Paramètres!$A$1:$I$89,5,0)</f>
        <v>-1.2710188457276673E-13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255.5374979188561</v>
      </c>
      <c r="T112" s="59">
        <f t="shared" si="88"/>
        <v>343.10418468620901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0.64639280819205136</v>
      </c>
      <c r="AA112" s="21">
        <f>EXP(-LN(2)/25)*AA111+(1-EXP(-LN(2)/25))/(LN(2)/25)*Calculateur!V112*Calculateur!X112*VLOOKUP('Données projet'!$B$9,Paramètres!$A$1:$I$89,3,0)*0.475*44/12</f>
        <v>1.7856040075121205</v>
      </c>
      <c r="AB112" s="21">
        <f>EXP(-LN(2)/2)*AB111+(1-EXP(-LN(2)/2))/(LN(2)/2)*V112*Y112*VLOOKUP('Données projet'!$B$9,Paramètres!$A$1:$I$89,3,0)*0.475*44/12</f>
        <v>2.1771225211914151E-12</v>
      </c>
      <c r="AC112" s="22">
        <f t="shared" si="57"/>
        <v>2.4319968157063485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3.4106051316484809E-13</v>
      </c>
      <c r="AJ112" s="13">
        <f>AI112*VLOOKUP('Données projet'!$B$10,Paramètres!$A$1:$I$89,3,0)*VLOOKUP('Données projet'!$B$10,Paramètres!$A$1:$I$89,5,0)</f>
        <v>1.5961632016114892E-13</v>
      </c>
      <c r="AK112" s="13">
        <f t="shared" si="89"/>
        <v>2.2708641912150958E-12</v>
      </c>
      <c r="AL112" s="20">
        <f t="shared" si="58"/>
        <v>4.2330868906469593E-12</v>
      </c>
      <c r="AM112" s="59">
        <f t="shared" si="59"/>
        <v>293.33333333333752</v>
      </c>
      <c r="AN112" s="59">
        <f ca="1">AVERAGE(OFFSET($AM$3,0,0,'Données projet'!$E$10+1,1))-AVERAGE(OFFSET($H$3,0,0,'Données projet'!$E$10+1,1))</f>
        <v>158.58786357608489</v>
      </c>
      <c r="AO112" s="59">
        <f t="shared" si="90"/>
        <v>163.20074068819849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0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-1.7053025658242404E-13</v>
      </c>
      <c r="BE112" s="13">
        <f>BD112*VLOOKUP('Données projet'!$B$11,Paramètres!$A$1:$I$89,3,0)*VLOOKUP('Données projet'!$B$11,Paramètres!$A$1:$I$89,5,0)</f>
        <v>-1.0197709343628959E-13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243.85350804244348</v>
      </c>
      <c r="BJ112" s="59">
        <f t="shared" si="92"/>
        <v>304.60992308960545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0.94674086184389039</v>
      </c>
      <c r="BQ112" s="21">
        <f>EXP(-LN(2)/25)*BQ111+(1-EXP(-LN(2)/25))/(LN(2)/25)*Calculateur!BL112*Calculateur!BN112*VLOOKUP('Données projet'!$B$11,Paramètres!$A$1:$I$89,3,0)*0.475*44/12</f>
        <v>1.9834763322403564</v>
      </c>
      <c r="BR112" s="21">
        <f>EXP(-LN(2)/2)*BR111+(1-EXP(-LN(2)/2))/(LN(2)/2)*BL112*BO112*VLOOKUP('Données projet'!$B$11,Paramètres!$A$1:$I$89,3,0)*0.475*44/12</f>
        <v>4.8081807600197089E-12</v>
      </c>
      <c r="BS112" s="22">
        <f t="shared" si="63"/>
        <v>2.9302171940890549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497</v>
      </c>
      <c r="BZ112" s="13">
        <f>BY112*VLOOKUP('Données projet'!$B$12,Paramètres!$A$1:$I$89,3,0)*VLOOKUP('Données projet'!$B$12,Paramètres!$A$1:$I$89,5,0)</f>
        <v>297.20600000000002</v>
      </c>
      <c r="CA112" s="13">
        <f t="shared" si="93"/>
        <v>70.590415164571112</v>
      </c>
      <c r="CB112" s="20">
        <f t="shared" si="64"/>
        <v>640.57875641162809</v>
      </c>
      <c r="CC112" s="59">
        <f t="shared" si="65"/>
        <v>933.91208974496135</v>
      </c>
      <c r="CD112" s="59">
        <f ca="1">AVERAGE(OFFSET($CC$3,0,0,'Données projet'!$E$12+1,1))-AVERAGE(OFFSET($H$3,0,0,'Données projet'!$E$12+1,1))</f>
        <v>270.30888762640245</v>
      </c>
      <c r="CE112" s="59">
        <f t="shared" si="94"/>
        <v>202.23783851977691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0.44804909050547298</v>
      </c>
      <c r="CL112" s="21">
        <f>EXP(-LN(2)/25)*CL111+(1-EXP(-LN(2)/25))/(LN(2)/25)*Calculateur!CG112*Calculateur!CI112*VLOOKUP('Données projet'!$B$12,Paramètres!$A$1:$I$89,3,0)*0.475*44/12</f>
        <v>1.3755649458042454</v>
      </c>
      <c r="CM112" s="21">
        <f>EXP(-LN(2)/2)*CM111+(1-EXP(-LN(2)/2))/(LN(2)/2)*CG112*CJ112*VLOOKUP('Données projet'!$B$12,Paramètres!$A$1:$I$89,3,0)*0.475*44/12</f>
        <v>2.3785558247830101E-11</v>
      </c>
      <c r="CN112" s="22">
        <f t="shared" si="66"/>
        <v>1.8236140363335041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-5.1159076974727213E-13</v>
      </c>
      <c r="CU112" s="17">
        <f>CT112*VLOOKUP('Données projet'!$B$13,Paramètres!$A$1:$I$89,3,0)*VLOOKUP('Données projet'!$B$13,Paramètres!$A$1:$I$89,5,0)</f>
        <v>-4.0702161641092972E-13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260.20517190557814</v>
      </c>
      <c r="CZ112" s="59">
        <f t="shared" si="96"/>
        <v>307.22009971147133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0.68257140430386931</v>
      </c>
      <c r="DG112" s="21">
        <f>EXP(-LN(2)/25)*DG111+(1-EXP(-LN(2)/25))/(LN(2)/25)*Calculateur!DB112*Calculateur!DD112*VLOOKUP('Données projet'!$B$13,Paramètres!$A$1:$I$89,3,0)*0.475*44/12</f>
        <v>2.2956948605219063</v>
      </c>
      <c r="DH112" s="21">
        <f>EXP(-LN(2)/2)*DH111+(1-EXP(-LN(2)/2))/(LN(2)/2)*DB112*DE112*VLOOKUP('Données projet'!$B$13,Paramètres!$A$1:$I$89,3,0)*0.475*44/12</f>
        <v>3.0919480438206605E-11</v>
      </c>
      <c r="DI112" s="22">
        <f t="shared" si="69"/>
        <v>2.9782662648566949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>
        <f>VLOOKUP(A112,'Données projet'!$A$165:$I$185,2,0)</f>
        <v>340.16666666666663</v>
      </c>
      <c r="DM112" s="12">
        <f>VLOOKUP(A112,'Données projet'!$A$165:$I$185,9,0)</f>
        <v>6.9935897435897401</v>
      </c>
      <c r="DN112" s="12">
        <f t="array" ref="DN112">INDEX(DM:DM,MIN(IF(ISNUMBER(DM112:DM308),ROW(DM112:DM308),"")))</f>
        <v>6.9935897435897401</v>
      </c>
      <c r="DO112" s="12">
        <f>IF('Données projet'!$A$166&gt;35,DO111+DN112-DW111,IF(A112&lt;'Données projet'!$A$166,$DL$205^A112,IF(A112='Données projet'!$A$166,'Données projet'!$B$166,DO111+DN112-DW111)))</f>
        <v>340.1666666666668</v>
      </c>
      <c r="DP112" s="17">
        <f>DO112*VLOOKUP('Données projet'!$B$14,Paramètres!$A$1:$I$89,3,0)*VLOOKUP('Données projet'!$B$14,Paramètres!$A$1:$I$89,5,0)</f>
        <v>344.92900000000014</v>
      </c>
      <c r="DQ112" s="13">
        <f t="shared" si="97"/>
        <v>80.517454407251549</v>
      </c>
      <c r="DR112" s="20">
        <f t="shared" si="70"/>
        <v>740.98590809262998</v>
      </c>
      <c r="DS112" s="59">
        <f t="shared" si="71"/>
        <v>1034.3192414259634</v>
      </c>
      <c r="DT112" s="59">
        <f ca="1">AVERAGE(OFFSET($DS$3,0,0,'Données projet'!$E$14+1,1))-AVERAGE(OFFSET($H$3,0,0,'Données projet'!$E$14+1,1))</f>
        <v>263.15518481854753</v>
      </c>
      <c r="DU112" s="59">
        <f t="shared" si="98"/>
        <v>210.80755370263819</v>
      </c>
      <c r="DV112" s="15">
        <f>IF(ISNA(VLOOKUP(A112,'Données projet'!$A$165:$I$185,3,0)),0,VLOOKUP(A112,'Données projet'!$A$165:$I$185,3,0))</f>
        <v>10</v>
      </c>
      <c r="DW112" s="15">
        <f>IF(ISNA(VLOOKUP(A112,'Données projet'!$A$165:$I$185,4,0)),0,VLOOKUP(A112,'Données projet'!$A$165:$I$185,4,0))</f>
        <v>51.28846153846154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0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-5.1159076974727213E-13</v>
      </c>
      <c r="EK112" s="17">
        <f>EJ112*VLOOKUP('Données projet'!$B$15,Paramètres!$A$1:$I$89,3,0)*VLOOKUP('Données projet'!$B$15,Paramètres!$A$1:$I$89,5,0)</f>
        <v>-3.4317508834647017E-13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207.93042467236967</v>
      </c>
      <c r="EP112" s="59">
        <f t="shared" si="100"/>
        <v>250.70954318710835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0.57550138009934027</v>
      </c>
      <c r="EW112" s="21">
        <f>EXP(-LN(2)/25)*EW111+(1-EXP(-LN(2)/25))/(LN(2)/25)*Calculateur!ER112*Calculateur!ET112*VLOOKUP('Données projet'!$B$15,Paramètres!$A$1:$I$89,3,0)*0.475*44/12</f>
        <v>1.9355858627929827</v>
      </c>
      <c r="EX112" s="21">
        <f>EXP(-LN(2)/2)*EX111+(1-EXP(-LN(2)/2))/(LN(2)/2)*ER112*EU112*VLOOKUP('Données projet'!$B$15,Paramètres!$A$1:$I$89,3,0)*0.475*44/12</f>
        <v>2.6069365859664391E-11</v>
      </c>
      <c r="EY112" s="22">
        <f t="shared" si="75"/>
        <v>2.5110872429183924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>
        <f>VLOOKUP(A112,'Données projet'!$A$217:$I$237,2,0)</f>
        <v>340.16666666666663</v>
      </c>
      <c r="FC112" s="12">
        <f>VLOOKUP(A112,'Données projet'!$A$217:$I$237,9,0)</f>
        <v>6.9935897435897401</v>
      </c>
      <c r="FD112" s="12">
        <f t="array" ref="FD112">INDEX(FC:FC,MIN(IF(ISNUMBER(FC112:FC308),ROW(FC112:FC308),"")))</f>
        <v>6.9935897435897401</v>
      </c>
      <c r="FE112" s="12">
        <f>IF('Données projet'!$A$218&gt;35,FE111+FD112-FM111,IF(A112&lt;'Données projet'!$A$218,$FB$205^A112,IF(A112='Données projet'!$A$218,'Données projet'!$B$218,FE111+FD112-FM111)))</f>
        <v>340.1666666666668</v>
      </c>
      <c r="FF112" s="17">
        <f>FE112*VLOOKUP('Données projet'!$B$16,Paramètres!$A$1:$I$89,3,0)*VLOOKUP('Données projet'!$B$16,Paramètres!$A$1:$I$89,5,0)</f>
        <v>366.1554000000001</v>
      </c>
      <c r="FG112" s="13">
        <f t="shared" si="101"/>
        <v>84.880289214902177</v>
      </c>
      <c r="FH112" s="20">
        <f t="shared" si="76"/>
        <v>785.55382538262154</v>
      </c>
      <c r="FI112" s="59">
        <f t="shared" si="77"/>
        <v>1078.8871587159549</v>
      </c>
      <c r="FJ112" s="59">
        <f ca="1">AVERAGE(OFFSET($FI$3,0,0,'Données projet'!$E$16+1,1))-AVERAGE(OFFSET($H$3,0,0,'Données projet'!$E$16+1,1))</f>
        <v>286.77702855541287</v>
      </c>
      <c r="FK112" s="59">
        <f t="shared" si="102"/>
        <v>227.12211541860779</v>
      </c>
      <c r="FL112" s="15">
        <f>IF(ISNA(VLOOKUP(A112,'Données projet'!$A$217:$I$237,3,0)),0,VLOOKUP(A112,'Données projet'!$A$217:$I$237,3,0))</f>
        <v>10</v>
      </c>
      <c r="FM112" s="15">
        <f>IF(ISNA(VLOOKUP(A112,'Données projet'!$A$217:$I$237,4,0)),0,VLOOKUP(A112,'Données projet'!$A$217:$I$237,4,0))</f>
        <v>51.28846153846154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0</v>
      </c>
      <c r="FR112" s="21">
        <f>EXP(-LN(2)/25)*FR111+(1-EXP(-LN(2)/25))/(LN(2)/25)*Calculateur!FM112*Calculateur!FO112*VLOOKUP('Données projet'!$B$16,Paramètres!$A$1:$I$89,3,0)*0.475*44/12</f>
        <v>0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0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>
        <f>VLOOKUP(A112,'Données projet'!$A$243:$I$263,2,0)</f>
        <v>413.2</v>
      </c>
      <c r="FX112" s="12">
        <f>VLOOKUP(A112,'Données projet'!$A$243:$I$263,9,0)</f>
        <v>7.882692307692305</v>
      </c>
      <c r="FY112" s="12">
        <f t="array" ref="FY112">INDEX(FX:FX,MIN(IF(ISNUMBER(FX112:FX308),ROW(FX112:FX308),"")))</f>
        <v>7.882692307692305</v>
      </c>
      <c r="FZ112" s="12">
        <f>IF('Données projet'!$A$244&gt;35,FZ111+FY112-GH111,IF(A112&lt;'Données projet'!$A$244,$FW$205^A112,IF(A112='Données projet'!$A$244,'Données projet'!$B$244,FZ111+FY112-GH111)))</f>
        <v>413.20000000000016</v>
      </c>
      <c r="GA112" s="17">
        <f>FZ112*VLOOKUP('Données projet'!$B$17,Paramètres!$A$1:$I$89,3,0)*VLOOKUP('Données projet'!$B$17,Paramètres!$A$1:$I$89,5,0)</f>
        <v>193.37760000000006</v>
      </c>
      <c r="GB112" s="13">
        <f t="shared" si="103"/>
        <v>48.285924733018277</v>
      </c>
      <c r="GC112" s="20">
        <f t="shared" si="79"/>
        <v>420.89730557667355</v>
      </c>
      <c r="GD112" s="59">
        <f t="shared" si="80"/>
        <v>714.23063891000686</v>
      </c>
      <c r="GE112" s="59">
        <f ca="1">AVERAGE(OFFSET($GD$3,0,0,'Données projet'!$E$17+1,1))-AVERAGE(OFFSET($H$3,0,0,'Données projet'!$E$17+1,1))</f>
        <v>123.2823358462245</v>
      </c>
      <c r="GF112" s="59">
        <f t="shared" si="104"/>
        <v>92.75115399786057</v>
      </c>
      <c r="GG112" s="15">
        <f>IF(ISNA(VLOOKUP(A112,'Données projet'!$A$243:$I$263,3,0)),0,VLOOKUP(A112,'Données projet'!$A$243:$I$263,3,0))</f>
        <v>6</v>
      </c>
      <c r="GH112" s="15">
        <f>IF(ISNA(VLOOKUP(A112,'Données projet'!$A$243:$I$263,4,0)),0,VLOOKUP(A112,'Données projet'!$A$243:$I$263,4,0))</f>
        <v>80.653846153846146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0</v>
      </c>
      <c r="GM112" s="21">
        <f>EXP(-LN(2)/25)*GM111+(1-EXP(-LN(2)/25))/(LN(2)/25)*Calculateur!GH112*Calculateur!GJ112*VLOOKUP('Données projet'!$B$17,Paramètres!$A$1:$I$89,3,0)*0.475*44/12</f>
        <v>0</v>
      </c>
      <c r="GN112" s="21">
        <f>EXP(-LN(2)/2)*GN111+(1-EXP(-LN(2)/2))/(LN(2)/2)*GH112*GK112*VLOOKUP('Données projet'!$B$17,Paramètres!$A$1:$I$89,3,0)*0.475*44/12</f>
        <v>0</v>
      </c>
      <c r="GO112" s="21">
        <f t="shared" si="81"/>
        <v>0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-2.8421709430404007E-13</v>
      </c>
      <c r="GV112" s="17">
        <f>GU112*VLOOKUP('Données projet'!$B$18,Paramètres!$A$1:$I$89,3,0)*VLOOKUP('Données projet'!$B$18,Paramètres!$A$1:$I$89,5,0)</f>
        <v>-1.69961822393816E-13</v>
      </c>
      <c r="GW112" s="13" t="e">
        <f t="shared" si="105"/>
        <v>#NUM!</v>
      </c>
      <c r="GX112" s="20" t="e">
        <f t="shared" si="82"/>
        <v>#NUM!</v>
      </c>
      <c r="GY112" s="59" t="e">
        <f t="shared" si="83"/>
        <v>#NUM!</v>
      </c>
      <c r="GZ112" s="59">
        <f ca="1">AVERAGE(OFFSET($GY$3,0,0,'Données projet'!$E$18+1,1))-AVERAGE(OFFSET($H$3,0,0,'Données projet'!$E$18+1,1))</f>
        <v>171.96009656745713</v>
      </c>
      <c r="HA112" s="59">
        <f t="shared" si="106"/>
        <v>172.37574906747716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>
        <f>EXP(-LN(2)/35)*HG111+(1-EXP(-LN(2)/35))/(LN(2)/35)*HC112*HD112*VLOOKUP('Données projet'!$B$18,Paramètres!$A$1:$I$89,3,0)*0.475*44/12</f>
        <v>0.34893260236948176</v>
      </c>
      <c r="HH112" s="21">
        <f>EXP(-LN(2)/25)*HH111+(1-EXP(-LN(2)/25))/(LN(2)/25)*Calculateur!HC112*Calculateur!HE112*VLOOKUP('Données projet'!$B$18,Paramètres!$A$1:$I$89,3,0)*0.475*44/12</f>
        <v>2.2998754997917827</v>
      </c>
      <c r="HI112" s="21">
        <f>EXP(-LN(2)/2)*HI111+(1-EXP(-LN(2)/2))/(LN(2)/2)*HC112*HF112*VLOOKUP('Données projet'!$B$18,Paramètres!$A$1:$I$89,3,0)*0.475*44/12</f>
        <v>1.549202967674895E-11</v>
      </c>
      <c r="HJ112" s="22">
        <f t="shared" si="84"/>
        <v>2.6488081021767567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-2.2737367544323206E-13</v>
      </c>
      <c r="O113" s="13">
        <f>N113*VLOOKUP('Données projet'!$B$9,Paramètres!$A$1:$I$89,3,0)*VLOOKUP('Données projet'!$B$9,Paramètres!$A$1:$I$89,5,0)</f>
        <v>-1.2710188457276673E-13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255.5374979188561</v>
      </c>
      <c r="T113" s="59">
        <f t="shared" si="88"/>
        <v>343.10418468620901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0.63371743948408821</v>
      </c>
      <c r="AA113" s="21">
        <f>EXP(-LN(2)/25)*AA112+(1-EXP(-LN(2)/25))/(LN(2)/25)*Calculateur!V113*Calculateur!X113*VLOOKUP('Données projet'!$B$9,Paramètres!$A$1:$I$89,3,0)*0.475*44/12</f>
        <v>1.7367765720258679</v>
      </c>
      <c r="AB113" s="21">
        <f>EXP(-LN(2)/2)*AB112+(1-EXP(-LN(2)/2))/(LN(2)/2)*V113*Y113*VLOOKUP('Données projet'!$B$9,Paramètres!$A$1:$I$89,3,0)*0.475*44/12</f>
        <v>1.5394580982084026E-12</v>
      </c>
      <c r="AC113" s="22">
        <f t="shared" si="57"/>
        <v>2.3704940115114956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3.4106051316484809E-13</v>
      </c>
      <c r="AJ113" s="13">
        <f>AI113*VLOOKUP('Données projet'!$B$10,Paramètres!$A$1:$I$89,3,0)*VLOOKUP('Données projet'!$B$10,Paramètres!$A$1:$I$89,5,0)</f>
        <v>1.5961632016114892E-13</v>
      </c>
      <c r="AK113" s="13">
        <f t="shared" si="89"/>
        <v>2.2708641912150958E-12</v>
      </c>
      <c r="AL113" s="20">
        <f t="shared" si="58"/>
        <v>4.2330868906469593E-12</v>
      </c>
      <c r="AM113" s="59">
        <f t="shared" si="59"/>
        <v>293.33333333333752</v>
      </c>
      <c r="AN113" s="59">
        <f ca="1">AVERAGE(OFFSET($AM$3,0,0,'Données projet'!$E$10+1,1))-AVERAGE(OFFSET($H$3,0,0,'Données projet'!$E$10+1,1))</f>
        <v>158.58786357608489</v>
      </c>
      <c r="AO113" s="59">
        <f t="shared" si="90"/>
        <v>163.20074068819849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0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-1.7053025658242404E-13</v>
      </c>
      <c r="BE113" s="13">
        <f>BD113*VLOOKUP('Données projet'!$B$11,Paramètres!$A$1:$I$89,3,0)*VLOOKUP('Données projet'!$B$11,Paramètres!$A$1:$I$89,5,0)</f>
        <v>-1.0197709343628959E-13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243.85350804244348</v>
      </c>
      <c r="BJ113" s="59">
        <f t="shared" si="92"/>
        <v>304.60992308960545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0.92817585099803845</v>
      </c>
      <c r="BQ113" s="21">
        <f>EXP(-LN(2)/25)*BQ112+(1-EXP(-LN(2)/25))/(LN(2)/25)*Calculateur!BL113*Calculateur!BN113*VLOOKUP('Données projet'!$B$11,Paramètres!$A$1:$I$89,3,0)*0.475*44/12</f>
        <v>1.9292380676287568</v>
      </c>
      <c r="BR113" s="21">
        <f>EXP(-LN(2)/2)*BR112+(1-EXP(-LN(2)/2))/(LN(2)/2)*BL113*BO113*VLOOKUP('Données projet'!$B$11,Paramètres!$A$1:$I$89,3,0)*0.475*44/12</f>
        <v>3.3998972205806241E-12</v>
      </c>
      <c r="BS113" s="22">
        <f t="shared" si="63"/>
        <v>2.8574139186301952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497</v>
      </c>
      <c r="BZ113" s="13">
        <f>BY113*VLOOKUP('Données projet'!$B$12,Paramètres!$A$1:$I$89,3,0)*VLOOKUP('Données projet'!$B$12,Paramètres!$A$1:$I$89,5,0)</f>
        <v>297.20600000000002</v>
      </c>
      <c r="CA113" s="13">
        <f t="shared" si="93"/>
        <v>70.590415164571112</v>
      </c>
      <c r="CB113" s="20">
        <f t="shared" si="64"/>
        <v>640.57875641162809</v>
      </c>
      <c r="CC113" s="59">
        <f t="shared" si="65"/>
        <v>933.91208974496135</v>
      </c>
      <c r="CD113" s="59">
        <f ca="1">AVERAGE(OFFSET($CC$3,0,0,'Données projet'!$E$12+1,1))-AVERAGE(OFFSET($H$3,0,0,'Données projet'!$E$12+1,1))</f>
        <v>270.30888762640245</v>
      </c>
      <c r="CE113" s="59">
        <f t="shared" si="94"/>
        <v>202.23783851977691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0.43926312112362143</v>
      </c>
      <c r="CL113" s="21">
        <f>EXP(-LN(2)/25)*CL112+(1-EXP(-LN(2)/25))/(LN(2)/25)*Calculateur!CG113*Calculateur!CI113*VLOOKUP('Données projet'!$B$12,Paramètres!$A$1:$I$89,3,0)*0.475*44/12</f>
        <v>1.3379500500234116</v>
      </c>
      <c r="CM113" s="21">
        <f>EXP(-LN(2)/2)*CM112+(1-EXP(-LN(2)/2))/(LN(2)/2)*CG113*CJ113*VLOOKUP('Données projet'!$B$12,Paramètres!$A$1:$I$89,3,0)*0.475*44/12</f>
        <v>1.681892953134828E-11</v>
      </c>
      <c r="CN113" s="22">
        <f t="shared" si="66"/>
        <v>1.7772131711638521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-5.1159076974727213E-13</v>
      </c>
      <c r="CU113" s="17">
        <f>CT113*VLOOKUP('Données projet'!$B$13,Paramètres!$A$1:$I$89,3,0)*VLOOKUP('Données projet'!$B$13,Paramètres!$A$1:$I$89,5,0)</f>
        <v>-4.0702161641092972E-13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260.20517190557814</v>
      </c>
      <c r="CZ113" s="59">
        <f t="shared" si="96"/>
        <v>307.22009971147133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0.66918659539291814</v>
      </c>
      <c r="DG113" s="21">
        <f>EXP(-LN(2)/25)*DG112+(1-EXP(-LN(2)/25))/(LN(2)/25)*Calculateur!DB113*Calculateur!DD113*VLOOKUP('Données projet'!$B$13,Paramètres!$A$1:$I$89,3,0)*0.475*44/12</f>
        <v>2.2329189638355889</v>
      </c>
      <c r="DH113" s="21">
        <f>EXP(-LN(2)/2)*DH112+(1-EXP(-LN(2)/2))/(LN(2)/2)*DB113*DE113*VLOOKUP('Données projet'!$B$13,Paramètres!$A$1:$I$89,3,0)*0.475*44/12</f>
        <v>2.1863374288620695E-11</v>
      </c>
      <c r="DI113" s="22">
        <f t="shared" si="69"/>
        <v>2.9021055592503702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6.8461538461538511</v>
      </c>
      <c r="DO113" s="12">
        <f>IF('Données projet'!$A$166&gt;35,DO112+DN113-DW112,IF(A113&lt;'Données projet'!$A$166,$DL$205^A113,IF(A113='Données projet'!$A$166,'Données projet'!$B$166,DO112+DN113-DW112)))</f>
        <v>295.72435897435912</v>
      </c>
      <c r="DP113" s="17">
        <f>DO113*VLOOKUP('Données projet'!$B$14,Paramètres!$A$1:$I$89,3,0)*VLOOKUP('Données projet'!$B$14,Paramètres!$A$1:$I$89,5,0)</f>
        <v>299.86450000000019</v>
      </c>
      <c r="DQ113" s="13">
        <f t="shared" si="97"/>
        <v>71.148056724241698</v>
      </c>
      <c r="DR113" s="20">
        <f t="shared" si="70"/>
        <v>646.18020296138786</v>
      </c>
      <c r="DS113" s="59">
        <f t="shared" si="71"/>
        <v>939.51353629472123</v>
      </c>
      <c r="DT113" s="59">
        <f ca="1">AVERAGE(OFFSET($DS$3,0,0,'Données projet'!$E$14+1,1))-AVERAGE(OFFSET($H$3,0,0,'Données projet'!$E$14+1,1))</f>
        <v>263.15518481854753</v>
      </c>
      <c r="DU113" s="59">
        <f t="shared" si="98"/>
        <v>210.80755370263819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0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-5.1159076974727213E-13</v>
      </c>
      <c r="EK113" s="17">
        <f>EJ113*VLOOKUP('Données projet'!$B$15,Paramètres!$A$1:$I$89,3,0)*VLOOKUP('Données projet'!$B$15,Paramètres!$A$1:$I$89,5,0)</f>
        <v>-3.4317508834647017E-13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207.93042467236967</v>
      </c>
      <c r="EP113" s="59">
        <f t="shared" si="100"/>
        <v>250.70954318710835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0.56421614905677364</v>
      </c>
      <c r="EW113" s="21">
        <f>EXP(-LN(2)/25)*EW112+(1-EXP(-LN(2)/25))/(LN(2)/25)*Calculateur!ER113*Calculateur!ET113*VLOOKUP('Données projet'!$B$15,Paramètres!$A$1:$I$89,3,0)*0.475*44/12</f>
        <v>1.882657165586872</v>
      </c>
      <c r="EX113" s="21">
        <f>EXP(-LN(2)/2)*EX112+(1-EXP(-LN(2)/2))/(LN(2)/2)*ER113*EU113*VLOOKUP('Données projet'!$B$15,Paramètres!$A$1:$I$89,3,0)*0.475*44/12</f>
        <v>1.8433825380601761E-11</v>
      </c>
      <c r="EY113" s="22">
        <f t="shared" si="75"/>
        <v>2.4468733146620791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6.8461538461538511</v>
      </c>
      <c r="FE113" s="12">
        <f>IF('Données projet'!$A$218&gt;35,FE112+FD113-FM112,IF(A113&lt;'Données projet'!$A$218,$FB$205^A113,IF(A113='Données projet'!$A$218,'Données projet'!$B$218,FE112+FD113-FM112)))</f>
        <v>295.72435897435912</v>
      </c>
      <c r="FF113" s="17">
        <f>FE113*VLOOKUP('Données projet'!$B$16,Paramètres!$A$1:$I$89,3,0)*VLOOKUP('Données projet'!$B$16,Paramètres!$A$1:$I$89,5,0)</f>
        <v>318.31770000000017</v>
      </c>
      <c r="FG113" s="13">
        <f t="shared" si="101"/>
        <v>75.003211120991622</v>
      </c>
      <c r="FH113" s="20">
        <f t="shared" si="76"/>
        <v>685.03392020239414</v>
      </c>
      <c r="FI113" s="59">
        <f t="shared" si="77"/>
        <v>978.36725353572751</v>
      </c>
      <c r="FJ113" s="59">
        <f ca="1">AVERAGE(OFFSET($FI$3,0,0,'Données projet'!$E$16+1,1))-AVERAGE(OFFSET($H$3,0,0,'Données projet'!$E$16+1,1))</f>
        <v>286.77702855541287</v>
      </c>
      <c r="FK113" s="59">
        <f t="shared" si="102"/>
        <v>227.12211541860779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0</v>
      </c>
      <c r="FR113" s="21">
        <f>EXP(-LN(2)/25)*FR112+(1-EXP(-LN(2)/25))/(LN(2)/25)*Calculateur!FM113*Calculateur!FO113*VLOOKUP('Données projet'!$B$16,Paramètres!$A$1:$I$89,3,0)*0.475*44/12</f>
        <v>0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0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7.0884615384615346</v>
      </c>
      <c r="FZ113" s="12">
        <f>IF('Données projet'!$A$244&gt;35,FZ112+FY113-GH112,IF(A113&lt;'Données projet'!$A$244,$FW$205^A113,IF(A113='Données projet'!$A$244,'Données projet'!$B$244,FZ112+FY113-GH112)))</f>
        <v>339.63461538461559</v>
      </c>
      <c r="GA113" s="17">
        <f>FZ113*VLOOKUP('Données projet'!$B$17,Paramètres!$A$1:$I$89,3,0)*VLOOKUP('Données projet'!$B$17,Paramètres!$A$1:$I$89,5,0)</f>
        <v>158.9490000000001</v>
      </c>
      <c r="GB113" s="13">
        <f t="shared" si="103"/>
        <v>40.605368573899611</v>
      </c>
      <c r="GC113" s="20">
        <f t="shared" si="79"/>
        <v>347.55719193287524</v>
      </c>
      <c r="GD113" s="59">
        <f t="shared" si="80"/>
        <v>640.89052526620856</v>
      </c>
      <c r="GE113" s="59">
        <f ca="1">AVERAGE(OFFSET($GD$3,0,0,'Données projet'!$E$17+1,1))-AVERAGE(OFFSET($H$3,0,0,'Données projet'!$E$17+1,1))</f>
        <v>123.2823358462245</v>
      </c>
      <c r="GF113" s="59">
        <f t="shared" si="104"/>
        <v>92.75115399786057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0</v>
      </c>
      <c r="GM113" s="21">
        <f>EXP(-LN(2)/25)*GM112+(1-EXP(-LN(2)/25))/(LN(2)/25)*Calculateur!GH113*Calculateur!GJ113*VLOOKUP('Données projet'!$B$17,Paramètres!$A$1:$I$89,3,0)*0.475*44/12</f>
        <v>0</v>
      </c>
      <c r="GN113" s="21">
        <f>EXP(-LN(2)/2)*GN112+(1-EXP(-LN(2)/2))/(LN(2)/2)*GH113*GK113*VLOOKUP('Données projet'!$B$17,Paramètres!$A$1:$I$89,3,0)*0.475*44/12</f>
        <v>0</v>
      </c>
      <c r="GO113" s="21">
        <f t="shared" si="81"/>
        <v>0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-2.8421709430404007E-13</v>
      </c>
      <c r="GV113" s="17">
        <f>GU113*VLOOKUP('Données projet'!$B$18,Paramètres!$A$1:$I$89,3,0)*VLOOKUP('Données projet'!$B$18,Paramètres!$A$1:$I$89,5,0)</f>
        <v>-1.69961822393816E-13</v>
      </c>
      <c r="GW113" s="13" t="e">
        <f t="shared" si="105"/>
        <v>#NUM!</v>
      </c>
      <c r="GX113" s="20" t="e">
        <f t="shared" si="82"/>
        <v>#NUM!</v>
      </c>
      <c r="GY113" s="59" t="e">
        <f t="shared" si="83"/>
        <v>#NUM!</v>
      </c>
      <c r="GZ113" s="59">
        <f ca="1">AVERAGE(OFFSET($GY$3,0,0,'Données projet'!$E$18+1,1))-AVERAGE(OFFSET($H$3,0,0,'Données projet'!$E$18+1,1))</f>
        <v>171.96009656745713</v>
      </c>
      <c r="HA113" s="59">
        <f t="shared" si="106"/>
        <v>172.37574906747716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>
        <f>EXP(-LN(2)/35)*HG112+(1-EXP(-LN(2)/35))/(LN(2)/35)*HC113*HD113*VLOOKUP('Données projet'!$B$18,Paramètres!$A$1:$I$89,3,0)*0.475*44/12</f>
        <v>0.34209024686488865</v>
      </c>
      <c r="HH113" s="21">
        <f>EXP(-LN(2)/25)*HH112+(1-EXP(-LN(2)/25))/(LN(2)/25)*Calculateur!HC113*Calculateur!HE113*VLOOKUP('Données projet'!$B$18,Paramètres!$A$1:$I$89,3,0)*0.475*44/12</f>
        <v>2.2369852833047803</v>
      </c>
      <c r="HI113" s="21">
        <f>EXP(-LN(2)/2)*HI112+(1-EXP(-LN(2)/2))/(LN(2)/2)*HC113*HF113*VLOOKUP('Données projet'!$B$18,Paramètres!$A$1:$I$89,3,0)*0.475*44/12</f>
        <v>1.095451923877242E-11</v>
      </c>
      <c r="HJ113" s="22">
        <f t="shared" si="84"/>
        <v>2.5790755301806234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-2.2737367544323206E-13</v>
      </c>
      <c r="O114" s="13">
        <f>N114*VLOOKUP('Données projet'!$B$9,Paramètres!$A$1:$I$89,3,0)*VLOOKUP('Données projet'!$B$9,Paramètres!$A$1:$I$89,5,0)</f>
        <v>-1.2710188457276673E-13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255.5374979188561</v>
      </c>
      <c r="T114" s="59">
        <f t="shared" si="88"/>
        <v>343.10418468620901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0.62129062702527671</v>
      </c>
      <c r="AA114" s="21">
        <f>EXP(-LN(2)/25)*AA113+(1-EXP(-LN(2)/25))/(LN(2)/25)*Calculateur!V114*Calculateur!X114*VLOOKUP('Données projet'!$B$9,Paramètres!$A$1:$I$89,3,0)*0.475*44/12</f>
        <v>1.6892843253307102</v>
      </c>
      <c r="AB114" s="21">
        <f>EXP(-LN(2)/2)*AB113+(1-EXP(-LN(2)/2))/(LN(2)/2)*V114*Y114*VLOOKUP('Données projet'!$B$9,Paramètres!$A$1:$I$89,3,0)*0.475*44/12</f>
        <v>1.0885612605957075E-12</v>
      </c>
      <c r="AC114" s="22">
        <f t="shared" si="57"/>
        <v>2.3105749523570753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3.4106051316484809E-13</v>
      </c>
      <c r="AJ114" s="13">
        <f>AI114*VLOOKUP('Données projet'!$B$10,Paramètres!$A$1:$I$89,3,0)*VLOOKUP('Données projet'!$B$10,Paramètres!$A$1:$I$89,5,0)</f>
        <v>1.5961632016114892E-13</v>
      </c>
      <c r="AK114" s="13">
        <f t="shared" si="89"/>
        <v>2.2708641912150958E-12</v>
      </c>
      <c r="AL114" s="20">
        <f t="shared" si="58"/>
        <v>4.2330868906469593E-12</v>
      </c>
      <c r="AM114" s="59">
        <f t="shared" si="59"/>
        <v>293.33333333333752</v>
      </c>
      <c r="AN114" s="59">
        <f ca="1">AVERAGE(OFFSET($AM$3,0,0,'Données projet'!$E$10+1,1))-AVERAGE(OFFSET($H$3,0,0,'Données projet'!$E$10+1,1))</f>
        <v>158.58786357608489</v>
      </c>
      <c r="AO114" s="59">
        <f t="shared" si="90"/>
        <v>163.20074068819849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0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-1.7053025658242404E-13</v>
      </c>
      <c r="BE114" s="13">
        <f>BD114*VLOOKUP('Données projet'!$B$11,Paramètres!$A$1:$I$89,3,0)*VLOOKUP('Données projet'!$B$11,Paramètres!$A$1:$I$89,5,0)</f>
        <v>-1.0197709343628959E-13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243.85350804244348</v>
      </c>
      <c r="BJ114" s="59">
        <f t="shared" si="92"/>
        <v>304.60992308960545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0.90997488869133525</v>
      </c>
      <c r="BQ114" s="21">
        <f>EXP(-LN(2)/25)*BQ113+(1-EXP(-LN(2)/25))/(LN(2)/25)*Calculateur!BL114*Calculateur!BN114*VLOOKUP('Données projet'!$B$11,Paramètres!$A$1:$I$89,3,0)*0.475*44/12</f>
        <v>1.8764829512152279</v>
      </c>
      <c r="BR114" s="21">
        <f>EXP(-LN(2)/2)*BR113+(1-EXP(-LN(2)/2))/(LN(2)/2)*BL114*BO114*VLOOKUP('Données projet'!$B$11,Paramètres!$A$1:$I$89,3,0)*0.475*44/12</f>
        <v>2.4040903800098544E-12</v>
      </c>
      <c r="BS114" s="22">
        <f t="shared" si="63"/>
        <v>2.7864578399089677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497</v>
      </c>
      <c r="BZ114" s="13">
        <f>BY114*VLOOKUP('Données projet'!$B$12,Paramètres!$A$1:$I$89,3,0)*VLOOKUP('Données projet'!$B$12,Paramètres!$A$1:$I$89,5,0)</f>
        <v>297.20600000000002</v>
      </c>
      <c r="CA114" s="13">
        <f t="shared" si="93"/>
        <v>70.590415164571112</v>
      </c>
      <c r="CB114" s="20">
        <f t="shared" si="64"/>
        <v>640.57875641162809</v>
      </c>
      <c r="CC114" s="59">
        <f t="shared" si="65"/>
        <v>933.91208974496135</v>
      </c>
      <c r="CD114" s="59">
        <f ca="1">AVERAGE(OFFSET($CC$3,0,0,'Données projet'!$E$12+1,1))-AVERAGE(OFFSET($H$3,0,0,'Données projet'!$E$12+1,1))</f>
        <v>270.30888762640245</v>
      </c>
      <c r="CE114" s="59">
        <f t="shared" si="94"/>
        <v>202.23783851977691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0.43064943924243582</v>
      </c>
      <c r="CL114" s="21">
        <f>EXP(-LN(2)/25)*CL113+(1-EXP(-LN(2)/25))/(LN(2)/25)*Calculateur!CG114*Calculateur!CI114*VLOOKUP('Données projet'!$B$12,Paramètres!$A$1:$I$89,3,0)*0.475*44/12</f>
        <v>1.3013637355457861</v>
      </c>
      <c r="CM114" s="21">
        <f>EXP(-LN(2)/2)*CM113+(1-EXP(-LN(2)/2))/(LN(2)/2)*CG114*CJ114*VLOOKUP('Données projet'!$B$12,Paramètres!$A$1:$I$89,3,0)*0.475*44/12</f>
        <v>1.189277912391505E-11</v>
      </c>
      <c r="CN114" s="22">
        <f t="shared" si="66"/>
        <v>1.7320131748001146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-5.1159076974727213E-13</v>
      </c>
      <c r="CU114" s="17">
        <f>CT114*VLOOKUP('Données projet'!$B$13,Paramètres!$A$1:$I$89,3,0)*VLOOKUP('Données projet'!$B$13,Paramètres!$A$1:$I$89,5,0)</f>
        <v>-4.0702161641092972E-13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260.20517190557814</v>
      </c>
      <c r="CZ114" s="59">
        <f t="shared" si="96"/>
        <v>307.22009971147133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0.65606425442078342</v>
      </c>
      <c r="DG114" s="21">
        <f>EXP(-LN(2)/25)*DG113+(1-EXP(-LN(2)/25))/(LN(2)/25)*Calculateur!DB114*Calculateur!DD114*VLOOKUP('Données projet'!$B$13,Paramètres!$A$1:$I$89,3,0)*0.475*44/12</f>
        <v>2.1718596773453998</v>
      </c>
      <c r="DH114" s="21">
        <f>EXP(-LN(2)/2)*DH113+(1-EXP(-LN(2)/2))/(LN(2)/2)*DB114*DE114*VLOOKUP('Données projet'!$B$13,Paramètres!$A$1:$I$89,3,0)*0.475*44/12</f>
        <v>1.5459740219103303E-11</v>
      </c>
      <c r="DI114" s="22">
        <f t="shared" si="69"/>
        <v>2.8279239317816427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6.8461538461538511</v>
      </c>
      <c r="DO114" s="12">
        <f>IF('Données projet'!$A$166&gt;35,DO113+DN114-DW113,IF(A114&lt;'Données projet'!$A$166,$DL$205^A114,IF(A114='Données projet'!$A$166,'Données projet'!$B$166,DO113+DN114-DW113)))</f>
        <v>302.57051282051299</v>
      </c>
      <c r="DP114" s="17">
        <f>DO114*VLOOKUP('Données projet'!$B$14,Paramètres!$A$1:$I$89,3,0)*VLOOKUP('Données projet'!$B$14,Paramètres!$A$1:$I$89,5,0)</f>
        <v>306.8065000000002</v>
      </c>
      <c r="DQ114" s="13">
        <f t="shared" si="97"/>
        <v>72.601498865270955</v>
      </c>
      <c r="DR114" s="20">
        <f t="shared" si="70"/>
        <v>660.80226469034722</v>
      </c>
      <c r="DS114" s="59">
        <f t="shared" si="71"/>
        <v>954.13559802368059</v>
      </c>
      <c r="DT114" s="59">
        <f ca="1">AVERAGE(OFFSET($DS$3,0,0,'Données projet'!$E$14+1,1))-AVERAGE(OFFSET($H$3,0,0,'Données projet'!$E$14+1,1))</f>
        <v>263.15518481854753</v>
      </c>
      <c r="DU114" s="59">
        <f t="shared" si="98"/>
        <v>210.80755370263819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0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-5.1159076974727213E-13</v>
      </c>
      <c r="EK114" s="17">
        <f>EJ114*VLOOKUP('Données projet'!$B$15,Paramètres!$A$1:$I$89,3,0)*VLOOKUP('Données projet'!$B$15,Paramètres!$A$1:$I$89,5,0)</f>
        <v>-3.4317508834647017E-13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207.93042467236967</v>
      </c>
      <c r="EP114" s="59">
        <f t="shared" si="100"/>
        <v>250.70954318710835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0.55315221451164043</v>
      </c>
      <c r="EW114" s="21">
        <f>EXP(-LN(2)/25)*EW113+(1-EXP(-LN(2)/25))/(LN(2)/25)*Calculateur!ER114*Calculateur!ET114*VLOOKUP('Données projet'!$B$15,Paramètres!$A$1:$I$89,3,0)*0.475*44/12</f>
        <v>1.8311758063892616</v>
      </c>
      <c r="EX114" s="21">
        <f>EXP(-LN(2)/2)*EX113+(1-EXP(-LN(2)/2))/(LN(2)/2)*ER114*EU114*VLOOKUP('Données projet'!$B$15,Paramètres!$A$1:$I$89,3,0)*0.475*44/12</f>
        <v>1.3034682929832196E-11</v>
      </c>
      <c r="EY114" s="22">
        <f t="shared" si="75"/>
        <v>2.3843280209139364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6.8461538461538511</v>
      </c>
      <c r="FE114" s="12">
        <f>IF('Données projet'!$A$218&gt;35,FE113+FD114-FM113,IF(A114&lt;'Données projet'!$A$218,$FB$205^A114,IF(A114='Données projet'!$A$218,'Données projet'!$B$218,FE113+FD114-FM113)))</f>
        <v>302.57051282051299</v>
      </c>
      <c r="FF114" s="17">
        <f>FE114*VLOOKUP('Données projet'!$B$16,Paramètres!$A$1:$I$89,3,0)*VLOOKUP('Données projet'!$B$16,Paramètres!$A$1:$I$89,5,0)</f>
        <v>325.68690000000015</v>
      </c>
      <c r="FG114" s="13">
        <f t="shared" si="101"/>
        <v>76.535407961985811</v>
      </c>
      <c r="FH114" s="20">
        <f t="shared" si="76"/>
        <v>700.5371863671254</v>
      </c>
      <c r="FI114" s="59">
        <f t="shared" si="77"/>
        <v>993.87051970045877</v>
      </c>
      <c r="FJ114" s="59">
        <f ca="1">AVERAGE(OFFSET($FI$3,0,0,'Données projet'!$E$16+1,1))-AVERAGE(OFFSET($H$3,0,0,'Données projet'!$E$16+1,1))</f>
        <v>286.77702855541287</v>
      </c>
      <c r="FK114" s="59">
        <f t="shared" si="102"/>
        <v>227.12211541860779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0</v>
      </c>
      <c r="FR114" s="21">
        <f>EXP(-LN(2)/25)*FR113+(1-EXP(-LN(2)/25))/(LN(2)/25)*Calculateur!FM114*Calculateur!FO114*VLOOKUP('Données projet'!$B$16,Paramètres!$A$1:$I$89,3,0)*0.475*44/12</f>
        <v>0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0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7.0884615384615346</v>
      </c>
      <c r="FZ114" s="12">
        <f>IF('Données projet'!$A$244&gt;35,FZ113+FY114-GH113,IF(A114&lt;'Données projet'!$A$244,$FW$205^A114,IF(A114='Données projet'!$A$244,'Données projet'!$B$244,FZ113+FY114-GH113)))</f>
        <v>346.72307692307714</v>
      </c>
      <c r="GA114" s="17">
        <f>FZ114*VLOOKUP('Données projet'!$B$17,Paramètres!$A$1:$I$89,3,0)*VLOOKUP('Données projet'!$B$17,Paramètres!$A$1:$I$89,5,0)</f>
        <v>162.26640000000009</v>
      </c>
      <c r="GB114" s="13">
        <f t="shared" si="103"/>
        <v>41.353289029019415</v>
      </c>
      <c r="GC114" s="20">
        <f t="shared" si="79"/>
        <v>354.63762505887559</v>
      </c>
      <c r="GD114" s="59">
        <f t="shared" si="80"/>
        <v>647.9709583922089</v>
      </c>
      <c r="GE114" s="59">
        <f ca="1">AVERAGE(OFFSET($GD$3,0,0,'Données projet'!$E$17+1,1))-AVERAGE(OFFSET($H$3,0,0,'Données projet'!$E$17+1,1))</f>
        <v>123.2823358462245</v>
      </c>
      <c r="GF114" s="59">
        <f t="shared" si="104"/>
        <v>92.75115399786057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0</v>
      </c>
      <c r="GM114" s="21">
        <f>EXP(-LN(2)/25)*GM113+(1-EXP(-LN(2)/25))/(LN(2)/25)*Calculateur!GH114*Calculateur!GJ114*VLOOKUP('Données projet'!$B$17,Paramètres!$A$1:$I$89,3,0)*0.475*44/12</f>
        <v>0</v>
      </c>
      <c r="GN114" s="21">
        <f>EXP(-LN(2)/2)*GN113+(1-EXP(-LN(2)/2))/(LN(2)/2)*GH114*GK114*VLOOKUP('Données projet'!$B$17,Paramètres!$A$1:$I$89,3,0)*0.475*44/12</f>
        <v>0</v>
      </c>
      <c r="GO114" s="21">
        <f t="shared" si="81"/>
        <v>0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-2.8421709430404007E-13</v>
      </c>
      <c r="GV114" s="17">
        <f>GU114*VLOOKUP('Données projet'!$B$18,Paramètres!$A$1:$I$89,3,0)*VLOOKUP('Données projet'!$B$18,Paramètres!$A$1:$I$89,5,0)</f>
        <v>-1.69961822393816E-13</v>
      </c>
      <c r="GW114" s="13" t="e">
        <f t="shared" si="105"/>
        <v>#NUM!</v>
      </c>
      <c r="GX114" s="20" t="e">
        <f t="shared" si="82"/>
        <v>#NUM!</v>
      </c>
      <c r="GY114" s="59" t="e">
        <f t="shared" si="83"/>
        <v>#NUM!</v>
      </c>
      <c r="GZ114" s="59">
        <f ca="1">AVERAGE(OFFSET($GY$3,0,0,'Données projet'!$E$18+1,1))-AVERAGE(OFFSET($H$3,0,0,'Données projet'!$E$18+1,1))</f>
        <v>171.96009656745713</v>
      </c>
      <c r="HA114" s="59">
        <f t="shared" si="106"/>
        <v>172.37574906747716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>
        <f>EXP(-LN(2)/35)*HG113+(1-EXP(-LN(2)/35))/(LN(2)/35)*HC114*HD114*VLOOKUP('Données projet'!$B$18,Paramètres!$A$1:$I$89,3,0)*0.475*44/12</f>
        <v>0.33538206577831586</v>
      </c>
      <c r="HH114" s="21">
        <f>EXP(-LN(2)/25)*HH113+(1-EXP(-LN(2)/25))/(LN(2)/25)*Calculateur!HC114*Calculateur!HE114*VLOOKUP('Données projet'!$B$18,Paramètres!$A$1:$I$89,3,0)*0.475*44/12</f>
        <v>2.1758148030948679</v>
      </c>
      <c r="HI114" s="21">
        <f>EXP(-LN(2)/2)*HI113+(1-EXP(-LN(2)/2))/(LN(2)/2)*HC114*HF114*VLOOKUP('Données projet'!$B$18,Paramètres!$A$1:$I$89,3,0)*0.475*44/12</f>
        <v>7.7460148383744749E-12</v>
      </c>
      <c r="HJ114" s="22">
        <f t="shared" si="84"/>
        <v>2.5111968688809294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-2.2737367544323206E-13</v>
      </c>
      <c r="O115" s="13">
        <f>N115*VLOOKUP('Données projet'!$B$9,Paramètres!$A$1:$I$89,3,0)*VLOOKUP('Données projet'!$B$9,Paramètres!$A$1:$I$89,5,0)</f>
        <v>-1.2710188457276673E-13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255.5374979188561</v>
      </c>
      <c r="T115" s="59">
        <f t="shared" si="88"/>
        <v>343.10418468620901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0.60910749677917531</v>
      </c>
      <c r="AA115" s="21">
        <f>EXP(-LN(2)/25)*AA114+(1-EXP(-LN(2)/25))/(LN(2)/25)*Calculateur!V115*Calculateur!X115*VLOOKUP('Données projet'!$B$9,Paramètres!$A$1:$I$89,3,0)*0.475*44/12</f>
        <v>1.6430907566189401</v>
      </c>
      <c r="AB115" s="21">
        <f>EXP(-LN(2)/2)*AB114+(1-EXP(-LN(2)/2))/(LN(2)/2)*V115*Y115*VLOOKUP('Données projet'!$B$9,Paramètres!$A$1:$I$89,3,0)*0.475*44/12</f>
        <v>7.6972904910420131E-13</v>
      </c>
      <c r="AC115" s="22">
        <f t="shared" si="57"/>
        <v>2.2521982533988849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3.4106051316484809E-13</v>
      </c>
      <c r="AJ115" s="13">
        <f>AI115*VLOOKUP('Données projet'!$B$10,Paramètres!$A$1:$I$89,3,0)*VLOOKUP('Données projet'!$B$10,Paramètres!$A$1:$I$89,5,0)</f>
        <v>1.5961632016114892E-13</v>
      </c>
      <c r="AK115" s="13">
        <f t="shared" si="89"/>
        <v>2.2708641912150958E-12</v>
      </c>
      <c r="AL115" s="20">
        <f t="shared" si="58"/>
        <v>4.2330868906469593E-12</v>
      </c>
      <c r="AM115" s="59">
        <f t="shared" si="59"/>
        <v>293.33333333333752</v>
      </c>
      <c r="AN115" s="59">
        <f ca="1">AVERAGE(OFFSET($AM$3,0,0,'Données projet'!$E$10+1,1))-AVERAGE(OFFSET($H$3,0,0,'Données projet'!$E$10+1,1))</f>
        <v>158.58786357608489</v>
      </c>
      <c r="AO115" s="59">
        <f t="shared" si="90"/>
        <v>163.20074068819849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0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-1.7053025658242404E-13</v>
      </c>
      <c r="BE115" s="13">
        <f>BD115*VLOOKUP('Données projet'!$B$11,Paramètres!$A$1:$I$89,3,0)*VLOOKUP('Données projet'!$B$11,Paramètres!$A$1:$I$89,5,0)</f>
        <v>-1.0197709343628959E-13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243.85350804244348</v>
      </c>
      <c r="BJ115" s="59">
        <f t="shared" si="92"/>
        <v>304.60992308960545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0.89213083615397559</v>
      </c>
      <c r="BQ115" s="21">
        <f>EXP(-LN(2)/25)*BQ114+(1-EXP(-LN(2)/25))/(LN(2)/25)*Calculateur!BL115*Calculateur!BN115*VLOOKUP('Données projet'!$B$11,Paramètres!$A$1:$I$89,3,0)*0.475*44/12</f>
        <v>1.8251704262342978</v>
      </c>
      <c r="BR115" s="21">
        <f>EXP(-LN(2)/2)*BR114+(1-EXP(-LN(2)/2))/(LN(2)/2)*BL115*BO115*VLOOKUP('Données projet'!$B$11,Paramètres!$A$1:$I$89,3,0)*0.475*44/12</f>
        <v>1.699948610290312E-12</v>
      </c>
      <c r="BS115" s="22">
        <f t="shared" si="63"/>
        <v>2.7173012623899733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497</v>
      </c>
      <c r="BZ115" s="13">
        <f>BY115*VLOOKUP('Données projet'!$B$12,Paramètres!$A$1:$I$89,3,0)*VLOOKUP('Données projet'!$B$12,Paramètres!$A$1:$I$89,5,0)</f>
        <v>297.20600000000002</v>
      </c>
      <c r="CA115" s="13">
        <f t="shared" si="93"/>
        <v>70.590415164571112</v>
      </c>
      <c r="CB115" s="20">
        <f t="shared" si="64"/>
        <v>640.57875641162809</v>
      </c>
      <c r="CC115" s="59">
        <f t="shared" si="65"/>
        <v>933.91208974496135</v>
      </c>
      <c r="CD115" s="59">
        <f ca="1">AVERAGE(OFFSET($CC$3,0,0,'Données projet'!$E$12+1,1))-AVERAGE(OFFSET($H$3,0,0,'Données projet'!$E$12+1,1))</f>
        <v>270.30888762640245</v>
      </c>
      <c r="CE115" s="59">
        <f t="shared" si="94"/>
        <v>202.23783851977691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0.42220466640911308</v>
      </c>
      <c r="CL115" s="21">
        <f>EXP(-LN(2)/25)*CL114+(1-EXP(-LN(2)/25))/(LN(2)/25)*Calculateur!CG115*Calculateur!CI115*VLOOKUP('Données projet'!$B$12,Paramètres!$A$1:$I$89,3,0)*0.475*44/12</f>
        <v>1.2657778757615421</v>
      </c>
      <c r="CM115" s="21">
        <f>EXP(-LN(2)/2)*CM114+(1-EXP(-LN(2)/2))/(LN(2)/2)*CG115*CJ115*VLOOKUP('Données projet'!$B$12,Paramètres!$A$1:$I$89,3,0)*0.475*44/12</f>
        <v>8.4094647656741399E-12</v>
      </c>
      <c r="CN115" s="22">
        <f t="shared" si="66"/>
        <v>1.6879825421790646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-5.1159076974727213E-13</v>
      </c>
      <c r="CU115" s="17">
        <f>CT115*VLOOKUP('Données projet'!$B$13,Paramètres!$A$1:$I$89,3,0)*VLOOKUP('Données projet'!$B$13,Paramètres!$A$1:$I$89,5,0)</f>
        <v>-4.0702161641092972E-13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260.20517190557814</v>
      </c>
      <c r="CZ115" s="59">
        <f t="shared" si="96"/>
        <v>307.22009971147133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0.64319923455127459</v>
      </c>
      <c r="DG115" s="21">
        <f>EXP(-LN(2)/25)*DG114+(1-EXP(-LN(2)/25))/(LN(2)/25)*Calculateur!DB115*Calculateur!DD115*VLOOKUP('Données projet'!$B$13,Paramètres!$A$1:$I$89,3,0)*0.475*44/12</f>
        <v>2.1124700602552533</v>
      </c>
      <c r="DH115" s="21">
        <f>EXP(-LN(2)/2)*DH114+(1-EXP(-LN(2)/2))/(LN(2)/2)*DB115*DE115*VLOOKUP('Données projet'!$B$13,Paramètres!$A$1:$I$89,3,0)*0.475*44/12</f>
        <v>1.0931687144310347E-11</v>
      </c>
      <c r="DI115" s="22">
        <f t="shared" si="69"/>
        <v>2.7556692948174595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6.8461538461538511</v>
      </c>
      <c r="DO115" s="12">
        <f>IF('Données projet'!$A$166&gt;35,DO114+DN115-DW114,IF(A115&lt;'Données projet'!$A$166,$DL$205^A115,IF(A115='Données projet'!$A$166,'Données projet'!$B$166,DO114+DN115-DW114)))</f>
        <v>309.41666666666686</v>
      </c>
      <c r="DP115" s="17">
        <f>DO115*VLOOKUP('Données projet'!$B$14,Paramètres!$A$1:$I$89,3,0)*VLOOKUP('Données projet'!$B$14,Paramètres!$A$1:$I$89,5,0)</f>
        <v>313.74850000000021</v>
      </c>
      <c r="DQ115" s="13">
        <f t="shared" si="97"/>
        <v>74.051117708153953</v>
      </c>
      <c r="DR115" s="20">
        <f t="shared" si="70"/>
        <v>675.41766750836848</v>
      </c>
      <c r="DS115" s="59">
        <f t="shared" si="71"/>
        <v>968.75100084170185</v>
      </c>
      <c r="DT115" s="59">
        <f ca="1">AVERAGE(OFFSET($DS$3,0,0,'Données projet'!$E$14+1,1))-AVERAGE(OFFSET($H$3,0,0,'Données projet'!$E$14+1,1))</f>
        <v>263.15518481854753</v>
      </c>
      <c r="DU115" s="59">
        <f t="shared" si="98"/>
        <v>210.80755370263819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0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-5.1159076974727213E-13</v>
      </c>
      <c r="EK115" s="17">
        <f>EJ115*VLOOKUP('Données projet'!$B$15,Paramètres!$A$1:$I$89,3,0)*VLOOKUP('Données projet'!$B$15,Paramètres!$A$1:$I$89,5,0)</f>
        <v>-3.4317508834647017E-13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207.93042467236967</v>
      </c>
      <c r="EP115" s="59">
        <f t="shared" si="100"/>
        <v>250.70954318710835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0.54230523697460353</v>
      </c>
      <c r="EW115" s="21">
        <f>EXP(-LN(2)/25)*EW114+(1-EXP(-LN(2)/25))/(LN(2)/25)*Calculateur!ER115*Calculateur!ET115*VLOOKUP('Données projet'!$B$15,Paramètres!$A$1:$I$89,3,0)*0.475*44/12</f>
        <v>1.7811022076661969</v>
      </c>
      <c r="EX115" s="21">
        <f>EXP(-LN(2)/2)*EX114+(1-EXP(-LN(2)/2))/(LN(2)/2)*ER115*EU115*VLOOKUP('Données projet'!$B$15,Paramètres!$A$1:$I$89,3,0)*0.475*44/12</f>
        <v>9.2169126903008805E-12</v>
      </c>
      <c r="EY115" s="22">
        <f t="shared" si="75"/>
        <v>2.3234074446500173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6.8461538461538511</v>
      </c>
      <c r="FE115" s="12">
        <f>IF('Données projet'!$A$218&gt;35,FE114+FD115-FM114,IF(A115&lt;'Données projet'!$A$218,$FB$205^A115,IF(A115='Données projet'!$A$218,'Données projet'!$B$218,FE114+FD115-FM114)))</f>
        <v>309.41666666666686</v>
      </c>
      <c r="FF115" s="17">
        <f>FE115*VLOOKUP('Données projet'!$B$16,Paramètres!$A$1:$I$89,3,0)*VLOOKUP('Données projet'!$B$16,Paramètres!$A$1:$I$89,5,0)</f>
        <v>333.05610000000019</v>
      </c>
      <c r="FG115" s="13">
        <f t="shared" si="101"/>
        <v>78.06357433958803</v>
      </c>
      <c r="FH115" s="20">
        <f t="shared" si="76"/>
        <v>716.03343280811612</v>
      </c>
      <c r="FI115" s="59">
        <f t="shared" si="77"/>
        <v>1009.3667661414495</v>
      </c>
      <c r="FJ115" s="59">
        <f ca="1">AVERAGE(OFFSET($FI$3,0,0,'Données projet'!$E$16+1,1))-AVERAGE(OFFSET($H$3,0,0,'Données projet'!$E$16+1,1))</f>
        <v>286.77702855541287</v>
      </c>
      <c r="FK115" s="59">
        <f t="shared" si="102"/>
        <v>227.12211541860779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0</v>
      </c>
      <c r="FR115" s="21">
        <f>EXP(-LN(2)/25)*FR114+(1-EXP(-LN(2)/25))/(LN(2)/25)*Calculateur!FM115*Calculateur!FO115*VLOOKUP('Données projet'!$B$16,Paramètres!$A$1:$I$89,3,0)*0.475*44/12</f>
        <v>0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0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7.0884615384615346</v>
      </c>
      <c r="FZ115" s="12">
        <f>IF('Données projet'!$A$244&gt;35,FZ114+FY115-GH114,IF(A115&lt;'Données projet'!$A$244,$FW$205^A115,IF(A115='Données projet'!$A$244,'Données projet'!$B$244,FZ114+FY115-GH114)))</f>
        <v>353.8115384615387</v>
      </c>
      <c r="GA115" s="17">
        <f>FZ115*VLOOKUP('Données projet'!$B$17,Paramètres!$A$1:$I$89,3,0)*VLOOKUP('Données projet'!$B$17,Paramètres!$A$1:$I$89,5,0)</f>
        <v>165.58380000000011</v>
      </c>
      <c r="GB115" s="13">
        <f t="shared" si="103"/>
        <v>42.099431642932473</v>
      </c>
      <c r="GC115" s="20">
        <f t="shared" si="79"/>
        <v>361.71496177810758</v>
      </c>
      <c r="GD115" s="59">
        <f t="shared" si="80"/>
        <v>655.04829511144089</v>
      </c>
      <c r="GE115" s="59">
        <f ca="1">AVERAGE(OFFSET($GD$3,0,0,'Données projet'!$E$17+1,1))-AVERAGE(OFFSET($H$3,0,0,'Données projet'!$E$17+1,1))</f>
        <v>123.2823358462245</v>
      </c>
      <c r="GF115" s="59">
        <f t="shared" si="104"/>
        <v>92.75115399786057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0</v>
      </c>
      <c r="GM115" s="21">
        <f>EXP(-LN(2)/25)*GM114+(1-EXP(-LN(2)/25))/(LN(2)/25)*Calculateur!GH115*Calculateur!GJ115*VLOOKUP('Données projet'!$B$17,Paramètres!$A$1:$I$89,3,0)*0.475*44/12</f>
        <v>0</v>
      </c>
      <c r="GN115" s="21">
        <f>EXP(-LN(2)/2)*GN114+(1-EXP(-LN(2)/2))/(LN(2)/2)*GH115*GK115*VLOOKUP('Données projet'!$B$17,Paramètres!$A$1:$I$89,3,0)*0.475*44/12</f>
        <v>0</v>
      </c>
      <c r="GO115" s="21">
        <f t="shared" si="81"/>
        <v>0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-2.8421709430404007E-13</v>
      </c>
      <c r="GV115" s="17">
        <f>GU115*VLOOKUP('Données projet'!$B$18,Paramètres!$A$1:$I$89,3,0)*VLOOKUP('Données projet'!$B$18,Paramètres!$A$1:$I$89,5,0)</f>
        <v>-1.69961822393816E-13</v>
      </c>
      <c r="GW115" s="13" t="e">
        <f t="shared" si="105"/>
        <v>#NUM!</v>
      </c>
      <c r="GX115" s="20" t="e">
        <f t="shared" si="82"/>
        <v>#NUM!</v>
      </c>
      <c r="GY115" s="59" t="e">
        <f t="shared" si="83"/>
        <v>#NUM!</v>
      </c>
      <c r="GZ115" s="59">
        <f ca="1">AVERAGE(OFFSET($GY$3,0,0,'Données projet'!$E$18+1,1))-AVERAGE(OFFSET($H$3,0,0,'Données projet'!$E$18+1,1))</f>
        <v>171.96009656745713</v>
      </c>
      <c r="HA115" s="59">
        <f t="shared" si="106"/>
        <v>172.37574906747716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>
        <f>EXP(-LN(2)/35)*HG114+(1-EXP(-LN(2)/35))/(LN(2)/35)*HC115*HD115*VLOOKUP('Données projet'!$B$18,Paramètres!$A$1:$I$89,3,0)*0.475*44/12</f>
        <v>0.32880542803126434</v>
      </c>
      <c r="HH115" s="21">
        <f>EXP(-LN(2)/25)*HH114+(1-EXP(-LN(2)/25))/(LN(2)/25)*Calculateur!HC115*Calculateur!HE115*VLOOKUP('Données projet'!$B$18,Paramètres!$A$1:$I$89,3,0)*0.475*44/12</f>
        <v>2.1163170328831109</v>
      </c>
      <c r="HI115" s="21">
        <f>EXP(-LN(2)/2)*HI114+(1-EXP(-LN(2)/2))/(LN(2)/2)*HC115*HF115*VLOOKUP('Données projet'!$B$18,Paramètres!$A$1:$I$89,3,0)*0.475*44/12</f>
        <v>5.4772596193862101E-12</v>
      </c>
      <c r="HJ115" s="22">
        <f t="shared" si="84"/>
        <v>2.4451224609198525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-2.2737367544323206E-13</v>
      </c>
      <c r="O116" s="13">
        <f>N116*VLOOKUP('Données projet'!$B$9,Paramètres!$A$1:$I$89,3,0)*VLOOKUP('Données projet'!$B$9,Paramètres!$A$1:$I$89,5,0)</f>
        <v>-1.2710188457276673E-13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255.5374979188561</v>
      </c>
      <c r="T116" s="59">
        <f t="shared" si="88"/>
        <v>343.10418468620901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0.59716327028622429</v>
      </c>
      <c r="AA116" s="21">
        <f>EXP(-LN(2)/25)*AA115+(1-EXP(-LN(2)/25))/(LN(2)/25)*Calculateur!V116*Calculateur!X116*VLOOKUP('Données projet'!$B$9,Paramètres!$A$1:$I$89,3,0)*0.475*44/12</f>
        <v>1.5981603534728077</v>
      </c>
      <c r="AB116" s="21">
        <f>EXP(-LN(2)/2)*AB115+(1-EXP(-LN(2)/2))/(LN(2)/2)*V116*Y116*VLOOKUP('Données projet'!$B$9,Paramètres!$A$1:$I$89,3,0)*0.475*44/12</f>
        <v>5.4428063029785376E-13</v>
      </c>
      <c r="AC116" s="22">
        <f t="shared" si="57"/>
        <v>2.1953236237595766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3.4106051316484809E-13</v>
      </c>
      <c r="AJ116" s="13">
        <f>AI116*VLOOKUP('Données projet'!$B$10,Paramètres!$A$1:$I$89,3,0)*VLOOKUP('Données projet'!$B$10,Paramètres!$A$1:$I$89,5,0)</f>
        <v>1.5961632016114892E-13</v>
      </c>
      <c r="AK116" s="13">
        <f t="shared" si="89"/>
        <v>2.2708641912150958E-12</v>
      </c>
      <c r="AL116" s="20">
        <f t="shared" si="58"/>
        <v>4.2330868906469593E-12</v>
      </c>
      <c r="AM116" s="59">
        <f t="shared" si="59"/>
        <v>293.33333333333752</v>
      </c>
      <c r="AN116" s="59">
        <f ca="1">AVERAGE(OFFSET($AM$3,0,0,'Données projet'!$E$10+1,1))-AVERAGE(OFFSET($H$3,0,0,'Données projet'!$E$10+1,1))</f>
        <v>158.58786357608489</v>
      </c>
      <c r="AO116" s="59">
        <f t="shared" si="90"/>
        <v>163.20074068819849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0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-1.7053025658242404E-13</v>
      </c>
      <c r="BE116" s="13">
        <f>BD116*VLOOKUP('Données projet'!$B$11,Paramètres!$A$1:$I$89,3,0)*VLOOKUP('Données projet'!$B$11,Paramètres!$A$1:$I$89,5,0)</f>
        <v>-1.0197709343628959E-13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243.85350804244348</v>
      </c>
      <c r="BJ116" s="59">
        <f t="shared" si="92"/>
        <v>304.60992308960545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0.87463669460307625</v>
      </c>
      <c r="BQ116" s="21">
        <f>EXP(-LN(2)/25)*BQ115+(1-EXP(-LN(2)/25))/(LN(2)/25)*Calculateur!BL116*Calculateur!BN116*VLOOKUP('Données projet'!$B$11,Paramètres!$A$1:$I$89,3,0)*0.475*44/12</f>
        <v>1.7752610449473798</v>
      </c>
      <c r="BR116" s="21">
        <f>EXP(-LN(2)/2)*BR115+(1-EXP(-LN(2)/2))/(LN(2)/2)*BL116*BO116*VLOOKUP('Données projet'!$B$11,Paramètres!$A$1:$I$89,3,0)*0.475*44/12</f>
        <v>1.2020451900049272E-12</v>
      </c>
      <c r="BS116" s="22">
        <f t="shared" si="63"/>
        <v>2.6498977395516583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497</v>
      </c>
      <c r="BZ116" s="13">
        <f>BY116*VLOOKUP('Données projet'!$B$12,Paramètres!$A$1:$I$89,3,0)*VLOOKUP('Données projet'!$B$12,Paramètres!$A$1:$I$89,5,0)</f>
        <v>297.20600000000002</v>
      </c>
      <c r="CA116" s="13">
        <f t="shared" si="93"/>
        <v>70.590415164571112</v>
      </c>
      <c r="CB116" s="20">
        <f t="shared" si="64"/>
        <v>640.57875641162809</v>
      </c>
      <c r="CC116" s="59">
        <f t="shared" si="65"/>
        <v>933.91208974496135</v>
      </c>
      <c r="CD116" s="59">
        <f ca="1">AVERAGE(OFFSET($CC$3,0,0,'Données projet'!$E$12+1,1))-AVERAGE(OFFSET($H$3,0,0,'Données projet'!$E$12+1,1))</f>
        <v>270.30888762640245</v>
      </c>
      <c r="CE116" s="59">
        <f t="shared" si="94"/>
        <v>202.23783851977691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0.41392549042024895</v>
      </c>
      <c r="CL116" s="21">
        <f>EXP(-LN(2)/25)*CL115+(1-EXP(-LN(2)/25))/(LN(2)/25)*Calculateur!CG116*Calculateur!CI116*VLOOKUP('Données projet'!$B$12,Paramètres!$A$1:$I$89,3,0)*0.475*44/12</f>
        <v>1.2311651131844772</v>
      </c>
      <c r="CM116" s="21">
        <f>EXP(-LN(2)/2)*CM115+(1-EXP(-LN(2)/2))/(LN(2)/2)*CG116*CJ116*VLOOKUP('Données projet'!$B$12,Paramètres!$A$1:$I$89,3,0)*0.475*44/12</f>
        <v>5.9463895619575252E-12</v>
      </c>
      <c r="CN116" s="22">
        <f t="shared" si="66"/>
        <v>1.6450906036106725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-5.1159076974727213E-13</v>
      </c>
      <c r="CU116" s="17">
        <f>CT116*VLOOKUP('Données projet'!$B$13,Paramètres!$A$1:$I$89,3,0)*VLOOKUP('Données projet'!$B$13,Paramètres!$A$1:$I$89,5,0)</f>
        <v>-4.0702161641092972E-13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260.20517190557814</v>
      </c>
      <c r="CZ116" s="59">
        <f t="shared" si="96"/>
        <v>307.22009971147133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0.63058648987451948</v>
      </c>
      <c r="DG116" s="21">
        <f>EXP(-LN(2)/25)*DG115+(1-EXP(-LN(2)/25))/(LN(2)/25)*Calculateur!DB116*Calculateur!DD116*VLOOKUP('Données projet'!$B$13,Paramètres!$A$1:$I$89,3,0)*0.475*44/12</f>
        <v>2.054704455367601</v>
      </c>
      <c r="DH116" s="21">
        <f>EXP(-LN(2)/2)*DH115+(1-EXP(-LN(2)/2))/(LN(2)/2)*DB116*DE116*VLOOKUP('Données projet'!$B$13,Paramètres!$A$1:$I$89,3,0)*0.475*44/12</f>
        <v>7.7298701095516513E-12</v>
      </c>
      <c r="DI116" s="22">
        <f t="shared" si="69"/>
        <v>2.6852909452498501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6.8461538461538511</v>
      </c>
      <c r="DO116" s="12">
        <f>IF('Données projet'!$A$166&gt;35,DO115+DN116-DW115,IF(A116&lt;'Données projet'!$A$166,$DL$205^A116,IF(A116='Données projet'!$A$166,'Données projet'!$B$166,DO115+DN116-DW115)))</f>
        <v>316.26282051282072</v>
      </c>
      <c r="DP116" s="17">
        <f>DO116*VLOOKUP('Données projet'!$B$14,Paramètres!$A$1:$I$89,3,0)*VLOOKUP('Données projet'!$B$14,Paramètres!$A$1:$I$89,5,0)</f>
        <v>320.69050000000021</v>
      </c>
      <c r="DQ116" s="13">
        <f t="shared" si="97"/>
        <v>75.49700758801059</v>
      </c>
      <c r="DR116" s="20">
        <f t="shared" si="70"/>
        <v>690.0265757157855</v>
      </c>
      <c r="DS116" s="59">
        <f t="shared" si="71"/>
        <v>983.35990904911887</v>
      </c>
      <c r="DT116" s="59">
        <f ca="1">AVERAGE(OFFSET($DS$3,0,0,'Données projet'!$E$14+1,1))-AVERAGE(OFFSET($H$3,0,0,'Données projet'!$E$14+1,1))</f>
        <v>263.15518481854753</v>
      </c>
      <c r="DU116" s="59">
        <f t="shared" si="98"/>
        <v>210.80755370263819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0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-5.1159076974727213E-13</v>
      </c>
      <c r="EK116" s="17">
        <f>EJ116*VLOOKUP('Données projet'!$B$15,Paramètres!$A$1:$I$89,3,0)*VLOOKUP('Données projet'!$B$15,Paramètres!$A$1:$I$89,5,0)</f>
        <v>-3.4317508834647017E-13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207.93042467236967</v>
      </c>
      <c r="EP116" s="59">
        <f t="shared" si="100"/>
        <v>250.70954318710835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0.5316709620510649</v>
      </c>
      <c r="EW116" s="21">
        <f>EXP(-LN(2)/25)*EW115+(1-EXP(-LN(2)/25))/(LN(2)/25)*Calculateur!ER116*Calculateur!ET116*VLOOKUP('Données projet'!$B$15,Paramètres!$A$1:$I$89,3,0)*0.475*44/12</f>
        <v>1.7323978741334705</v>
      </c>
      <c r="EX116" s="21">
        <f>EXP(-LN(2)/2)*EX115+(1-EXP(-LN(2)/2))/(LN(2)/2)*ER116*EU116*VLOOKUP('Données projet'!$B$15,Paramètres!$A$1:$I$89,3,0)*0.475*44/12</f>
        <v>6.5173414649160978E-12</v>
      </c>
      <c r="EY116" s="22">
        <f t="shared" si="75"/>
        <v>2.2640688361910528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6.8461538461538511</v>
      </c>
      <c r="FE116" s="12">
        <f>IF('Données projet'!$A$218&gt;35,FE115+FD116-FM115,IF(A116&lt;'Données projet'!$A$218,$FB$205^A116,IF(A116='Données projet'!$A$218,'Données projet'!$B$218,FE115+FD116-FM115)))</f>
        <v>316.26282051282072</v>
      </c>
      <c r="FF116" s="17">
        <f>FE116*VLOOKUP('Données projet'!$B$16,Paramètres!$A$1:$I$89,3,0)*VLOOKUP('Données projet'!$B$16,Paramètres!$A$1:$I$89,5,0)</f>
        <v>340.42530000000022</v>
      </c>
      <c r="FG116" s="13">
        <f t="shared" si="101"/>
        <v>79.587809700462586</v>
      </c>
      <c r="FH116" s="20">
        <f t="shared" si="76"/>
        <v>731.52283272830607</v>
      </c>
      <c r="FI116" s="59">
        <f t="shared" si="77"/>
        <v>1024.8561660616394</v>
      </c>
      <c r="FJ116" s="59">
        <f ca="1">AVERAGE(OFFSET($FI$3,0,0,'Données projet'!$E$16+1,1))-AVERAGE(OFFSET($H$3,0,0,'Données projet'!$E$16+1,1))</f>
        <v>286.77702855541287</v>
      </c>
      <c r="FK116" s="59">
        <f t="shared" si="102"/>
        <v>227.12211541860779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0</v>
      </c>
      <c r="FR116" s="21">
        <f>EXP(-LN(2)/25)*FR115+(1-EXP(-LN(2)/25))/(LN(2)/25)*Calculateur!FM116*Calculateur!FO116*VLOOKUP('Données projet'!$B$16,Paramètres!$A$1:$I$89,3,0)*0.475*44/12</f>
        <v>0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0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7.0884615384615346</v>
      </c>
      <c r="FZ116" s="12">
        <f>IF('Données projet'!$A$244&gt;35,FZ115+FY116-GH115,IF(A116&lt;'Données projet'!$A$244,$FW$205^A116,IF(A116='Données projet'!$A$244,'Données projet'!$B$244,FZ115+FY116-GH115)))</f>
        <v>360.90000000000026</v>
      </c>
      <c r="GA116" s="17">
        <f>FZ116*VLOOKUP('Données projet'!$B$17,Paramètres!$A$1:$I$89,3,0)*VLOOKUP('Données projet'!$B$17,Paramètres!$A$1:$I$89,5,0)</f>
        <v>168.90120000000013</v>
      </c>
      <c r="GB116" s="13">
        <f t="shared" si="103"/>
        <v>42.843836138922327</v>
      </c>
      <c r="GC116" s="20">
        <f t="shared" si="79"/>
        <v>368.78927127528988</v>
      </c>
      <c r="GD116" s="59">
        <f t="shared" si="80"/>
        <v>662.12260460862319</v>
      </c>
      <c r="GE116" s="59">
        <f ca="1">AVERAGE(OFFSET($GD$3,0,0,'Données projet'!$E$17+1,1))-AVERAGE(OFFSET($H$3,0,0,'Données projet'!$E$17+1,1))</f>
        <v>123.2823358462245</v>
      </c>
      <c r="GF116" s="59">
        <f t="shared" si="104"/>
        <v>92.75115399786057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0</v>
      </c>
      <c r="GM116" s="21">
        <f>EXP(-LN(2)/25)*GM115+(1-EXP(-LN(2)/25))/(LN(2)/25)*Calculateur!GH116*Calculateur!GJ116*VLOOKUP('Données projet'!$B$17,Paramètres!$A$1:$I$89,3,0)*0.475*44/12</f>
        <v>0</v>
      </c>
      <c r="GN116" s="21">
        <f>EXP(-LN(2)/2)*GN115+(1-EXP(-LN(2)/2))/(LN(2)/2)*GH116*GK116*VLOOKUP('Données projet'!$B$17,Paramètres!$A$1:$I$89,3,0)*0.475*44/12</f>
        <v>0</v>
      </c>
      <c r="GO116" s="21">
        <f t="shared" si="81"/>
        <v>0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-2.8421709430404007E-13</v>
      </c>
      <c r="GV116" s="17">
        <f>GU116*VLOOKUP('Données projet'!$B$18,Paramètres!$A$1:$I$89,3,0)*VLOOKUP('Données projet'!$B$18,Paramètres!$A$1:$I$89,5,0)</f>
        <v>-1.69961822393816E-13</v>
      </c>
      <c r="GW116" s="13" t="e">
        <f t="shared" si="105"/>
        <v>#NUM!</v>
      </c>
      <c r="GX116" s="20" t="e">
        <f t="shared" si="82"/>
        <v>#NUM!</v>
      </c>
      <c r="GY116" s="59" t="e">
        <f t="shared" si="83"/>
        <v>#NUM!</v>
      </c>
      <c r="GZ116" s="59">
        <f ca="1">AVERAGE(OFFSET($GY$3,0,0,'Données projet'!$E$18+1,1))-AVERAGE(OFFSET($H$3,0,0,'Données projet'!$E$18+1,1))</f>
        <v>171.96009656745713</v>
      </c>
      <c r="HA116" s="59">
        <f t="shared" si="106"/>
        <v>172.37574906747716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>
        <f>EXP(-LN(2)/35)*HG115+(1-EXP(-LN(2)/35))/(LN(2)/35)*HC116*HD116*VLOOKUP('Données projet'!$B$18,Paramètres!$A$1:$I$89,3,0)*0.475*44/12</f>
        <v>0.32235775413907952</v>
      </c>
      <c r="HH116" s="21">
        <f>EXP(-LN(2)/25)*HH115+(1-EXP(-LN(2)/25))/(LN(2)/25)*Calculateur!HC116*Calculateur!HE116*VLOOKUP('Données projet'!$B$18,Paramètres!$A$1:$I$89,3,0)*0.475*44/12</f>
        <v>2.0584462323266464</v>
      </c>
      <c r="HI116" s="21">
        <f>EXP(-LN(2)/2)*HI115+(1-EXP(-LN(2)/2))/(LN(2)/2)*HC116*HF116*VLOOKUP('Données projet'!$B$18,Paramètres!$A$1:$I$89,3,0)*0.475*44/12</f>
        <v>3.8730074191872375E-12</v>
      </c>
      <c r="HJ116" s="22">
        <f t="shared" si="84"/>
        <v>2.3808039864695987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-2.2737367544323206E-13</v>
      </c>
      <c r="O117" s="13">
        <f>N117*VLOOKUP('Données projet'!$B$9,Paramètres!$A$1:$I$89,3,0)*VLOOKUP('Données projet'!$B$9,Paramètres!$A$1:$I$89,5,0)</f>
        <v>-1.2710188457276673E-13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255.5374979188561</v>
      </c>
      <c r="T117" s="59">
        <f t="shared" si="88"/>
        <v>343.10418468620901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0.58545326278954124</v>
      </c>
      <c r="AA117" s="21">
        <f>EXP(-LN(2)/25)*AA116+(1-EXP(-LN(2)/25))/(LN(2)/25)*Calculateur!V117*Calculateur!X117*VLOOKUP('Données projet'!$B$9,Paramètres!$A$1:$I$89,3,0)*0.475*44/12</f>
        <v>1.5544585745634933</v>
      </c>
      <c r="AB117" s="21">
        <f>EXP(-LN(2)/2)*AB116+(1-EXP(-LN(2)/2))/(LN(2)/2)*V117*Y117*VLOOKUP('Données projet'!$B$9,Paramètres!$A$1:$I$89,3,0)*0.475*44/12</f>
        <v>3.8486452455210066E-13</v>
      </c>
      <c r="AC117" s="22">
        <f t="shared" si="57"/>
        <v>2.1399118373534196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3.4106051316484809E-13</v>
      </c>
      <c r="AJ117" s="13">
        <f>AI117*VLOOKUP('Données projet'!$B$10,Paramètres!$A$1:$I$89,3,0)*VLOOKUP('Données projet'!$B$10,Paramètres!$A$1:$I$89,5,0)</f>
        <v>1.5961632016114892E-13</v>
      </c>
      <c r="AK117" s="13">
        <f t="shared" si="89"/>
        <v>2.2708641912150958E-12</v>
      </c>
      <c r="AL117" s="20">
        <f t="shared" si="58"/>
        <v>4.2330868906469593E-12</v>
      </c>
      <c r="AM117" s="59">
        <f t="shared" si="59"/>
        <v>293.33333333333752</v>
      </c>
      <c r="AN117" s="59">
        <f ca="1">AVERAGE(OFFSET($AM$3,0,0,'Données projet'!$E$10+1,1))-AVERAGE(OFFSET($H$3,0,0,'Données projet'!$E$10+1,1))</f>
        <v>158.58786357608489</v>
      </c>
      <c r="AO117" s="59">
        <f t="shared" si="90"/>
        <v>163.20074068819849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0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-1.7053025658242404E-13</v>
      </c>
      <c r="BE117" s="13">
        <f>BD117*VLOOKUP('Données projet'!$B$11,Paramètres!$A$1:$I$89,3,0)*VLOOKUP('Données projet'!$B$11,Paramètres!$A$1:$I$89,5,0)</f>
        <v>-1.0197709343628959E-13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243.85350804244348</v>
      </c>
      <c r="BJ117" s="59">
        <f t="shared" si="92"/>
        <v>304.60992308960545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0.85748560249761729</v>
      </c>
      <c r="BQ117" s="21">
        <f>EXP(-LN(2)/25)*BQ116+(1-EXP(-LN(2)/25))/(LN(2)/25)*Calculateur!BL117*Calculateur!BN117*VLOOKUP('Données projet'!$B$11,Paramètres!$A$1:$I$89,3,0)*0.475*44/12</f>
        <v>1.7267164383163727</v>
      </c>
      <c r="BR117" s="21">
        <f>EXP(-LN(2)/2)*BR116+(1-EXP(-LN(2)/2))/(LN(2)/2)*BL117*BO117*VLOOKUP('Données projet'!$B$11,Paramètres!$A$1:$I$89,3,0)*0.475*44/12</f>
        <v>8.4997430514515602E-13</v>
      </c>
      <c r="BS117" s="22">
        <f t="shared" si="63"/>
        <v>2.5842020408148398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497</v>
      </c>
      <c r="BZ117" s="13">
        <f>BY117*VLOOKUP('Données projet'!$B$12,Paramètres!$A$1:$I$89,3,0)*VLOOKUP('Données projet'!$B$12,Paramètres!$A$1:$I$89,5,0)</f>
        <v>297.20600000000002</v>
      </c>
      <c r="CA117" s="13">
        <f t="shared" si="93"/>
        <v>70.590415164571112</v>
      </c>
      <c r="CB117" s="20">
        <f t="shared" si="64"/>
        <v>640.57875641162809</v>
      </c>
      <c r="CC117" s="59">
        <f t="shared" si="65"/>
        <v>933.91208974496135</v>
      </c>
      <c r="CD117" s="59">
        <f ca="1">AVERAGE(OFFSET($CC$3,0,0,'Données projet'!$E$12+1,1))-AVERAGE(OFFSET($H$3,0,0,'Données projet'!$E$12+1,1))</f>
        <v>270.30888762640245</v>
      </c>
      <c r="CE117" s="59">
        <f t="shared" si="94"/>
        <v>202.23783851977691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0.40580866402272775</v>
      </c>
      <c r="CL117" s="21">
        <f>EXP(-LN(2)/25)*CL116+(1-EXP(-LN(2)/25))/(LN(2)/25)*Calculateur!CG117*Calculateur!CI117*VLOOKUP('Données projet'!$B$12,Paramètres!$A$1:$I$89,3,0)*0.475*44/12</f>
        <v>1.1974988384202883</v>
      </c>
      <c r="CM117" s="21">
        <f>EXP(-LN(2)/2)*CM116+(1-EXP(-LN(2)/2))/(LN(2)/2)*CG117*CJ117*VLOOKUP('Données projet'!$B$12,Paramètres!$A$1:$I$89,3,0)*0.475*44/12</f>
        <v>4.20473238283707E-12</v>
      </c>
      <c r="CN117" s="22">
        <f t="shared" si="66"/>
        <v>1.6033075024472208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-5.1159076974727213E-13</v>
      </c>
      <c r="CU117" s="17">
        <f>CT117*VLOOKUP('Données projet'!$B$13,Paramètres!$A$1:$I$89,3,0)*VLOOKUP('Données projet'!$B$13,Paramètres!$A$1:$I$89,5,0)</f>
        <v>-4.0702161641092972E-13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260.20517190557814</v>
      </c>
      <c r="CZ117" s="59">
        <f t="shared" si="96"/>
        <v>307.22009971147133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0.61822107342786092</v>
      </c>
      <c r="DG117" s="21">
        <f>EXP(-LN(2)/25)*DG116+(1-EXP(-LN(2)/25))/(LN(2)/25)*Calculateur!DB117*Calculateur!DD117*VLOOKUP('Données projet'!$B$13,Paramètres!$A$1:$I$89,3,0)*0.475*44/12</f>
        <v>1.9985184539833627</v>
      </c>
      <c r="DH117" s="21">
        <f>EXP(-LN(2)/2)*DH116+(1-EXP(-LN(2)/2))/(LN(2)/2)*DB117*DE117*VLOOKUP('Données projet'!$B$13,Paramètres!$A$1:$I$89,3,0)*0.475*44/12</f>
        <v>5.4658435721551737E-12</v>
      </c>
      <c r="DI117" s="22">
        <f t="shared" si="69"/>
        <v>2.6167395274166894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6.8461538461538511</v>
      </c>
      <c r="DO117" s="12">
        <f>IF('Données projet'!$A$166&gt;35,DO116+DN117-DW116,IF(A117&lt;'Données projet'!$A$166,$DL$205^A117,IF(A117='Données projet'!$A$166,'Données projet'!$B$166,DO116+DN117-DW116)))</f>
        <v>323.10897435897459</v>
      </c>
      <c r="DP117" s="17">
        <f>DO117*VLOOKUP('Données projet'!$B$14,Paramètres!$A$1:$I$89,3,0)*VLOOKUP('Données projet'!$B$14,Paramètres!$A$1:$I$89,5,0)</f>
        <v>327.63250000000022</v>
      </c>
      <c r="DQ117" s="13">
        <f t="shared" si="97"/>
        <v>76.939258522537912</v>
      </c>
      <c r="DR117" s="20">
        <f t="shared" si="70"/>
        <v>704.62914609342045</v>
      </c>
      <c r="DS117" s="59">
        <f t="shared" si="71"/>
        <v>997.96247942675382</v>
      </c>
      <c r="DT117" s="59">
        <f ca="1">AVERAGE(OFFSET($DS$3,0,0,'Données projet'!$E$14+1,1))-AVERAGE(OFFSET($H$3,0,0,'Données projet'!$E$14+1,1))</f>
        <v>263.15518481854753</v>
      </c>
      <c r="DU117" s="59">
        <f t="shared" si="98"/>
        <v>210.80755370263819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0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-5.1159076974727213E-13</v>
      </c>
      <c r="EK117" s="17">
        <f>EJ117*VLOOKUP('Données projet'!$B$15,Paramètres!$A$1:$I$89,3,0)*VLOOKUP('Données projet'!$B$15,Paramètres!$A$1:$I$89,5,0)</f>
        <v>-3.4317508834647017E-13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207.93042467236967</v>
      </c>
      <c r="EP117" s="59">
        <f t="shared" si="100"/>
        <v>250.70954318710835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0.52124521877250962</v>
      </c>
      <c r="EW117" s="21">
        <f>EXP(-LN(2)/25)*EW116+(1-EXP(-LN(2)/25))/(LN(2)/25)*Calculateur!ER117*Calculateur!ET117*VLOOKUP('Données projet'!$B$15,Paramètres!$A$1:$I$89,3,0)*0.475*44/12</f>
        <v>1.6850253631624459</v>
      </c>
      <c r="EX117" s="21">
        <f>EXP(-LN(2)/2)*EX116+(1-EXP(-LN(2)/2))/(LN(2)/2)*ER117*EU117*VLOOKUP('Données projet'!$B$15,Paramètres!$A$1:$I$89,3,0)*0.475*44/12</f>
        <v>4.6084563451504402E-12</v>
      </c>
      <c r="EY117" s="22">
        <f t="shared" si="75"/>
        <v>2.2062705819395636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6.8461538461538511</v>
      </c>
      <c r="FE117" s="12">
        <f>IF('Données projet'!$A$218&gt;35,FE116+FD117-FM116,IF(A117&lt;'Données projet'!$A$218,$FB$205^A117,IF(A117='Données projet'!$A$218,'Données projet'!$B$218,FE116+FD117-FM116)))</f>
        <v>323.10897435897459</v>
      </c>
      <c r="FF117" s="17">
        <f>FE117*VLOOKUP('Données projet'!$B$16,Paramètres!$A$1:$I$89,3,0)*VLOOKUP('Données projet'!$B$16,Paramètres!$A$1:$I$89,5,0)</f>
        <v>347.79450000000026</v>
      </c>
      <c r="FG117" s="13">
        <f t="shared" si="101"/>
        <v>81.108208939911421</v>
      </c>
      <c r="FH117" s="20">
        <f t="shared" si="76"/>
        <v>747.00555140367942</v>
      </c>
      <c r="FI117" s="59">
        <f t="shared" si="77"/>
        <v>1040.3388847370127</v>
      </c>
      <c r="FJ117" s="59">
        <f ca="1">AVERAGE(OFFSET($FI$3,0,0,'Données projet'!$E$16+1,1))-AVERAGE(OFFSET($H$3,0,0,'Données projet'!$E$16+1,1))</f>
        <v>286.77702855541287</v>
      </c>
      <c r="FK117" s="59">
        <f t="shared" si="102"/>
        <v>227.12211541860779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0</v>
      </c>
      <c r="FR117" s="21">
        <f>EXP(-LN(2)/25)*FR116+(1-EXP(-LN(2)/25))/(LN(2)/25)*Calculateur!FM117*Calculateur!FO117*VLOOKUP('Données projet'!$B$16,Paramètres!$A$1:$I$89,3,0)*0.475*44/12</f>
        <v>0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0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7.0884615384615346</v>
      </c>
      <c r="FZ117" s="12">
        <f>IF('Données projet'!$A$244&gt;35,FZ116+FY117-GH116,IF(A117&lt;'Données projet'!$A$244,$FW$205^A117,IF(A117='Données projet'!$A$244,'Données projet'!$B$244,FZ116+FY117-GH116)))</f>
        <v>367.98846153846182</v>
      </c>
      <c r="GA117" s="17">
        <f>FZ117*VLOOKUP('Données projet'!$B$17,Paramètres!$A$1:$I$89,3,0)*VLOOKUP('Données projet'!$B$17,Paramètres!$A$1:$I$89,5,0)</f>
        <v>172.21860000000012</v>
      </c>
      <c r="GB117" s="13">
        <f t="shared" si="103"/>
        <v>43.586540590608614</v>
      </c>
      <c r="GC117" s="20">
        <f t="shared" si="79"/>
        <v>375.86061986197689</v>
      </c>
      <c r="GD117" s="59">
        <f t="shared" si="80"/>
        <v>669.1939531953102</v>
      </c>
      <c r="GE117" s="59">
        <f ca="1">AVERAGE(OFFSET($GD$3,0,0,'Données projet'!$E$17+1,1))-AVERAGE(OFFSET($H$3,0,0,'Données projet'!$E$17+1,1))</f>
        <v>123.2823358462245</v>
      </c>
      <c r="GF117" s="59">
        <f t="shared" si="104"/>
        <v>92.75115399786057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0</v>
      </c>
      <c r="GM117" s="21">
        <f>EXP(-LN(2)/25)*GM116+(1-EXP(-LN(2)/25))/(LN(2)/25)*Calculateur!GH117*Calculateur!GJ117*VLOOKUP('Données projet'!$B$17,Paramètres!$A$1:$I$89,3,0)*0.475*44/12</f>
        <v>0</v>
      </c>
      <c r="GN117" s="21">
        <f>EXP(-LN(2)/2)*GN116+(1-EXP(-LN(2)/2))/(LN(2)/2)*GH117*GK117*VLOOKUP('Données projet'!$B$17,Paramètres!$A$1:$I$89,3,0)*0.475*44/12</f>
        <v>0</v>
      </c>
      <c r="GO117" s="21">
        <f t="shared" si="81"/>
        <v>0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-2.8421709430404007E-13</v>
      </c>
      <c r="GV117" s="17">
        <f>GU117*VLOOKUP('Données projet'!$B$18,Paramètres!$A$1:$I$89,3,0)*VLOOKUP('Données projet'!$B$18,Paramètres!$A$1:$I$89,5,0)</f>
        <v>-1.69961822393816E-13</v>
      </c>
      <c r="GW117" s="13" t="e">
        <f t="shared" si="105"/>
        <v>#NUM!</v>
      </c>
      <c r="GX117" s="20" t="e">
        <f t="shared" si="82"/>
        <v>#NUM!</v>
      </c>
      <c r="GY117" s="59" t="e">
        <f t="shared" si="83"/>
        <v>#NUM!</v>
      </c>
      <c r="GZ117" s="59">
        <f ca="1">AVERAGE(OFFSET($GY$3,0,0,'Données projet'!$E$18+1,1))-AVERAGE(OFFSET($H$3,0,0,'Données projet'!$E$18+1,1))</f>
        <v>171.96009656745713</v>
      </c>
      <c r="HA117" s="59">
        <f t="shared" si="106"/>
        <v>172.37574906747716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>
        <f>EXP(-LN(2)/35)*HG116+(1-EXP(-LN(2)/35))/(LN(2)/35)*HC117*HD117*VLOOKUP('Données projet'!$B$18,Paramètres!$A$1:$I$89,3,0)*0.475*44/12</f>
        <v>0.31603651519922771</v>
      </c>
      <c r="HH117" s="21">
        <f>EXP(-LN(2)/25)*HH116+(1-EXP(-LN(2)/25))/(LN(2)/25)*Calculateur!HC117*Calculateur!HE117*VLOOKUP('Données projet'!$B$18,Paramètres!$A$1:$I$89,3,0)*0.475*44/12</f>
        <v>2.0021579118546917</v>
      </c>
      <c r="HI117" s="21">
        <f>EXP(-LN(2)/2)*HI116+(1-EXP(-LN(2)/2))/(LN(2)/2)*HC117*HF117*VLOOKUP('Données projet'!$B$18,Paramètres!$A$1:$I$89,3,0)*0.475*44/12</f>
        <v>2.7386298096931051E-12</v>
      </c>
      <c r="HJ117" s="22">
        <f t="shared" si="84"/>
        <v>2.3181944270566581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-2.2737367544323206E-13</v>
      </c>
      <c r="O118" s="13">
        <f>N118*VLOOKUP('Données projet'!$B$9,Paramètres!$A$1:$I$89,3,0)*VLOOKUP('Données projet'!$B$9,Paramètres!$A$1:$I$89,5,0)</f>
        <v>-1.2710188457276673E-13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255.5374979188561</v>
      </c>
      <c r="T118" s="59">
        <f t="shared" si="88"/>
        <v>343.10418468620901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0.57397288139746883</v>
      </c>
      <c r="AA118" s="21">
        <f>EXP(-LN(2)/25)*AA117+(1-EXP(-LN(2)/25))/(LN(2)/25)*Calculateur!V118*Calculateur!X118*VLOOKUP('Données projet'!$B$9,Paramètres!$A$1:$I$89,3,0)*0.475*44/12</f>
        <v>1.5119518230966309</v>
      </c>
      <c r="AB118" s="21">
        <f>EXP(-LN(2)/2)*AB117+(1-EXP(-LN(2)/2))/(LN(2)/2)*V118*Y118*VLOOKUP('Données projet'!$B$9,Paramètres!$A$1:$I$89,3,0)*0.475*44/12</f>
        <v>2.7214031514892688E-13</v>
      </c>
      <c r="AC118" s="22">
        <f t="shared" si="57"/>
        <v>2.0859247044943721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3.4106051316484809E-13</v>
      </c>
      <c r="AJ118" s="13">
        <f>AI118*VLOOKUP('Données projet'!$B$10,Paramètres!$A$1:$I$89,3,0)*VLOOKUP('Données projet'!$B$10,Paramètres!$A$1:$I$89,5,0)</f>
        <v>1.5961632016114892E-13</v>
      </c>
      <c r="AK118" s="13">
        <f t="shared" si="89"/>
        <v>2.2708641912150958E-12</v>
      </c>
      <c r="AL118" s="20">
        <f t="shared" si="58"/>
        <v>4.2330868906469593E-12</v>
      </c>
      <c r="AM118" s="59">
        <f t="shared" si="59"/>
        <v>293.33333333333752</v>
      </c>
      <c r="AN118" s="59">
        <f ca="1">AVERAGE(OFFSET($AM$3,0,0,'Données projet'!$E$10+1,1))-AVERAGE(OFFSET($H$3,0,0,'Données projet'!$E$10+1,1))</f>
        <v>158.58786357608489</v>
      </c>
      <c r="AO118" s="59">
        <f t="shared" si="90"/>
        <v>163.20074068819849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0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-1.7053025658242404E-13</v>
      </c>
      <c r="BE118" s="13">
        <f>BD118*VLOOKUP('Données projet'!$B$11,Paramètres!$A$1:$I$89,3,0)*VLOOKUP('Données projet'!$B$11,Paramètres!$A$1:$I$89,5,0)</f>
        <v>-1.0197709343628959E-13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243.85350804244348</v>
      </c>
      <c r="BJ118" s="59">
        <f t="shared" si="92"/>
        <v>304.60992308960545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0.84067083284721311</v>
      </c>
      <c r="BQ118" s="21">
        <f>EXP(-LN(2)/25)*BQ117+(1-EXP(-LN(2)/25))/(LN(2)/25)*Calculateur!BL118*Calculateur!BN118*VLOOKUP('Données projet'!$B$11,Paramètres!$A$1:$I$89,3,0)*0.475*44/12</f>
        <v>1.6794992865065403</v>
      </c>
      <c r="BR118" s="21">
        <f>EXP(-LN(2)/2)*BR117+(1-EXP(-LN(2)/2))/(LN(2)/2)*BL118*BO118*VLOOKUP('Données projet'!$B$11,Paramètres!$A$1:$I$89,3,0)*0.475*44/12</f>
        <v>6.0102259500246361E-13</v>
      </c>
      <c r="BS118" s="22">
        <f t="shared" si="63"/>
        <v>2.5201701193543542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497</v>
      </c>
      <c r="BZ118" s="13">
        <f>BY118*VLOOKUP('Données projet'!$B$12,Paramètres!$A$1:$I$89,3,0)*VLOOKUP('Données projet'!$B$12,Paramètres!$A$1:$I$89,5,0)</f>
        <v>297.20600000000002</v>
      </c>
      <c r="CA118" s="13">
        <f t="shared" si="93"/>
        <v>70.590415164571112</v>
      </c>
      <c r="CB118" s="20">
        <f t="shared" si="64"/>
        <v>640.57875641162809</v>
      </c>
      <c r="CC118" s="59">
        <f t="shared" si="65"/>
        <v>933.91208974496135</v>
      </c>
      <c r="CD118" s="59">
        <f ca="1">AVERAGE(OFFSET($CC$3,0,0,'Données projet'!$E$12+1,1))-AVERAGE(OFFSET($H$3,0,0,'Données projet'!$E$12+1,1))</f>
        <v>270.30888762640245</v>
      </c>
      <c r="CE118" s="59">
        <f t="shared" si="94"/>
        <v>202.23783851977691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0.39785100364008663</v>
      </c>
      <c r="CL118" s="21">
        <f>EXP(-LN(2)/25)*CL117+(1-EXP(-LN(2)/25))/(LN(2)/25)*Calculateur!CG118*Calculateur!CI118*VLOOKUP('Données projet'!$B$12,Paramètres!$A$1:$I$89,3,0)*0.475*44/12</f>
        <v>1.1647531697099585</v>
      </c>
      <c r="CM118" s="21">
        <f>EXP(-LN(2)/2)*CM117+(1-EXP(-LN(2)/2))/(LN(2)/2)*CG118*CJ118*VLOOKUP('Données projet'!$B$12,Paramètres!$A$1:$I$89,3,0)*0.475*44/12</f>
        <v>2.9731947809787626E-12</v>
      </c>
      <c r="CN118" s="22">
        <f t="shared" si="66"/>
        <v>1.5626041733530183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-5.1159076974727213E-13</v>
      </c>
      <c r="CU118" s="17">
        <f>CT118*VLOOKUP('Données projet'!$B$13,Paramètres!$A$1:$I$89,3,0)*VLOOKUP('Données projet'!$B$13,Paramètres!$A$1:$I$89,5,0)</f>
        <v>-4.0702161641092972E-13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260.20517190557814</v>
      </c>
      <c r="CZ118" s="59">
        <f t="shared" si="96"/>
        <v>307.22009971147133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0.606098135255562</v>
      </c>
      <c r="DG118" s="21">
        <f>EXP(-LN(2)/25)*DG117+(1-EXP(-LN(2)/25))/(LN(2)/25)*Calculateur!DB118*Calculateur!DD118*VLOOKUP('Données projet'!$B$13,Paramètres!$A$1:$I$89,3,0)*0.475*44/12</f>
        <v>1.9438688617616697</v>
      </c>
      <c r="DH118" s="21">
        <f>EXP(-LN(2)/2)*DH117+(1-EXP(-LN(2)/2))/(LN(2)/2)*DB118*DE118*VLOOKUP('Données projet'!$B$13,Paramètres!$A$1:$I$89,3,0)*0.475*44/12</f>
        <v>3.8649350547758257E-12</v>
      </c>
      <c r="DI118" s="22">
        <f t="shared" si="69"/>
        <v>2.5499669970210967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6.8461538461538511</v>
      </c>
      <c r="DO118" s="12">
        <f>IF('Données projet'!$A$166&gt;35,DO117+DN118-DW117,IF(A118&lt;'Données projet'!$A$166,$DL$205^A118,IF(A118='Données projet'!$A$166,'Données projet'!$B$166,DO117+DN118-DW117)))</f>
        <v>329.95512820512846</v>
      </c>
      <c r="DP118" s="17">
        <f>DO118*VLOOKUP('Données projet'!$B$14,Paramètres!$A$1:$I$89,3,0)*VLOOKUP('Données projet'!$B$14,Paramètres!$A$1:$I$89,5,0)</f>
        <v>334.57450000000028</v>
      </c>
      <c r="DQ118" s="13">
        <f t="shared" si="97"/>
        <v>78.377956496830464</v>
      </c>
      <c r="DR118" s="20">
        <f t="shared" si="70"/>
        <v>719.22552839864682</v>
      </c>
      <c r="DS118" s="59">
        <f t="shared" si="71"/>
        <v>1012.5588617319802</v>
      </c>
      <c r="DT118" s="59">
        <f ca="1">AVERAGE(OFFSET($DS$3,0,0,'Données projet'!$E$14+1,1))-AVERAGE(OFFSET($H$3,0,0,'Données projet'!$E$14+1,1))</f>
        <v>263.15518481854753</v>
      </c>
      <c r="DU118" s="59">
        <f t="shared" si="98"/>
        <v>210.80755370263819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0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-5.1159076974727213E-13</v>
      </c>
      <c r="EK118" s="17">
        <f>EJ118*VLOOKUP('Données projet'!$B$15,Paramètres!$A$1:$I$89,3,0)*VLOOKUP('Données projet'!$B$15,Paramètres!$A$1:$I$89,5,0)</f>
        <v>-3.4317508834647017E-13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207.93042467236967</v>
      </c>
      <c r="EP118" s="59">
        <f t="shared" si="100"/>
        <v>250.70954318710835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0.51102391796057134</v>
      </c>
      <c r="EW118" s="21">
        <f>EXP(-LN(2)/25)*EW117+(1-EXP(-LN(2)/25))/(LN(2)/25)*Calculateur!ER118*Calculateur!ET118*VLOOKUP('Données projet'!$B$15,Paramètres!$A$1:$I$89,3,0)*0.475*44/12</f>
        <v>1.638948255995136</v>
      </c>
      <c r="EX118" s="21">
        <f>EXP(-LN(2)/2)*EX117+(1-EXP(-LN(2)/2))/(LN(2)/2)*ER118*EU118*VLOOKUP('Données projet'!$B$15,Paramètres!$A$1:$I$89,3,0)*0.475*44/12</f>
        <v>3.2586707324580489E-12</v>
      </c>
      <c r="EY118" s="22">
        <f t="shared" si="75"/>
        <v>2.1499721739589663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6.8461538461538511</v>
      </c>
      <c r="FE118" s="12">
        <f>IF('Données projet'!$A$218&gt;35,FE117+FD118-FM117,IF(A118&lt;'Données projet'!$A$218,$FB$205^A118,IF(A118='Données projet'!$A$218,'Données projet'!$B$218,FE117+FD118-FM117)))</f>
        <v>329.95512820512846</v>
      </c>
      <c r="FF118" s="17">
        <f>FE118*VLOOKUP('Données projet'!$B$16,Paramètres!$A$1:$I$89,3,0)*VLOOKUP('Données projet'!$B$16,Paramètres!$A$1:$I$89,5,0)</f>
        <v>355.16370000000029</v>
      </c>
      <c r="FG118" s="13">
        <f t="shared" si="101"/>
        <v>82.624862702127757</v>
      </c>
      <c r="FH118" s="20">
        <f t="shared" si="76"/>
        <v>762.48174670620631</v>
      </c>
      <c r="FI118" s="59">
        <f t="shared" si="77"/>
        <v>1055.8150800395397</v>
      </c>
      <c r="FJ118" s="59">
        <f ca="1">AVERAGE(OFFSET($FI$3,0,0,'Données projet'!$E$16+1,1))-AVERAGE(OFFSET($H$3,0,0,'Données projet'!$E$16+1,1))</f>
        <v>286.77702855541287</v>
      </c>
      <c r="FK118" s="59">
        <f t="shared" si="102"/>
        <v>227.12211541860779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0</v>
      </c>
      <c r="FR118" s="21">
        <f>EXP(-LN(2)/25)*FR117+(1-EXP(-LN(2)/25))/(LN(2)/25)*Calculateur!FM118*Calculateur!FO118*VLOOKUP('Données projet'!$B$16,Paramètres!$A$1:$I$89,3,0)*0.475*44/12</f>
        <v>0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0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7.0884615384615346</v>
      </c>
      <c r="FZ118" s="12">
        <f>IF('Données projet'!$A$244&gt;35,FZ117+FY118-GH117,IF(A118&lt;'Données projet'!$A$244,$FW$205^A118,IF(A118='Données projet'!$A$244,'Données projet'!$B$244,FZ117+FY118-GH117)))</f>
        <v>375.07692307692338</v>
      </c>
      <c r="GA118" s="17">
        <f>FZ118*VLOOKUP('Données projet'!$B$17,Paramètres!$A$1:$I$89,3,0)*VLOOKUP('Données projet'!$B$17,Paramètres!$A$1:$I$89,5,0)</f>
        <v>175.53600000000014</v>
      </c>
      <c r="GB118" s="13">
        <f t="shared" si="103"/>
        <v>44.327581520891123</v>
      </c>
      <c r="GC118" s="20">
        <f t="shared" si="79"/>
        <v>382.92907114888561</v>
      </c>
      <c r="GD118" s="59">
        <f t="shared" si="80"/>
        <v>676.26240448221893</v>
      </c>
      <c r="GE118" s="59">
        <f ca="1">AVERAGE(OFFSET($GD$3,0,0,'Données projet'!$E$17+1,1))-AVERAGE(OFFSET($H$3,0,0,'Données projet'!$E$17+1,1))</f>
        <v>123.2823358462245</v>
      </c>
      <c r="GF118" s="59">
        <f t="shared" si="104"/>
        <v>92.75115399786057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0</v>
      </c>
      <c r="GM118" s="21">
        <f>EXP(-LN(2)/25)*GM117+(1-EXP(-LN(2)/25))/(LN(2)/25)*Calculateur!GH118*Calculateur!GJ118*VLOOKUP('Données projet'!$B$17,Paramètres!$A$1:$I$89,3,0)*0.475*44/12</f>
        <v>0</v>
      </c>
      <c r="GN118" s="21">
        <f>EXP(-LN(2)/2)*GN117+(1-EXP(-LN(2)/2))/(LN(2)/2)*GH118*GK118*VLOOKUP('Données projet'!$B$17,Paramètres!$A$1:$I$89,3,0)*0.475*44/12</f>
        <v>0</v>
      </c>
      <c r="GO118" s="21">
        <f t="shared" si="81"/>
        <v>0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-2.8421709430404007E-13</v>
      </c>
      <c r="GV118" s="17">
        <f>GU118*VLOOKUP('Données projet'!$B$18,Paramètres!$A$1:$I$89,3,0)*VLOOKUP('Données projet'!$B$18,Paramètres!$A$1:$I$89,5,0)</f>
        <v>-1.69961822393816E-13</v>
      </c>
      <c r="GW118" s="13" t="e">
        <f t="shared" si="105"/>
        <v>#NUM!</v>
      </c>
      <c r="GX118" s="20" t="e">
        <f t="shared" si="82"/>
        <v>#NUM!</v>
      </c>
      <c r="GY118" s="59" t="e">
        <f t="shared" si="83"/>
        <v>#NUM!</v>
      </c>
      <c r="GZ118" s="59">
        <f ca="1">AVERAGE(OFFSET($GY$3,0,0,'Données projet'!$E$18+1,1))-AVERAGE(OFFSET($H$3,0,0,'Données projet'!$E$18+1,1))</f>
        <v>171.96009656745713</v>
      </c>
      <c r="HA118" s="59">
        <f t="shared" si="106"/>
        <v>172.37574906747716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>
        <f>EXP(-LN(2)/35)*HG117+(1-EXP(-LN(2)/35))/(LN(2)/35)*HC118*HD118*VLOOKUP('Données projet'!$B$18,Paramètres!$A$1:$I$89,3,0)*0.475*44/12</f>
        <v>0.30983923189941132</v>
      </c>
      <c r="HH118" s="21">
        <f>EXP(-LN(2)/25)*HH117+(1-EXP(-LN(2)/25))/(LN(2)/25)*Calculateur!HC118*Calculateur!HE118*VLOOKUP('Données projet'!$B$18,Paramètres!$A$1:$I$89,3,0)*0.475*44/12</f>
        <v>1.9474087984661166</v>
      </c>
      <c r="HI118" s="21">
        <f>EXP(-LN(2)/2)*HI117+(1-EXP(-LN(2)/2))/(LN(2)/2)*HC118*HF118*VLOOKUP('Données projet'!$B$18,Paramètres!$A$1:$I$89,3,0)*0.475*44/12</f>
        <v>1.9365037095936187E-12</v>
      </c>
      <c r="HJ118" s="22">
        <f t="shared" si="84"/>
        <v>2.2572480303674647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-2.2737367544323206E-13</v>
      </c>
      <c r="O119" s="13">
        <f>N119*VLOOKUP('Données projet'!$B$9,Paramètres!$A$1:$I$89,3,0)*VLOOKUP('Données projet'!$B$9,Paramètres!$A$1:$I$89,5,0)</f>
        <v>-1.2710188457276673E-13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255.5374979188561</v>
      </c>
      <c r="T119" s="59">
        <f t="shared" si="88"/>
        <v>343.10418468620901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0.56271762328215369</v>
      </c>
      <c r="AA119" s="21">
        <f>EXP(-LN(2)/25)*AA118+(1-EXP(-LN(2)/25))/(LN(2)/25)*Calculateur!V119*Calculateur!X119*VLOOKUP('Données projet'!$B$9,Paramètres!$A$1:$I$89,3,0)*0.475*44/12</f>
        <v>1.4706074209839628</v>
      </c>
      <c r="AB119" s="21">
        <f>EXP(-LN(2)/2)*AB118+(1-EXP(-LN(2)/2))/(LN(2)/2)*V119*Y119*VLOOKUP('Données projet'!$B$9,Paramètres!$A$1:$I$89,3,0)*0.475*44/12</f>
        <v>1.9243226227605033E-13</v>
      </c>
      <c r="AC119" s="22">
        <f t="shared" si="57"/>
        <v>2.0333250442663089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3.4106051316484809E-13</v>
      </c>
      <c r="AJ119" s="13">
        <f>AI119*VLOOKUP('Données projet'!$B$10,Paramètres!$A$1:$I$89,3,0)*VLOOKUP('Données projet'!$B$10,Paramètres!$A$1:$I$89,5,0)</f>
        <v>1.5961632016114892E-13</v>
      </c>
      <c r="AK119" s="13">
        <f t="shared" si="89"/>
        <v>2.2708641912150958E-12</v>
      </c>
      <c r="AL119" s="20">
        <f t="shared" si="58"/>
        <v>4.2330868906469593E-12</v>
      </c>
      <c r="AM119" s="59">
        <f t="shared" si="59"/>
        <v>293.33333333333752</v>
      </c>
      <c r="AN119" s="59">
        <f ca="1">AVERAGE(OFFSET($AM$3,0,0,'Données projet'!$E$10+1,1))-AVERAGE(OFFSET($H$3,0,0,'Données projet'!$E$10+1,1))</f>
        <v>158.58786357608489</v>
      </c>
      <c r="AO119" s="59">
        <f t="shared" si="90"/>
        <v>163.20074068819849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0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-1.7053025658242404E-13</v>
      </c>
      <c r="BE119" s="13">
        <f>BD119*VLOOKUP('Données projet'!$B$11,Paramètres!$A$1:$I$89,3,0)*VLOOKUP('Données projet'!$B$11,Paramètres!$A$1:$I$89,5,0)</f>
        <v>-1.0197709343628959E-13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243.85350804244348</v>
      </c>
      <c r="BJ119" s="59">
        <f t="shared" si="92"/>
        <v>304.60992308960545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0.8241857905736566</v>
      </c>
      <c r="BQ119" s="21">
        <f>EXP(-LN(2)/25)*BQ118+(1-EXP(-LN(2)/25))/(LN(2)/25)*Calculateur!BL119*Calculateur!BN119*VLOOKUP('Données projet'!$B$11,Paramètres!$A$1:$I$89,3,0)*0.475*44/12</f>
        <v>1.6335732901959901</v>
      </c>
      <c r="BR119" s="21">
        <f>EXP(-LN(2)/2)*BR118+(1-EXP(-LN(2)/2))/(LN(2)/2)*BL119*BO119*VLOOKUP('Données projet'!$B$11,Paramètres!$A$1:$I$89,3,0)*0.475*44/12</f>
        <v>4.2498715257257801E-13</v>
      </c>
      <c r="BS119" s="22">
        <f t="shared" si="63"/>
        <v>2.4577590807700718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497</v>
      </c>
      <c r="BZ119" s="13">
        <f>BY119*VLOOKUP('Données projet'!$B$12,Paramètres!$A$1:$I$89,3,0)*VLOOKUP('Données projet'!$B$12,Paramètres!$A$1:$I$89,5,0)</f>
        <v>297.20600000000002</v>
      </c>
      <c r="CA119" s="13">
        <f t="shared" si="93"/>
        <v>70.590415164571112</v>
      </c>
      <c r="CB119" s="20">
        <f t="shared" si="64"/>
        <v>640.57875641162809</v>
      </c>
      <c r="CC119" s="59">
        <f t="shared" si="65"/>
        <v>933.91208974496135</v>
      </c>
      <c r="CD119" s="59">
        <f ca="1">AVERAGE(OFFSET($CC$3,0,0,'Données projet'!$E$12+1,1))-AVERAGE(OFFSET($H$3,0,0,'Données projet'!$E$12+1,1))</f>
        <v>270.30888762640245</v>
      </c>
      <c r="CE119" s="59">
        <f t="shared" si="94"/>
        <v>202.23783851977691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0.39004938812385553</v>
      </c>
      <c r="CL119" s="21">
        <f>EXP(-LN(2)/25)*CL118+(1-EXP(-LN(2)/25))/(LN(2)/25)*Calculateur!CG119*Calculateur!CI119*VLOOKUP('Données projet'!$B$12,Paramètres!$A$1:$I$89,3,0)*0.475*44/12</f>
        <v>1.1329029330325324</v>
      </c>
      <c r="CM119" s="21">
        <f>EXP(-LN(2)/2)*CM118+(1-EXP(-LN(2)/2))/(LN(2)/2)*CG119*CJ119*VLOOKUP('Données projet'!$B$12,Paramètres!$A$1:$I$89,3,0)*0.475*44/12</f>
        <v>2.102366191418535E-12</v>
      </c>
      <c r="CN119" s="22">
        <f t="shared" si="66"/>
        <v>1.5229523211584903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-5.1159076974727213E-13</v>
      </c>
      <c r="CU119" s="17">
        <f>CT119*VLOOKUP('Données projet'!$B$13,Paramètres!$A$1:$I$89,3,0)*VLOOKUP('Données projet'!$B$13,Paramètres!$A$1:$I$89,5,0)</f>
        <v>-4.0702161641092972E-13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260.20517190557814</v>
      </c>
      <c r="CZ119" s="59">
        <f t="shared" si="96"/>
        <v>307.22009971147133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0.59421292050655972</v>
      </c>
      <c r="DG119" s="21">
        <f>EXP(-LN(2)/25)*DG118+(1-EXP(-LN(2)/25))/(LN(2)/25)*Calculateur!DB119*Calculateur!DD119*VLOOKUP('Données projet'!$B$13,Paramètres!$A$1:$I$89,3,0)*0.475*44/12</f>
        <v>1.8907136655131762</v>
      </c>
      <c r="DH119" s="21">
        <f>EXP(-LN(2)/2)*DH118+(1-EXP(-LN(2)/2))/(LN(2)/2)*DB119*DE119*VLOOKUP('Données projet'!$B$13,Paramètres!$A$1:$I$89,3,0)*0.475*44/12</f>
        <v>2.7329217860775869E-12</v>
      </c>
      <c r="DI119" s="22">
        <f t="shared" si="69"/>
        <v>2.484926586022469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6.8461538461538511</v>
      </c>
      <c r="DO119" s="12">
        <f>IF('Données projet'!$A$166&gt;35,DO118+DN119-DW118,IF(A119&lt;'Données projet'!$A$166,$DL$205^A119,IF(A119='Données projet'!$A$166,'Données projet'!$B$166,DO118+DN119-DW118)))</f>
        <v>336.80128205128233</v>
      </c>
      <c r="DP119" s="17">
        <f>DO119*VLOOKUP('Données projet'!$B$14,Paramètres!$A$1:$I$89,3,0)*VLOOKUP('Données projet'!$B$14,Paramètres!$A$1:$I$89,5,0)</f>
        <v>341.51650000000029</v>
      </c>
      <c r="DQ119" s="13">
        <f t="shared" si="97"/>
        <v>79.813183723893872</v>
      </c>
      <c r="DR119" s="20">
        <f t="shared" si="70"/>
        <v>733.81586581911563</v>
      </c>
      <c r="DS119" s="59">
        <f t="shared" si="71"/>
        <v>1027.149199152449</v>
      </c>
      <c r="DT119" s="59">
        <f ca="1">AVERAGE(OFFSET($DS$3,0,0,'Données projet'!$E$14+1,1))-AVERAGE(OFFSET($H$3,0,0,'Données projet'!$E$14+1,1))</f>
        <v>263.15518481854753</v>
      </c>
      <c r="DU119" s="59">
        <f t="shared" si="98"/>
        <v>210.80755370263819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0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-5.1159076974727213E-13</v>
      </c>
      <c r="EK119" s="17">
        <f>EJ119*VLOOKUP('Données projet'!$B$15,Paramètres!$A$1:$I$89,3,0)*VLOOKUP('Données projet'!$B$15,Paramètres!$A$1:$I$89,5,0)</f>
        <v>-3.4317508834647017E-13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207.93042467236967</v>
      </c>
      <c r="EP119" s="59">
        <f t="shared" si="100"/>
        <v>250.70954318710835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0.50100305062317729</v>
      </c>
      <c r="EW119" s="21">
        <f>EXP(-LN(2)/25)*EW118+(1-EXP(-LN(2)/25))/(LN(2)/25)*Calculateur!ER119*Calculateur!ET119*VLOOKUP('Données projet'!$B$15,Paramètres!$A$1:$I$89,3,0)*0.475*44/12</f>
        <v>1.594131129746406</v>
      </c>
      <c r="EX119" s="21">
        <f>EXP(-LN(2)/2)*EX118+(1-EXP(-LN(2)/2))/(LN(2)/2)*ER119*EU119*VLOOKUP('Données projet'!$B$15,Paramètres!$A$1:$I$89,3,0)*0.475*44/12</f>
        <v>2.3042281725752201E-12</v>
      </c>
      <c r="EY119" s="22">
        <f t="shared" si="75"/>
        <v>2.0951341803718875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6.8461538461538511</v>
      </c>
      <c r="FE119" s="12">
        <f>IF('Données projet'!$A$218&gt;35,FE118+FD119-FM118,IF(A119&lt;'Données projet'!$A$218,$FB$205^A119,IF(A119='Données projet'!$A$218,'Données projet'!$B$218,FE118+FD119-FM118)))</f>
        <v>336.80128205128233</v>
      </c>
      <c r="FF119" s="17">
        <f>FE119*VLOOKUP('Données projet'!$B$16,Paramètres!$A$1:$I$89,3,0)*VLOOKUP('Données projet'!$B$16,Paramètres!$A$1:$I$89,5,0)</f>
        <v>362.53290000000027</v>
      </c>
      <c r="FG119" s="13">
        <f t="shared" si="101"/>
        <v>84.13785765482551</v>
      </c>
      <c r="FH119" s="20">
        <f t="shared" si="76"/>
        <v>777.95156958215478</v>
      </c>
      <c r="FI119" s="59">
        <f t="shared" si="77"/>
        <v>1071.2849029154881</v>
      </c>
      <c r="FJ119" s="59">
        <f ca="1">AVERAGE(OFFSET($FI$3,0,0,'Données projet'!$E$16+1,1))-AVERAGE(OFFSET($H$3,0,0,'Données projet'!$E$16+1,1))</f>
        <v>286.77702855541287</v>
      </c>
      <c r="FK119" s="59">
        <f t="shared" si="102"/>
        <v>227.12211541860779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0</v>
      </c>
      <c r="FR119" s="21">
        <f>EXP(-LN(2)/25)*FR118+(1-EXP(-LN(2)/25))/(LN(2)/25)*Calculateur!FM119*Calculateur!FO119*VLOOKUP('Données projet'!$B$16,Paramètres!$A$1:$I$89,3,0)*0.475*44/12</f>
        <v>0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0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7.0884615384615346</v>
      </c>
      <c r="FZ119" s="12">
        <f>IF('Données projet'!$A$244&gt;35,FZ118+FY119-GH118,IF(A119&lt;'Données projet'!$A$244,$FW$205^A119,IF(A119='Données projet'!$A$244,'Données projet'!$B$244,FZ118+FY119-GH118)))</f>
        <v>382.16538461538494</v>
      </c>
      <c r="GA119" s="17">
        <f>FZ119*VLOOKUP('Données projet'!$B$17,Paramètres!$A$1:$I$89,3,0)*VLOOKUP('Données projet'!$B$17,Paramètres!$A$1:$I$89,5,0)</f>
        <v>178.85340000000014</v>
      </c>
      <c r="GB119" s="13">
        <f t="shared" si="103"/>
        <v>45.06699399320177</v>
      </c>
      <c r="GC119" s="20">
        <f t="shared" si="79"/>
        <v>389.99468620482668</v>
      </c>
      <c r="GD119" s="59">
        <f t="shared" si="80"/>
        <v>683.32801953815999</v>
      </c>
      <c r="GE119" s="59">
        <f ca="1">AVERAGE(OFFSET($GD$3,0,0,'Données projet'!$E$17+1,1))-AVERAGE(OFFSET($H$3,0,0,'Données projet'!$E$17+1,1))</f>
        <v>123.2823358462245</v>
      </c>
      <c r="GF119" s="59">
        <f t="shared" si="104"/>
        <v>92.75115399786057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0</v>
      </c>
      <c r="GM119" s="21">
        <f>EXP(-LN(2)/25)*GM118+(1-EXP(-LN(2)/25))/(LN(2)/25)*Calculateur!GH119*Calculateur!GJ119*VLOOKUP('Données projet'!$B$17,Paramètres!$A$1:$I$89,3,0)*0.475*44/12</f>
        <v>0</v>
      </c>
      <c r="GN119" s="21">
        <f>EXP(-LN(2)/2)*GN118+(1-EXP(-LN(2)/2))/(LN(2)/2)*GH119*GK119*VLOOKUP('Données projet'!$B$17,Paramètres!$A$1:$I$89,3,0)*0.475*44/12</f>
        <v>0</v>
      </c>
      <c r="GO119" s="21">
        <f t="shared" si="81"/>
        <v>0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-2.8421709430404007E-13</v>
      </c>
      <c r="GV119" s="17">
        <f>GU119*VLOOKUP('Données projet'!$B$18,Paramètres!$A$1:$I$89,3,0)*VLOOKUP('Données projet'!$B$18,Paramètres!$A$1:$I$89,5,0)</f>
        <v>-1.69961822393816E-13</v>
      </c>
      <c r="GW119" s="13" t="e">
        <f t="shared" si="105"/>
        <v>#NUM!</v>
      </c>
      <c r="GX119" s="20" t="e">
        <f t="shared" si="82"/>
        <v>#NUM!</v>
      </c>
      <c r="GY119" s="59" t="e">
        <f t="shared" si="83"/>
        <v>#NUM!</v>
      </c>
      <c r="GZ119" s="59">
        <f ca="1">AVERAGE(OFFSET($GY$3,0,0,'Données projet'!$E$18+1,1))-AVERAGE(OFFSET($H$3,0,0,'Données projet'!$E$18+1,1))</f>
        <v>171.96009656745713</v>
      </c>
      <c r="HA119" s="59">
        <f t="shared" si="106"/>
        <v>172.37574906747716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>
        <f>EXP(-LN(2)/35)*HG118+(1-EXP(-LN(2)/35))/(LN(2)/35)*HC119*HD119*VLOOKUP('Données projet'!$B$18,Paramètres!$A$1:$I$89,3,0)*0.475*44/12</f>
        <v>0.30376347354513478</v>
      </c>
      <c r="HH119" s="21">
        <f>EXP(-LN(2)/25)*HH118+(1-EXP(-LN(2)/25))/(LN(2)/25)*Calculateur!HC119*Calculateur!HE119*VLOOKUP('Données projet'!$B$18,Paramètres!$A$1:$I$89,3,0)*0.475*44/12</f>
        <v>1.8941568024622828</v>
      </c>
      <c r="HI119" s="21">
        <f>EXP(-LN(2)/2)*HI118+(1-EXP(-LN(2)/2))/(LN(2)/2)*HC119*HF119*VLOOKUP('Données projet'!$B$18,Paramètres!$A$1:$I$89,3,0)*0.475*44/12</f>
        <v>1.3693149048465525E-12</v>
      </c>
      <c r="HJ119" s="22">
        <f t="shared" si="84"/>
        <v>2.1979202760087868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-2.2737367544323206E-13</v>
      </c>
      <c r="O120" s="13">
        <f>N120*VLOOKUP('Données projet'!$B$9,Paramètres!$A$1:$I$89,3,0)*VLOOKUP('Données projet'!$B$9,Paramètres!$A$1:$I$89,5,0)</f>
        <v>-1.2710188457276673E-13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255.5374979188561</v>
      </c>
      <c r="T120" s="59">
        <f t="shared" si="88"/>
        <v>343.10418468620901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0.55168307391345028</v>
      </c>
      <c r="AA120" s="21">
        <f>EXP(-LN(2)/25)*AA119+(1-EXP(-LN(2)/25))/(LN(2)/25)*Calculateur!V120*Calculateur!X120*VLOOKUP('Données projet'!$B$9,Paramètres!$A$1:$I$89,3,0)*0.475*44/12</f>
        <v>1.4303935837212731</v>
      </c>
      <c r="AB120" s="21">
        <f>EXP(-LN(2)/2)*AB119+(1-EXP(-LN(2)/2))/(LN(2)/2)*V120*Y120*VLOOKUP('Données projet'!$B$9,Paramètres!$A$1:$I$89,3,0)*0.475*44/12</f>
        <v>1.3607015757446344E-13</v>
      </c>
      <c r="AC120" s="22">
        <f t="shared" si="57"/>
        <v>1.9820766576348594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3.4106051316484809E-13</v>
      </c>
      <c r="AJ120" s="13">
        <f>AI120*VLOOKUP('Données projet'!$B$10,Paramètres!$A$1:$I$89,3,0)*VLOOKUP('Données projet'!$B$10,Paramètres!$A$1:$I$89,5,0)</f>
        <v>1.5961632016114892E-13</v>
      </c>
      <c r="AK120" s="13">
        <f t="shared" si="89"/>
        <v>2.2708641912150958E-12</v>
      </c>
      <c r="AL120" s="20">
        <f t="shared" si="58"/>
        <v>4.2330868906469593E-12</v>
      </c>
      <c r="AM120" s="59">
        <f t="shared" si="59"/>
        <v>293.33333333333752</v>
      </c>
      <c r="AN120" s="59">
        <f ca="1">AVERAGE(OFFSET($AM$3,0,0,'Données projet'!$E$10+1,1))-AVERAGE(OFFSET($H$3,0,0,'Données projet'!$E$10+1,1))</f>
        <v>158.58786357608489</v>
      </c>
      <c r="AO120" s="59">
        <f t="shared" si="90"/>
        <v>163.20074068819849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0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-1.7053025658242404E-13</v>
      </c>
      <c r="BE120" s="13">
        <f>BD120*VLOOKUP('Données projet'!$B$11,Paramètres!$A$1:$I$89,3,0)*VLOOKUP('Données projet'!$B$11,Paramètres!$A$1:$I$89,5,0)</f>
        <v>-1.0197709343628959E-13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243.85350804244348</v>
      </c>
      <c r="BJ120" s="59">
        <f t="shared" si="92"/>
        <v>304.60992308960545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0.80802400992420154</v>
      </c>
      <c r="BQ120" s="21">
        <f>EXP(-LN(2)/25)*BQ119+(1-EXP(-LN(2)/25))/(LN(2)/25)*Calculateur!BL120*Calculateur!BN120*VLOOKUP('Données projet'!$B$11,Paramètres!$A$1:$I$89,3,0)*0.475*44/12</f>
        <v>1.5889031426696949</v>
      </c>
      <c r="BR120" s="21">
        <f>EXP(-LN(2)/2)*BR119+(1-EXP(-LN(2)/2))/(LN(2)/2)*BL120*BO120*VLOOKUP('Données projet'!$B$11,Paramètres!$A$1:$I$89,3,0)*0.475*44/12</f>
        <v>3.0051129750123181E-13</v>
      </c>
      <c r="BS120" s="22">
        <f t="shared" si="63"/>
        <v>2.3969271525941971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497</v>
      </c>
      <c r="BZ120" s="13">
        <f>BY120*VLOOKUP('Données projet'!$B$12,Paramètres!$A$1:$I$89,3,0)*VLOOKUP('Données projet'!$B$12,Paramètres!$A$1:$I$89,5,0)</f>
        <v>297.20600000000002</v>
      </c>
      <c r="CA120" s="13">
        <f t="shared" si="93"/>
        <v>70.590415164571112</v>
      </c>
      <c r="CB120" s="20">
        <f t="shared" si="64"/>
        <v>640.57875641162809</v>
      </c>
      <c r="CC120" s="59">
        <f t="shared" si="65"/>
        <v>933.91208974496135</v>
      </c>
      <c r="CD120" s="59">
        <f ca="1">AVERAGE(OFFSET($CC$3,0,0,'Données projet'!$E$12+1,1))-AVERAGE(OFFSET($H$3,0,0,'Données projet'!$E$12+1,1))</f>
        <v>270.30888762640245</v>
      </c>
      <c r="CE120" s="59">
        <f t="shared" si="94"/>
        <v>202.23783851977691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0.38240075752938213</v>
      </c>
      <c r="CL120" s="21">
        <f>EXP(-LN(2)/25)*CL119+(1-EXP(-LN(2)/25))/(LN(2)/25)*Calculateur!CG120*Calculateur!CI120*VLOOKUP('Données projet'!$B$12,Paramètres!$A$1:$I$89,3,0)*0.475*44/12</f>
        <v>1.1019236427519818</v>
      </c>
      <c r="CM120" s="21">
        <f>EXP(-LN(2)/2)*CM119+(1-EXP(-LN(2)/2))/(LN(2)/2)*CG120*CJ120*VLOOKUP('Données projet'!$B$12,Paramètres!$A$1:$I$89,3,0)*0.475*44/12</f>
        <v>1.4865973904893813E-12</v>
      </c>
      <c r="CN120" s="22">
        <f t="shared" si="66"/>
        <v>1.4843244002828506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-5.1159076974727213E-13</v>
      </c>
      <c r="CU120" s="17">
        <f>CT120*VLOOKUP('Données projet'!$B$13,Paramètres!$A$1:$I$89,3,0)*VLOOKUP('Données projet'!$B$13,Paramètres!$A$1:$I$89,5,0)</f>
        <v>-4.0702161641092972E-13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260.20517190557814</v>
      </c>
      <c r="CZ120" s="59">
        <f t="shared" si="96"/>
        <v>307.22009971147133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0.58256076756952024</v>
      </c>
      <c r="DG120" s="21">
        <f>EXP(-LN(2)/25)*DG119+(1-EXP(-LN(2)/25))/(LN(2)/25)*Calculateur!DB120*Calculateur!DD120*VLOOKUP('Données projet'!$B$13,Paramètres!$A$1:$I$89,3,0)*0.475*44/12</f>
        <v>1.8390120009014079</v>
      </c>
      <c r="DH120" s="21">
        <f>EXP(-LN(2)/2)*DH119+(1-EXP(-LN(2)/2))/(LN(2)/2)*DB120*DE120*VLOOKUP('Données projet'!$B$13,Paramètres!$A$1:$I$89,3,0)*0.475*44/12</f>
        <v>1.9324675273879128E-12</v>
      </c>
      <c r="DI120" s="22">
        <f t="shared" si="69"/>
        <v>2.4215727684728607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6.8461538461538511</v>
      </c>
      <c r="DO120" s="12">
        <f>IF('Données projet'!$A$166&gt;35,DO119+DN120-DW119,IF(A120&lt;'Données projet'!$A$166,$DL$205^A120,IF(A120='Données projet'!$A$166,'Données projet'!$B$166,DO119+DN120-DW119)))</f>
        <v>343.6474358974362</v>
      </c>
      <c r="DP120" s="17">
        <f>DO120*VLOOKUP('Données projet'!$B$14,Paramètres!$A$1:$I$89,3,0)*VLOOKUP('Données projet'!$B$14,Paramètres!$A$1:$I$89,5,0)</f>
        <v>348.45850000000036</v>
      </c>
      <c r="DQ120" s="13">
        <f t="shared" si="97"/>
        <v>81.245018883378833</v>
      </c>
      <c r="DR120" s="20">
        <f t="shared" si="70"/>
        <v>748.40029538855197</v>
      </c>
      <c r="DS120" s="59">
        <f t="shared" si="71"/>
        <v>1041.7336287218852</v>
      </c>
      <c r="DT120" s="59">
        <f ca="1">AVERAGE(OFFSET($DS$3,0,0,'Données projet'!$E$14+1,1))-AVERAGE(OFFSET($H$3,0,0,'Données projet'!$E$14+1,1))</f>
        <v>263.15518481854753</v>
      </c>
      <c r="DU120" s="59">
        <f t="shared" si="98"/>
        <v>210.80755370263819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0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-5.1159076974727213E-13</v>
      </c>
      <c r="EK120" s="17">
        <f>EJ120*VLOOKUP('Données projet'!$B$15,Paramètres!$A$1:$I$89,3,0)*VLOOKUP('Données projet'!$B$15,Paramètres!$A$1:$I$89,5,0)</f>
        <v>-3.4317508834647017E-13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207.93042467236967</v>
      </c>
      <c r="EP120" s="59">
        <f t="shared" si="100"/>
        <v>250.70954318710835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0.49117868638214396</v>
      </c>
      <c r="EW120" s="21">
        <f>EXP(-LN(2)/25)*EW119+(1-EXP(-LN(2)/25))/(LN(2)/25)*Calculateur!ER120*Calculateur!ET120*VLOOKUP('Données projet'!$B$15,Paramètres!$A$1:$I$89,3,0)*0.475*44/12</f>
        <v>1.5505395301717779</v>
      </c>
      <c r="EX120" s="21">
        <f>EXP(-LN(2)/2)*EX119+(1-EXP(-LN(2)/2))/(LN(2)/2)*ER120*EU120*VLOOKUP('Données projet'!$B$15,Paramètres!$A$1:$I$89,3,0)*0.475*44/12</f>
        <v>1.6293353662290245E-12</v>
      </c>
      <c r="EY120" s="22">
        <f t="shared" si="75"/>
        <v>2.0417182165555512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6.8461538461538511</v>
      </c>
      <c r="FE120" s="12">
        <f>IF('Données projet'!$A$218&gt;35,FE119+FD120-FM119,IF(A120&lt;'Données projet'!$A$218,$FB$205^A120,IF(A120='Données projet'!$A$218,'Données projet'!$B$218,FE119+FD120-FM119)))</f>
        <v>343.6474358974362</v>
      </c>
      <c r="FF120" s="17">
        <f>FE120*VLOOKUP('Données projet'!$B$16,Paramètres!$A$1:$I$89,3,0)*VLOOKUP('Données projet'!$B$16,Paramètres!$A$1:$I$89,5,0)</f>
        <v>369.9021000000003</v>
      </c>
      <c r="FG120" s="13">
        <f t="shared" si="101"/>
        <v>85.647276740908836</v>
      </c>
      <c r="FH120" s="20">
        <f t="shared" si="76"/>
        <v>793.41516449041671</v>
      </c>
      <c r="FI120" s="59">
        <f t="shared" si="77"/>
        <v>1086.7484978237501</v>
      </c>
      <c r="FJ120" s="59">
        <f ca="1">AVERAGE(OFFSET($FI$3,0,0,'Données projet'!$E$16+1,1))-AVERAGE(OFFSET($H$3,0,0,'Données projet'!$E$16+1,1))</f>
        <v>286.77702855541287</v>
      </c>
      <c r="FK120" s="59">
        <f t="shared" si="102"/>
        <v>227.12211541860779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0</v>
      </c>
      <c r="FR120" s="21">
        <f>EXP(-LN(2)/25)*FR119+(1-EXP(-LN(2)/25))/(LN(2)/25)*Calculateur!FM120*Calculateur!FO120*VLOOKUP('Données projet'!$B$16,Paramètres!$A$1:$I$89,3,0)*0.475*44/12</f>
        <v>0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0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7.0884615384615346</v>
      </c>
      <c r="FZ120" s="12">
        <f>IF('Données projet'!$A$244&gt;35,FZ119+FY120-GH119,IF(A120&lt;'Données projet'!$A$244,$FW$205^A120,IF(A120='Données projet'!$A$244,'Données projet'!$B$244,FZ119+FY120-GH119)))</f>
        <v>389.2538461538465</v>
      </c>
      <c r="GA120" s="17">
        <f>FZ120*VLOOKUP('Données projet'!$B$17,Paramètres!$A$1:$I$89,3,0)*VLOOKUP('Données projet'!$B$17,Paramètres!$A$1:$I$89,5,0)</f>
        <v>182.17080000000018</v>
      </c>
      <c r="GB120" s="13">
        <f t="shared" si="103"/>
        <v>45.804811695795266</v>
      </c>
      <c r="GC120" s="20">
        <f t="shared" si="79"/>
        <v>397.05752370351041</v>
      </c>
      <c r="GD120" s="59">
        <f t="shared" si="80"/>
        <v>690.39085703684373</v>
      </c>
      <c r="GE120" s="59">
        <f ca="1">AVERAGE(OFFSET($GD$3,0,0,'Données projet'!$E$17+1,1))-AVERAGE(OFFSET($H$3,0,0,'Données projet'!$E$17+1,1))</f>
        <v>123.2823358462245</v>
      </c>
      <c r="GF120" s="59">
        <f t="shared" si="104"/>
        <v>92.75115399786057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0</v>
      </c>
      <c r="GM120" s="21">
        <f>EXP(-LN(2)/25)*GM119+(1-EXP(-LN(2)/25))/(LN(2)/25)*Calculateur!GH120*Calculateur!GJ120*VLOOKUP('Données projet'!$B$17,Paramètres!$A$1:$I$89,3,0)*0.475*44/12</f>
        <v>0</v>
      </c>
      <c r="GN120" s="21">
        <f>EXP(-LN(2)/2)*GN119+(1-EXP(-LN(2)/2))/(LN(2)/2)*GH120*GK120*VLOOKUP('Données projet'!$B$17,Paramètres!$A$1:$I$89,3,0)*0.475*44/12</f>
        <v>0</v>
      </c>
      <c r="GO120" s="21">
        <f t="shared" si="81"/>
        <v>0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-2.8421709430404007E-13</v>
      </c>
      <c r="GV120" s="17">
        <f>GU120*VLOOKUP('Données projet'!$B$18,Paramètres!$A$1:$I$89,3,0)*VLOOKUP('Données projet'!$B$18,Paramètres!$A$1:$I$89,5,0)</f>
        <v>-1.69961822393816E-13</v>
      </c>
      <c r="GW120" s="13" t="e">
        <f t="shared" si="105"/>
        <v>#NUM!</v>
      </c>
      <c r="GX120" s="20" t="e">
        <f t="shared" si="82"/>
        <v>#NUM!</v>
      </c>
      <c r="GY120" s="59" t="e">
        <f t="shared" si="83"/>
        <v>#NUM!</v>
      </c>
      <c r="GZ120" s="59">
        <f ca="1">AVERAGE(OFFSET($GY$3,0,0,'Données projet'!$E$18+1,1))-AVERAGE(OFFSET($H$3,0,0,'Données projet'!$E$18+1,1))</f>
        <v>171.96009656745713</v>
      </c>
      <c r="HA120" s="59">
        <f t="shared" si="106"/>
        <v>172.37574906747716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>
        <f>EXP(-LN(2)/35)*HG119+(1-EXP(-LN(2)/35))/(LN(2)/35)*HC120*HD120*VLOOKUP('Données projet'!$B$18,Paramètres!$A$1:$I$89,3,0)*0.475*44/12</f>
        <v>0.29780685710633892</v>
      </c>
      <c r="HH120" s="21">
        <f>EXP(-LN(2)/25)*HH119+(1-EXP(-LN(2)/25))/(LN(2)/25)*Calculateur!HC120*Calculateur!HE120*VLOOKUP('Données projet'!$B$18,Paramètres!$A$1:$I$89,3,0)*0.475*44/12</f>
        <v>1.8423609850895746</v>
      </c>
      <c r="HI120" s="21">
        <f>EXP(-LN(2)/2)*HI119+(1-EXP(-LN(2)/2))/(LN(2)/2)*HC120*HF120*VLOOKUP('Données projet'!$B$18,Paramètres!$A$1:$I$89,3,0)*0.475*44/12</f>
        <v>9.6825185479680936E-13</v>
      </c>
      <c r="HJ120" s="22">
        <f t="shared" si="84"/>
        <v>2.1401678421968815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-2.2737367544323206E-13</v>
      </c>
      <c r="O121" s="13">
        <f>N121*VLOOKUP('Données projet'!$B$9,Paramètres!$A$1:$I$89,3,0)*VLOOKUP('Données projet'!$B$9,Paramètres!$A$1:$I$89,5,0)</f>
        <v>-1.2710188457276673E-13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255.5374979188561</v>
      </c>
      <c r="T121" s="59">
        <f t="shared" si="88"/>
        <v>343.10418468620901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0.54086490532745668</v>
      </c>
      <c r="AA121" s="21">
        <f>EXP(-LN(2)/25)*AA120+(1-EXP(-LN(2)/25))/(LN(2)/25)*Calculateur!V121*Calculateur!X121*VLOOKUP('Données projet'!$B$9,Paramètres!$A$1:$I$89,3,0)*0.475*44/12</f>
        <v>1.3912793959532856</v>
      </c>
      <c r="AB121" s="21">
        <f>EXP(-LN(2)/2)*AB120+(1-EXP(-LN(2)/2))/(LN(2)/2)*V121*Y121*VLOOKUP('Données projet'!$B$9,Paramètres!$A$1:$I$89,3,0)*0.475*44/12</f>
        <v>9.6216131138025164E-14</v>
      </c>
      <c r="AC121" s="22">
        <f t="shared" si="57"/>
        <v>1.9321443012808384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3.4106051316484809E-13</v>
      </c>
      <c r="AJ121" s="13">
        <f>AI121*VLOOKUP('Données projet'!$B$10,Paramètres!$A$1:$I$89,3,0)*VLOOKUP('Données projet'!$B$10,Paramètres!$A$1:$I$89,5,0)</f>
        <v>1.5961632016114892E-13</v>
      </c>
      <c r="AK121" s="13">
        <f t="shared" si="89"/>
        <v>2.2708641912150958E-12</v>
      </c>
      <c r="AL121" s="20">
        <f t="shared" si="58"/>
        <v>4.2330868906469593E-12</v>
      </c>
      <c r="AM121" s="59">
        <f t="shared" si="59"/>
        <v>293.33333333333752</v>
      </c>
      <c r="AN121" s="59">
        <f ca="1">AVERAGE(OFFSET($AM$3,0,0,'Données projet'!$E$10+1,1))-AVERAGE(OFFSET($H$3,0,0,'Données projet'!$E$10+1,1))</f>
        <v>158.58786357608489</v>
      </c>
      <c r="AO121" s="59">
        <f t="shared" si="90"/>
        <v>163.20074068819849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0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-1.7053025658242404E-13</v>
      </c>
      <c r="BE121" s="13">
        <f>BD121*VLOOKUP('Données projet'!$B$11,Paramètres!$A$1:$I$89,3,0)*VLOOKUP('Données projet'!$B$11,Paramètres!$A$1:$I$89,5,0)</f>
        <v>-1.0197709343628959E-13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243.85350804244348</v>
      </c>
      <c r="BJ121" s="59">
        <f t="shared" si="92"/>
        <v>304.60992308960545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0.79217915193556954</v>
      </c>
      <c r="BQ121" s="21">
        <f>EXP(-LN(2)/25)*BQ120+(1-EXP(-LN(2)/25))/(LN(2)/25)*Calculateur!BL121*Calculateur!BN121*VLOOKUP('Données projet'!$B$11,Paramètres!$A$1:$I$89,3,0)*0.475*44/12</f>
        <v>1.5454545026766073</v>
      </c>
      <c r="BR121" s="21">
        <f>EXP(-LN(2)/2)*BR120+(1-EXP(-LN(2)/2))/(LN(2)/2)*BL121*BO121*VLOOKUP('Données projet'!$B$11,Paramètres!$A$1:$I$89,3,0)*0.475*44/12</f>
        <v>2.1249357628628901E-13</v>
      </c>
      <c r="BS121" s="22">
        <f t="shared" si="63"/>
        <v>2.337633654612389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497</v>
      </c>
      <c r="BZ121" s="13">
        <f>BY121*VLOOKUP('Données projet'!$B$12,Paramètres!$A$1:$I$89,3,0)*VLOOKUP('Données projet'!$B$12,Paramètres!$A$1:$I$89,5,0)</f>
        <v>297.20600000000002</v>
      </c>
      <c r="CA121" s="13">
        <f t="shared" si="93"/>
        <v>70.590415164571112</v>
      </c>
      <c r="CB121" s="20">
        <f t="shared" si="64"/>
        <v>640.57875641162809</v>
      </c>
      <c r="CC121" s="59">
        <f t="shared" si="65"/>
        <v>933.91208974496135</v>
      </c>
      <c r="CD121" s="59">
        <f ca="1">AVERAGE(OFFSET($CC$3,0,0,'Données projet'!$E$12+1,1))-AVERAGE(OFFSET($H$3,0,0,'Données projet'!$E$12+1,1))</f>
        <v>270.30888762640245</v>
      </c>
      <c r="CE121" s="59">
        <f t="shared" si="94"/>
        <v>202.23783851977691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0.37490211191566236</v>
      </c>
      <c r="CL121" s="21">
        <f>EXP(-LN(2)/25)*CL120+(1-EXP(-LN(2)/25))/(LN(2)/25)*Calculateur!CG121*Calculateur!CI121*VLOOKUP('Données projet'!$B$12,Paramètres!$A$1:$I$89,3,0)*0.475*44/12</f>
        <v>1.0717914827932831</v>
      </c>
      <c r="CM121" s="21">
        <f>EXP(-LN(2)/2)*CM120+(1-EXP(-LN(2)/2))/(LN(2)/2)*CG121*CJ121*VLOOKUP('Données projet'!$B$12,Paramètres!$A$1:$I$89,3,0)*0.475*44/12</f>
        <v>1.0511830957092675E-12</v>
      </c>
      <c r="CN121" s="22">
        <f t="shared" si="66"/>
        <v>1.4466935947099966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-5.1159076974727213E-13</v>
      </c>
      <c r="CU121" s="17">
        <f>CT121*VLOOKUP('Données projet'!$B$13,Paramètres!$A$1:$I$89,3,0)*VLOOKUP('Données projet'!$B$13,Paramètres!$A$1:$I$89,5,0)</f>
        <v>-4.0702161641092972E-13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260.20517190557814</v>
      </c>
      <c r="CZ121" s="59">
        <f t="shared" si="96"/>
        <v>307.22009971147133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0.57113710624446457</v>
      </c>
      <c r="DG121" s="21">
        <f>EXP(-LN(2)/25)*DG120+(1-EXP(-LN(2)/25))/(LN(2)/25)*Calculateur!DB121*Calculateur!DD121*VLOOKUP('Données projet'!$B$13,Paramètres!$A$1:$I$89,3,0)*0.475*44/12</f>
        <v>1.7887241210273208</v>
      </c>
      <c r="DH121" s="21">
        <f>EXP(-LN(2)/2)*DH120+(1-EXP(-LN(2)/2))/(LN(2)/2)*DB121*DE121*VLOOKUP('Données projet'!$B$13,Paramètres!$A$1:$I$89,3,0)*0.475*44/12</f>
        <v>1.3664608930387934E-12</v>
      </c>
      <c r="DI121" s="22">
        <f t="shared" si="69"/>
        <v>2.3598612272731518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6.8461538461538511</v>
      </c>
      <c r="DO121" s="12">
        <f>IF('Données projet'!$A$166&gt;35,DO120+DN121-DW120,IF(A121&lt;'Données projet'!$A$166,$DL$205^A121,IF(A121='Données projet'!$A$166,'Données projet'!$B$166,DO120+DN121-DW120)))</f>
        <v>350.49358974359006</v>
      </c>
      <c r="DP121" s="17">
        <f>DO121*VLOOKUP('Données projet'!$B$14,Paramètres!$A$1:$I$89,3,0)*VLOOKUP('Données projet'!$B$14,Paramètres!$A$1:$I$89,5,0)</f>
        <v>355.40050000000036</v>
      </c>
      <c r="DQ121" s="13">
        <f t="shared" si="97"/>
        <v>82.673537340753484</v>
      </c>
      <c r="DR121" s="20">
        <f t="shared" si="70"/>
        <v>762.97894836847956</v>
      </c>
      <c r="DS121" s="59">
        <f t="shared" si="71"/>
        <v>1056.3122817018129</v>
      </c>
      <c r="DT121" s="59">
        <f ca="1">AVERAGE(OFFSET($DS$3,0,0,'Données projet'!$E$14+1,1))-AVERAGE(OFFSET($H$3,0,0,'Données projet'!$E$14+1,1))</f>
        <v>263.15518481854753</v>
      </c>
      <c r="DU121" s="59">
        <f t="shared" si="98"/>
        <v>210.80755370263819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0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-5.1159076974727213E-13</v>
      </c>
      <c r="EK121" s="17">
        <f>EJ121*VLOOKUP('Données projet'!$B$15,Paramètres!$A$1:$I$89,3,0)*VLOOKUP('Données projet'!$B$15,Paramètres!$A$1:$I$89,5,0)</f>
        <v>-3.4317508834647017E-13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207.93042467236967</v>
      </c>
      <c r="EP121" s="59">
        <f t="shared" si="100"/>
        <v>250.70954318710835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0.48154697193160684</v>
      </c>
      <c r="EW121" s="21">
        <f>EXP(-LN(2)/25)*EW120+(1-EXP(-LN(2)/25))/(LN(2)/25)*Calculateur!ER121*Calculateur!ET121*VLOOKUP('Données projet'!$B$15,Paramètres!$A$1:$I$89,3,0)*0.475*44/12</f>
        <v>1.5081399451799005</v>
      </c>
      <c r="EX121" s="21">
        <f>EXP(-LN(2)/2)*EX120+(1-EXP(-LN(2)/2))/(LN(2)/2)*ER121*EU121*VLOOKUP('Données projet'!$B$15,Paramètres!$A$1:$I$89,3,0)*0.475*44/12</f>
        <v>1.1521140862876101E-12</v>
      </c>
      <c r="EY121" s="22">
        <f t="shared" si="75"/>
        <v>1.9896869171126594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6.8461538461538511</v>
      </c>
      <c r="FE121" s="12">
        <f>IF('Données projet'!$A$218&gt;35,FE120+FD121-FM120,IF(A121&lt;'Données projet'!$A$218,$FB$205^A121,IF(A121='Données projet'!$A$218,'Données projet'!$B$218,FE120+FD121-FM120)))</f>
        <v>350.49358974359006</v>
      </c>
      <c r="FF121" s="17">
        <f>FE121*VLOOKUP('Données projet'!$B$16,Paramètres!$A$1:$I$89,3,0)*VLOOKUP('Données projet'!$B$16,Paramètres!$A$1:$I$89,5,0)</f>
        <v>377.27130000000034</v>
      </c>
      <c r="FG121" s="13">
        <f t="shared" si="101"/>
        <v>87.153199409520511</v>
      </c>
      <c r="FH121" s="20">
        <f t="shared" si="76"/>
        <v>808.87266980491552</v>
      </c>
      <c r="FI121" s="59">
        <f t="shared" si="77"/>
        <v>1102.2060031382489</v>
      </c>
      <c r="FJ121" s="59">
        <f ca="1">AVERAGE(OFFSET($FI$3,0,0,'Données projet'!$E$16+1,1))-AVERAGE(OFFSET($H$3,0,0,'Données projet'!$E$16+1,1))</f>
        <v>286.77702855541287</v>
      </c>
      <c r="FK121" s="59">
        <f t="shared" si="102"/>
        <v>227.12211541860779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0</v>
      </c>
      <c r="FR121" s="21">
        <f>EXP(-LN(2)/25)*FR120+(1-EXP(-LN(2)/25))/(LN(2)/25)*Calculateur!FM121*Calculateur!FO121*VLOOKUP('Données projet'!$B$16,Paramètres!$A$1:$I$89,3,0)*0.475*44/12</f>
        <v>0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0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7.0884615384615346</v>
      </c>
      <c r="FZ121" s="12">
        <f>IF('Données projet'!$A$244&gt;35,FZ120+FY121-GH120,IF(A121&lt;'Données projet'!$A$244,$FW$205^A121,IF(A121='Données projet'!$A$244,'Données projet'!$B$244,FZ120+FY121-GH120)))</f>
        <v>396.34230769230805</v>
      </c>
      <c r="GA121" s="17">
        <f>FZ121*VLOOKUP('Données projet'!$B$17,Paramètres!$A$1:$I$89,3,0)*VLOOKUP('Données projet'!$B$17,Paramètres!$A$1:$I$89,5,0)</f>
        <v>185.48820000000018</v>
      </c>
      <c r="GB121" s="13">
        <f t="shared" si="103"/>
        <v>46.541067019726007</v>
      </c>
      <c r="GC121" s="20">
        <f t="shared" si="79"/>
        <v>404.11764005935646</v>
      </c>
      <c r="GD121" s="59">
        <f t="shared" si="80"/>
        <v>697.45097339268978</v>
      </c>
      <c r="GE121" s="59">
        <f ca="1">AVERAGE(OFFSET($GD$3,0,0,'Données projet'!$E$17+1,1))-AVERAGE(OFFSET($H$3,0,0,'Données projet'!$E$17+1,1))</f>
        <v>123.2823358462245</v>
      </c>
      <c r="GF121" s="59">
        <f t="shared" si="104"/>
        <v>92.75115399786057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0</v>
      </c>
      <c r="GM121" s="21">
        <f>EXP(-LN(2)/25)*GM120+(1-EXP(-LN(2)/25))/(LN(2)/25)*Calculateur!GH121*Calculateur!GJ121*VLOOKUP('Données projet'!$B$17,Paramètres!$A$1:$I$89,3,0)*0.475*44/12</f>
        <v>0</v>
      </c>
      <c r="GN121" s="21">
        <f>EXP(-LN(2)/2)*GN120+(1-EXP(-LN(2)/2))/(LN(2)/2)*GH121*GK121*VLOOKUP('Données projet'!$B$17,Paramètres!$A$1:$I$89,3,0)*0.475*44/12</f>
        <v>0</v>
      </c>
      <c r="GO121" s="21">
        <f t="shared" si="81"/>
        <v>0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-2.8421709430404007E-13</v>
      </c>
      <c r="GV121" s="17">
        <f>GU121*VLOOKUP('Données projet'!$B$18,Paramètres!$A$1:$I$89,3,0)*VLOOKUP('Données projet'!$B$18,Paramètres!$A$1:$I$89,5,0)</f>
        <v>-1.69961822393816E-13</v>
      </c>
      <c r="GW121" s="13" t="e">
        <f t="shared" si="105"/>
        <v>#NUM!</v>
      </c>
      <c r="GX121" s="20" t="e">
        <f t="shared" si="82"/>
        <v>#NUM!</v>
      </c>
      <c r="GY121" s="59" t="e">
        <f t="shared" si="83"/>
        <v>#NUM!</v>
      </c>
      <c r="GZ121" s="59">
        <f ca="1">AVERAGE(OFFSET($GY$3,0,0,'Données projet'!$E$18+1,1))-AVERAGE(OFFSET($H$3,0,0,'Données projet'!$E$18+1,1))</f>
        <v>171.96009656745713</v>
      </c>
      <c r="HA121" s="59">
        <f t="shared" si="106"/>
        <v>172.37574906747716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>
        <f>EXP(-LN(2)/35)*HG120+(1-EXP(-LN(2)/35))/(LN(2)/35)*HC121*HD121*VLOOKUP('Données projet'!$B$18,Paramètres!$A$1:$I$89,3,0)*0.475*44/12</f>
        <v>0.29196704628273057</v>
      </c>
      <c r="HH121" s="21">
        <f>EXP(-LN(2)/25)*HH120+(1-EXP(-LN(2)/25))/(LN(2)/25)*Calculateur!HC121*Calculateur!HE121*VLOOKUP('Données projet'!$B$18,Paramètres!$A$1:$I$89,3,0)*0.475*44/12</f>
        <v>1.7919815270667467</v>
      </c>
      <c r="HI121" s="21">
        <f>EXP(-LN(2)/2)*HI120+(1-EXP(-LN(2)/2))/(LN(2)/2)*HC121*HF121*VLOOKUP('Données projet'!$B$18,Paramètres!$A$1:$I$89,3,0)*0.475*44/12</f>
        <v>6.8465745242327627E-13</v>
      </c>
      <c r="HJ121" s="22">
        <f t="shared" si="84"/>
        <v>2.0839485733501619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-2.2737367544323206E-13</v>
      </c>
      <c r="O122" s="13">
        <f>N122*VLOOKUP('Données projet'!$B$9,Paramètres!$A$1:$I$89,3,0)*VLOOKUP('Données projet'!$B$9,Paramètres!$A$1:$I$89,5,0)</f>
        <v>-1.2710188457276673E-13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255.5374979188561</v>
      </c>
      <c r="T122" s="59">
        <f t="shared" si="88"/>
        <v>343.10418468620901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0.5302588744290031</v>
      </c>
      <c r="AA122" s="21">
        <f>EXP(-LN(2)/25)*AA121+(1-EXP(-LN(2)/25))/(LN(2)/25)*Calculateur!V122*Calculateur!X122*VLOOKUP('Données projet'!$B$9,Paramètres!$A$1:$I$89,3,0)*0.475*44/12</f>
        <v>1.3532347877067394</v>
      </c>
      <c r="AB122" s="21">
        <f>EXP(-LN(2)/2)*AB121+(1-EXP(-LN(2)/2))/(LN(2)/2)*V122*Y122*VLOOKUP('Données projet'!$B$9,Paramètres!$A$1:$I$89,3,0)*0.475*44/12</f>
        <v>6.803507878723172E-14</v>
      </c>
      <c r="AC122" s="22">
        <f t="shared" si="57"/>
        <v>1.8834936621358105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3.4106051316484809E-13</v>
      </c>
      <c r="AJ122" s="13">
        <f>AI122*VLOOKUP('Données projet'!$B$10,Paramètres!$A$1:$I$89,3,0)*VLOOKUP('Données projet'!$B$10,Paramètres!$A$1:$I$89,5,0)</f>
        <v>1.5961632016114892E-13</v>
      </c>
      <c r="AK122" s="13">
        <f t="shared" si="89"/>
        <v>2.2708641912150958E-12</v>
      </c>
      <c r="AL122" s="20">
        <f t="shared" si="58"/>
        <v>4.2330868906469593E-12</v>
      </c>
      <c r="AM122" s="59">
        <f t="shared" si="59"/>
        <v>293.33333333333752</v>
      </c>
      <c r="AN122" s="59">
        <f ca="1">AVERAGE(OFFSET($AM$3,0,0,'Données projet'!$E$10+1,1))-AVERAGE(OFFSET($H$3,0,0,'Données projet'!$E$10+1,1))</f>
        <v>158.58786357608489</v>
      </c>
      <c r="AO122" s="59">
        <f t="shared" si="90"/>
        <v>163.20074068819849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0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-1.7053025658242404E-13</v>
      </c>
      <c r="BE122" s="13">
        <f>BD122*VLOOKUP('Données projet'!$B$11,Paramètres!$A$1:$I$89,3,0)*VLOOKUP('Données projet'!$B$11,Paramètres!$A$1:$I$89,5,0)</f>
        <v>-1.0197709343628959E-13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243.85350804244348</v>
      </c>
      <c r="BJ122" s="59">
        <f t="shared" si="92"/>
        <v>304.60992308960545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0.77664500194768549</v>
      </c>
      <c r="BQ122" s="21">
        <f>EXP(-LN(2)/25)*BQ121+(1-EXP(-LN(2)/25))/(LN(2)/25)*Calculateur!BL122*Calculateur!BN122*VLOOKUP('Données projet'!$B$11,Paramètres!$A$1:$I$89,3,0)*0.475*44/12</f>
        <v>1.5031939680289954</v>
      </c>
      <c r="BR122" s="21">
        <f>EXP(-LN(2)/2)*BR121+(1-EXP(-LN(2)/2))/(LN(2)/2)*BL122*BO122*VLOOKUP('Données projet'!$B$11,Paramètres!$A$1:$I$89,3,0)*0.475*44/12</f>
        <v>1.502556487506159E-13</v>
      </c>
      <c r="BS122" s="22">
        <f t="shared" si="63"/>
        <v>2.2798389699768311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497</v>
      </c>
      <c r="BZ122" s="13">
        <f>BY122*VLOOKUP('Données projet'!$B$12,Paramètres!$A$1:$I$89,3,0)*VLOOKUP('Données projet'!$B$12,Paramètres!$A$1:$I$89,5,0)</f>
        <v>297.20600000000002</v>
      </c>
      <c r="CA122" s="13">
        <f t="shared" si="93"/>
        <v>70.590415164571112</v>
      </c>
      <c r="CB122" s="20">
        <f t="shared" si="64"/>
        <v>640.57875641162809</v>
      </c>
      <c r="CC122" s="59">
        <f t="shared" si="65"/>
        <v>933.91208974496135</v>
      </c>
      <c r="CD122" s="59">
        <f ca="1">AVERAGE(OFFSET($CC$3,0,0,'Données projet'!$E$12+1,1))-AVERAGE(OFFSET($H$3,0,0,'Données projet'!$E$12+1,1))</f>
        <v>270.30888762640245</v>
      </c>
      <c r="CE122" s="59">
        <f t="shared" si="94"/>
        <v>202.23783851977691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0.36755051016870544</v>
      </c>
      <c r="CL122" s="21">
        <f>EXP(-LN(2)/25)*CL121+(1-EXP(-LN(2)/25))/(LN(2)/25)*Calculateur!CG122*Calculateur!CI122*VLOOKUP('Données projet'!$B$12,Paramètres!$A$1:$I$89,3,0)*0.475*44/12</f>
        <v>1.0424832883332362</v>
      </c>
      <c r="CM122" s="21">
        <f>EXP(-LN(2)/2)*CM121+(1-EXP(-LN(2)/2))/(LN(2)/2)*CG122*CJ122*VLOOKUP('Données projet'!$B$12,Paramètres!$A$1:$I$89,3,0)*0.475*44/12</f>
        <v>7.4329869524469066E-13</v>
      </c>
      <c r="CN122" s="22">
        <f t="shared" si="66"/>
        <v>1.4100337985026852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-5.1159076974727213E-13</v>
      </c>
      <c r="CU122" s="17">
        <f>CT122*VLOOKUP('Données projet'!$B$13,Paramètres!$A$1:$I$89,3,0)*VLOOKUP('Données projet'!$B$13,Paramètres!$A$1:$I$89,5,0)</f>
        <v>-4.0702161641092972E-13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260.20517190557814</v>
      </c>
      <c r="CZ122" s="59">
        <f t="shared" si="96"/>
        <v>307.22009971147133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0.5599374559502478</v>
      </c>
      <c r="DG122" s="21">
        <f>EXP(-LN(2)/25)*DG121+(1-EXP(-LN(2)/25))/(LN(2)/25)*Calculateur!DB122*Calculateur!DD122*VLOOKUP('Données projet'!$B$13,Paramètres!$A$1:$I$89,3,0)*0.475*44/12</f>
        <v>1.7398113658729153</v>
      </c>
      <c r="DH122" s="21">
        <f>EXP(-LN(2)/2)*DH121+(1-EXP(-LN(2)/2))/(LN(2)/2)*DB122*DE122*VLOOKUP('Données projet'!$B$13,Paramètres!$A$1:$I$89,3,0)*0.475*44/12</f>
        <v>9.6623376369395642E-13</v>
      </c>
      <c r="DI122" s="22">
        <f t="shared" si="69"/>
        <v>2.2997488218241293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>
        <f>VLOOKUP(A122,'Données projet'!$A$165:$I$185,2,0)</f>
        <v>357.33974358974359</v>
      </c>
      <c r="DM122" s="12">
        <f>VLOOKUP(A122,'Données projet'!$A$165:$I$185,9,0)</f>
        <v>6.8461538461538511</v>
      </c>
      <c r="DN122" s="12">
        <f t="array" ref="DN122">INDEX(DM:DM,MIN(IF(ISNUMBER(DM122:DM318),ROW(DM122:DM318),"")))</f>
        <v>6.8461538461538511</v>
      </c>
      <c r="DO122" s="12">
        <f>IF('Données projet'!$A$166&gt;35,DO121+DN122-DW121,IF(A122&lt;'Données projet'!$A$166,$DL$205^A122,IF(A122='Données projet'!$A$166,'Données projet'!$B$166,DO121+DN122-DW121)))</f>
        <v>357.33974358974393</v>
      </c>
      <c r="DP122" s="17">
        <f>DO122*VLOOKUP('Données projet'!$B$14,Paramètres!$A$1:$I$89,3,0)*VLOOKUP('Données projet'!$B$14,Paramètres!$A$1:$I$89,5,0)</f>
        <v>362.34250000000037</v>
      </c>
      <c r="DQ122" s="13">
        <f t="shared" si="97"/>
        <v>84.098811348867258</v>
      </c>
      <c r="DR122" s="20">
        <f t="shared" si="70"/>
        <v>777.5519505992778</v>
      </c>
      <c r="DS122" s="59">
        <f t="shared" si="71"/>
        <v>1070.8852839326112</v>
      </c>
      <c r="DT122" s="59">
        <f ca="1">AVERAGE(OFFSET($DS$3,0,0,'Données projet'!$E$14+1,1))-AVERAGE(OFFSET($H$3,0,0,'Données projet'!$E$14+1,1))</f>
        <v>263.15518481854753</v>
      </c>
      <c r="DU122" s="59">
        <f t="shared" si="98"/>
        <v>210.80755370263819</v>
      </c>
      <c r="DV122" s="15">
        <f>IF(ISNA(VLOOKUP(A122,'Données projet'!$A$165:$I$185,3,0)),0,VLOOKUP(A122,'Données projet'!$A$165:$I$185,3,0))</f>
        <v>11</v>
      </c>
      <c r="DW122" s="15">
        <f>IF(ISNA(VLOOKUP(A122,'Données projet'!$A$165:$I$185,4,0)),0,VLOOKUP(A122,'Données projet'!$A$165:$I$185,4,0))</f>
        <v>150.02564102564102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0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-5.1159076974727213E-13</v>
      </c>
      <c r="EK122" s="17">
        <f>EJ122*VLOOKUP('Données projet'!$B$15,Paramètres!$A$1:$I$89,3,0)*VLOOKUP('Données projet'!$B$15,Paramètres!$A$1:$I$89,5,0)</f>
        <v>-3.4317508834647017E-13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207.93042467236967</v>
      </c>
      <c r="EP122" s="59">
        <f t="shared" si="100"/>
        <v>250.70954318710835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0.47210412952667902</v>
      </c>
      <c r="EW122" s="21">
        <f>EXP(-LN(2)/25)*EW121+(1-EXP(-LN(2)/25))/(LN(2)/25)*Calculateur!ER122*Calculateur!ET122*VLOOKUP('Données projet'!$B$15,Paramètres!$A$1:$I$89,3,0)*0.475*44/12</f>
        <v>1.4668997790693232</v>
      </c>
      <c r="EX122" s="21">
        <f>EXP(-LN(2)/2)*EX121+(1-EXP(-LN(2)/2))/(LN(2)/2)*ER122*EU122*VLOOKUP('Données projet'!$B$15,Paramètres!$A$1:$I$89,3,0)*0.475*44/12</f>
        <v>8.1466768311451223E-13</v>
      </c>
      <c r="EY122" s="22">
        <f t="shared" si="75"/>
        <v>1.9390039085968169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>
        <f>VLOOKUP(A122,'Données projet'!$A$217:$I$237,2,0)</f>
        <v>357.33974358974359</v>
      </c>
      <c r="FC122" s="12">
        <f>VLOOKUP(A122,'Données projet'!$A$217:$I$237,9,0)</f>
        <v>6.8461538461538511</v>
      </c>
      <c r="FD122" s="12">
        <f t="array" ref="FD122">INDEX(FC:FC,MIN(IF(ISNUMBER(FC122:FC318),ROW(FC122:FC318),"")))</f>
        <v>6.8461538461538511</v>
      </c>
      <c r="FE122" s="12">
        <f>IF('Données projet'!$A$218&gt;35,FE121+FD122-FM121,IF(A122&lt;'Données projet'!$A$218,$FB$205^A122,IF(A122='Données projet'!$A$218,'Données projet'!$B$218,FE121+FD122-FM121)))</f>
        <v>357.33974358974393</v>
      </c>
      <c r="FF122" s="17">
        <f>FE122*VLOOKUP('Données projet'!$B$16,Paramètres!$A$1:$I$89,3,0)*VLOOKUP('Données projet'!$B$16,Paramètres!$A$1:$I$89,5,0)</f>
        <v>384.64050000000037</v>
      </c>
      <c r="FG122" s="13">
        <f t="shared" si="101"/>
        <v>88.655701828527498</v>
      </c>
      <c r="FH122" s="20">
        <f t="shared" si="76"/>
        <v>824.32421818468595</v>
      </c>
      <c r="FI122" s="59">
        <f t="shared" si="77"/>
        <v>1117.6575515180193</v>
      </c>
      <c r="FJ122" s="59">
        <f ca="1">AVERAGE(OFFSET($FI$3,0,0,'Données projet'!$E$16+1,1))-AVERAGE(OFFSET($H$3,0,0,'Données projet'!$E$16+1,1))</f>
        <v>286.77702855541287</v>
      </c>
      <c r="FK122" s="59">
        <f t="shared" si="102"/>
        <v>227.12211541860779</v>
      </c>
      <c r="FL122" s="15">
        <f>IF(ISNA(VLOOKUP(A122,'Données projet'!$A$217:$I$237,3,0)),0,VLOOKUP(A122,'Données projet'!$A$217:$I$237,3,0))</f>
        <v>11</v>
      </c>
      <c r="FM122" s="15">
        <f>IF(ISNA(VLOOKUP(A122,'Données projet'!$A$217:$I$237,4,0)),0,VLOOKUP(A122,'Données projet'!$A$217:$I$237,4,0))</f>
        <v>150.02564102564102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0</v>
      </c>
      <c r="FR122" s="21">
        <f>EXP(-LN(2)/25)*FR121+(1-EXP(-LN(2)/25))/(LN(2)/25)*Calculateur!FM122*Calculateur!FO122*VLOOKUP('Données projet'!$B$16,Paramètres!$A$1:$I$89,3,0)*0.475*44/12</f>
        <v>0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0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7.0884615384615346</v>
      </c>
      <c r="FZ122" s="12">
        <f>IF('Données projet'!$A$244&gt;35,FZ121+FY122-GH121,IF(A122&lt;'Données projet'!$A$244,$FW$205^A122,IF(A122='Données projet'!$A$244,'Données projet'!$B$244,FZ121+FY122-GH121)))</f>
        <v>403.43076923076961</v>
      </c>
      <c r="GA122" s="17">
        <f>FZ122*VLOOKUP('Données projet'!$B$17,Paramètres!$A$1:$I$89,3,0)*VLOOKUP('Données projet'!$B$17,Paramètres!$A$1:$I$89,5,0)</f>
        <v>188.8056000000002</v>
      </c>
      <c r="GB122" s="13">
        <f t="shared" si="103"/>
        <v>47.275791131089093</v>
      </c>
      <c r="GC122" s="20">
        <f t="shared" si="79"/>
        <v>411.17508955331374</v>
      </c>
      <c r="GD122" s="59">
        <f t="shared" si="80"/>
        <v>704.50842288664705</v>
      </c>
      <c r="GE122" s="59">
        <f ca="1">AVERAGE(OFFSET($GD$3,0,0,'Données projet'!$E$17+1,1))-AVERAGE(OFFSET($H$3,0,0,'Données projet'!$E$17+1,1))</f>
        <v>123.2823358462245</v>
      </c>
      <c r="GF122" s="59">
        <f t="shared" si="104"/>
        <v>92.75115399786057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0</v>
      </c>
      <c r="GM122" s="21">
        <f>EXP(-LN(2)/25)*GM121+(1-EXP(-LN(2)/25))/(LN(2)/25)*Calculateur!GH122*Calculateur!GJ122*VLOOKUP('Données projet'!$B$17,Paramètres!$A$1:$I$89,3,0)*0.475*44/12</f>
        <v>0</v>
      </c>
      <c r="GN122" s="21">
        <f>EXP(-LN(2)/2)*GN121+(1-EXP(-LN(2)/2))/(LN(2)/2)*GH122*GK122*VLOOKUP('Données projet'!$B$17,Paramètres!$A$1:$I$89,3,0)*0.475*44/12</f>
        <v>0</v>
      </c>
      <c r="GO122" s="21">
        <f t="shared" si="81"/>
        <v>0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-2.8421709430404007E-13</v>
      </c>
      <c r="GV122" s="17">
        <f>GU122*VLOOKUP('Données projet'!$B$18,Paramètres!$A$1:$I$89,3,0)*VLOOKUP('Données projet'!$B$18,Paramètres!$A$1:$I$89,5,0)</f>
        <v>-1.69961822393816E-13</v>
      </c>
      <c r="GW122" s="13" t="e">
        <f t="shared" si="105"/>
        <v>#NUM!</v>
      </c>
      <c r="GX122" s="20" t="e">
        <f t="shared" si="82"/>
        <v>#NUM!</v>
      </c>
      <c r="GY122" s="59" t="e">
        <f t="shared" si="83"/>
        <v>#NUM!</v>
      </c>
      <c r="GZ122" s="59">
        <f ca="1">AVERAGE(OFFSET($GY$3,0,0,'Données projet'!$E$18+1,1))-AVERAGE(OFFSET($H$3,0,0,'Données projet'!$E$18+1,1))</f>
        <v>171.96009656745713</v>
      </c>
      <c r="HA122" s="59">
        <f t="shared" si="106"/>
        <v>172.37574906747716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>
        <f>EXP(-LN(2)/35)*HG121+(1-EXP(-LN(2)/35))/(LN(2)/35)*HC122*HD122*VLOOKUP('Données projet'!$B$18,Paramètres!$A$1:$I$89,3,0)*0.475*44/12</f>
        <v>0.28624175058744028</v>
      </c>
      <c r="HH122" s="21">
        <f>EXP(-LN(2)/25)*HH121+(1-EXP(-LN(2)/25))/(LN(2)/25)*Calculateur!HC122*Calculateur!HE122*VLOOKUP('Données projet'!$B$18,Paramètres!$A$1:$I$89,3,0)*0.475*44/12</f>
        <v>1.7429796979728938</v>
      </c>
      <c r="HI122" s="21">
        <f>EXP(-LN(2)/2)*HI121+(1-EXP(-LN(2)/2))/(LN(2)/2)*HC122*HF122*VLOOKUP('Données projet'!$B$18,Paramètres!$A$1:$I$89,3,0)*0.475*44/12</f>
        <v>4.8412592739840468E-13</v>
      </c>
      <c r="HJ122" s="22">
        <f t="shared" si="84"/>
        <v>2.029221448560818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-2.2737367544323206E-13</v>
      </c>
      <c r="O123" s="13">
        <f>N123*VLOOKUP('Données projet'!$B$9,Paramètres!$A$1:$I$89,3,0)*VLOOKUP('Données projet'!$B$9,Paramètres!$A$1:$I$89,5,0)</f>
        <v>-1.2710188457276673E-13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255.5374979188561</v>
      </c>
      <c r="T123" s="59">
        <f t="shared" si="88"/>
        <v>343.10418468620901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0.51986082132742806</v>
      </c>
      <c r="AA123" s="21">
        <f>EXP(-LN(2)/25)*AA122+(1-EXP(-LN(2)/25))/(LN(2)/25)*Calculateur!V123*Calculateur!X123*VLOOKUP('Données projet'!$B$9,Paramètres!$A$1:$I$89,3,0)*0.475*44/12</f>
        <v>1.3162305112733741</v>
      </c>
      <c r="AB123" s="21">
        <f>EXP(-LN(2)/2)*AB122+(1-EXP(-LN(2)/2))/(LN(2)/2)*V123*Y123*VLOOKUP('Données projet'!$B$9,Paramètres!$A$1:$I$89,3,0)*0.475*44/12</f>
        <v>4.8108065569012582E-14</v>
      </c>
      <c r="AC123" s="22">
        <f t="shared" si="57"/>
        <v>1.8360913326008503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3.4106051316484809E-13</v>
      </c>
      <c r="AJ123" s="13">
        <f>AI123*VLOOKUP('Données projet'!$B$10,Paramètres!$A$1:$I$89,3,0)*VLOOKUP('Données projet'!$B$10,Paramètres!$A$1:$I$89,5,0)</f>
        <v>1.5961632016114892E-13</v>
      </c>
      <c r="AK123" s="13">
        <f t="shared" si="89"/>
        <v>2.2708641912150958E-12</v>
      </c>
      <c r="AL123" s="20">
        <f t="shared" si="58"/>
        <v>4.2330868906469593E-12</v>
      </c>
      <c r="AM123" s="59">
        <f t="shared" si="59"/>
        <v>293.33333333333752</v>
      </c>
      <c r="AN123" s="59">
        <f ca="1">AVERAGE(OFFSET($AM$3,0,0,'Données projet'!$E$10+1,1))-AVERAGE(OFFSET($H$3,0,0,'Données projet'!$E$10+1,1))</f>
        <v>158.58786357608489</v>
      </c>
      <c r="AO123" s="59">
        <f t="shared" si="90"/>
        <v>163.20074068819849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0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-1.7053025658242404E-13</v>
      </c>
      <c r="BE123" s="13">
        <f>BD123*VLOOKUP('Données projet'!$B$11,Paramètres!$A$1:$I$89,3,0)*VLOOKUP('Données projet'!$B$11,Paramètres!$A$1:$I$89,5,0)</f>
        <v>-1.0197709343628959E-13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243.85350804244348</v>
      </c>
      <c r="BJ123" s="59">
        <f t="shared" si="92"/>
        <v>304.60992308960545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0.76141546716616793</v>
      </c>
      <c r="BQ123" s="21">
        <f>EXP(-LN(2)/25)*BQ122+(1-EXP(-LN(2)/25))/(LN(2)/25)*Calculateur!BL123*Calculateur!BN123*VLOOKUP('Données projet'!$B$11,Paramètres!$A$1:$I$89,3,0)*0.475*44/12</f>
        <v>1.4620890499237074</v>
      </c>
      <c r="BR123" s="21">
        <f>EXP(-LN(2)/2)*BR122+(1-EXP(-LN(2)/2))/(LN(2)/2)*BL123*BO123*VLOOKUP('Données projet'!$B$11,Paramètres!$A$1:$I$89,3,0)*0.475*44/12</f>
        <v>1.062467881431445E-13</v>
      </c>
      <c r="BS123" s="22">
        <f t="shared" si="63"/>
        <v>2.2235045170899812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497</v>
      </c>
      <c r="BZ123" s="13">
        <f>BY123*VLOOKUP('Données projet'!$B$12,Paramètres!$A$1:$I$89,3,0)*VLOOKUP('Données projet'!$B$12,Paramètres!$A$1:$I$89,5,0)</f>
        <v>297.20600000000002</v>
      </c>
      <c r="CA123" s="13">
        <f t="shared" si="93"/>
        <v>70.590415164571112</v>
      </c>
      <c r="CB123" s="20">
        <f t="shared" si="64"/>
        <v>640.57875641162809</v>
      </c>
      <c r="CC123" s="59">
        <f t="shared" si="65"/>
        <v>933.91208974496135</v>
      </c>
      <c r="CD123" s="59">
        <f ca="1">AVERAGE(OFFSET($CC$3,0,0,'Données projet'!$E$12+1,1))-AVERAGE(OFFSET($H$3,0,0,'Données projet'!$E$12+1,1))</f>
        <v>270.30888762640245</v>
      </c>
      <c r="CE123" s="59">
        <f t="shared" si="94"/>
        <v>202.23783851977691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0.36034306884797201</v>
      </c>
      <c r="CL123" s="21">
        <f>EXP(-LN(2)/25)*CL122+(1-EXP(-LN(2)/25))/(LN(2)/25)*Calculateur!CG123*Calculateur!CI123*VLOOKUP('Données projet'!$B$12,Paramètres!$A$1:$I$89,3,0)*0.475*44/12</f>
        <v>1.0139765279919504</v>
      </c>
      <c r="CM123" s="21">
        <f>EXP(-LN(2)/2)*CM122+(1-EXP(-LN(2)/2))/(LN(2)/2)*CG123*CJ123*VLOOKUP('Données projet'!$B$12,Paramètres!$A$1:$I$89,3,0)*0.475*44/12</f>
        <v>5.2559154785463374E-13</v>
      </c>
      <c r="CN123" s="22">
        <f t="shared" si="66"/>
        <v>1.374319596840448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-5.1159076974727213E-13</v>
      </c>
      <c r="CU123" s="17">
        <f>CT123*VLOOKUP('Données projet'!$B$13,Paramètres!$A$1:$I$89,3,0)*VLOOKUP('Données projet'!$B$13,Paramètres!$A$1:$I$89,5,0)</f>
        <v>-4.0702161641092972E-13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260.20517190557814</v>
      </c>
      <c r="CZ123" s="59">
        <f t="shared" si="96"/>
        <v>307.22009971147133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0.5489574239671885</v>
      </c>
      <c r="DG123" s="21">
        <f>EXP(-LN(2)/25)*DG122+(1-EXP(-LN(2)/25))/(LN(2)/25)*Calculateur!DB123*Calculateur!DD123*VLOOKUP('Données projet'!$B$13,Paramètres!$A$1:$I$89,3,0)*0.475*44/12</f>
        <v>1.6922361325804172</v>
      </c>
      <c r="DH123" s="21">
        <f>EXP(-LN(2)/2)*DH122+(1-EXP(-LN(2)/2))/(LN(2)/2)*DB123*DE123*VLOOKUP('Données projet'!$B$13,Paramètres!$A$1:$I$89,3,0)*0.475*44/12</f>
        <v>6.8323044651939671E-13</v>
      </c>
      <c r="DI123" s="22">
        <f t="shared" si="69"/>
        <v>2.2411935565482888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3.8301282051282044</v>
      </c>
      <c r="DO123" s="12">
        <f>IF('Données projet'!$A$166&gt;35,DO122+DN123-DW122,IF(A123&lt;'Données projet'!$A$166,$DL$205^A123,IF(A123='Données projet'!$A$166,'Données projet'!$B$166,DO122+DN123-DW122)))</f>
        <v>211.14423076923114</v>
      </c>
      <c r="DP123" s="17">
        <f>DO123*VLOOKUP('Données projet'!$B$14,Paramètres!$A$1:$I$89,3,0)*VLOOKUP('Données projet'!$B$14,Paramètres!$A$1:$I$89,5,0)</f>
        <v>214.10025000000041</v>
      </c>
      <c r="DQ123" s="13">
        <f t="shared" si="97"/>
        <v>52.83058262367053</v>
      </c>
      <c r="DR123" s="20">
        <f t="shared" si="70"/>
        <v>464.90453348622685</v>
      </c>
      <c r="DS123" s="59">
        <f t="shared" si="71"/>
        <v>758.23786681956017</v>
      </c>
      <c r="DT123" s="59">
        <f ca="1">AVERAGE(OFFSET($DS$3,0,0,'Données projet'!$E$14+1,1))-AVERAGE(OFFSET($H$3,0,0,'Données projet'!$E$14+1,1))</f>
        <v>263.15518481854753</v>
      </c>
      <c r="DU123" s="59">
        <f t="shared" si="98"/>
        <v>210.80755370263819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0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-5.1159076974727213E-13</v>
      </c>
      <c r="EK123" s="17">
        <f>EJ123*VLOOKUP('Données projet'!$B$15,Paramètres!$A$1:$I$89,3,0)*VLOOKUP('Données projet'!$B$15,Paramètres!$A$1:$I$89,5,0)</f>
        <v>-3.4317508834647017E-13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207.93042467236967</v>
      </c>
      <c r="EP123" s="59">
        <f t="shared" si="100"/>
        <v>250.70954318710835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0.46284645550174663</v>
      </c>
      <c r="EW123" s="21">
        <f>EXP(-LN(2)/25)*EW122+(1-EXP(-LN(2)/25))/(LN(2)/25)*Calculateur!ER123*Calculateur!ET123*VLOOKUP('Données projet'!$B$15,Paramètres!$A$1:$I$89,3,0)*0.475*44/12</f>
        <v>1.4267873274697658</v>
      </c>
      <c r="EX123" s="21">
        <f>EXP(-LN(2)/2)*EX122+(1-EXP(-LN(2)/2))/(LN(2)/2)*ER123*EU123*VLOOKUP('Données projet'!$B$15,Paramètres!$A$1:$I$89,3,0)*0.475*44/12</f>
        <v>5.7605704314380503E-13</v>
      </c>
      <c r="EY123" s="22">
        <f t="shared" si="75"/>
        <v>1.8896337829720884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3.8301282051282044</v>
      </c>
      <c r="FE123" s="12">
        <f>IF('Données projet'!$A$218&gt;35,FE122+FD123-FM122,IF(A123&lt;'Données projet'!$A$218,$FB$205^A123,IF(A123='Données projet'!$A$218,'Données projet'!$B$218,FE122+FD123-FM122)))</f>
        <v>211.14423076923114</v>
      </c>
      <c r="FF123" s="17">
        <f>FE123*VLOOKUP('Données projet'!$B$16,Paramètres!$A$1:$I$89,3,0)*VLOOKUP('Données projet'!$B$16,Paramètres!$A$1:$I$89,5,0)</f>
        <v>227.27565000000041</v>
      </c>
      <c r="FG123" s="13">
        <f t="shared" si="101"/>
        <v>55.693205473285282</v>
      </c>
      <c r="FH123" s="20">
        <f t="shared" si="76"/>
        <v>492.83742328263929</v>
      </c>
      <c r="FI123" s="59">
        <f t="shared" si="77"/>
        <v>786.17075661597255</v>
      </c>
      <c r="FJ123" s="59">
        <f ca="1">AVERAGE(OFFSET($FI$3,0,0,'Données projet'!$E$16+1,1))-AVERAGE(OFFSET($H$3,0,0,'Données projet'!$E$16+1,1))</f>
        <v>286.77702855541287</v>
      </c>
      <c r="FK123" s="59">
        <f t="shared" si="102"/>
        <v>227.12211541860779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0</v>
      </c>
      <c r="FR123" s="21">
        <f>EXP(-LN(2)/25)*FR122+(1-EXP(-LN(2)/25))/(LN(2)/25)*Calculateur!FM123*Calculateur!FO123*VLOOKUP('Données projet'!$B$16,Paramètres!$A$1:$I$89,3,0)*0.475*44/12</f>
        <v>0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0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7.0884615384615346</v>
      </c>
      <c r="FZ123" s="12">
        <f>IF('Données projet'!$A$244&gt;35,FZ122+FY123-GH122,IF(A123&lt;'Données projet'!$A$244,$FW$205^A123,IF(A123='Données projet'!$A$244,'Données projet'!$B$244,FZ122+FY123-GH122)))</f>
        <v>410.51923076923117</v>
      </c>
      <c r="GA123" s="17">
        <f>FZ123*VLOOKUP('Données projet'!$B$17,Paramètres!$A$1:$I$89,3,0)*VLOOKUP('Données projet'!$B$17,Paramètres!$A$1:$I$89,5,0)</f>
        <v>192.12300000000019</v>
      </c>
      <c r="GB123" s="13">
        <f t="shared" si="103"/>
        <v>48.009014038039723</v>
      </c>
      <c r="GC123" s="20">
        <f t="shared" si="79"/>
        <v>418.22992444958618</v>
      </c>
      <c r="GD123" s="59">
        <f t="shared" si="80"/>
        <v>711.56325778291944</v>
      </c>
      <c r="GE123" s="59">
        <f ca="1">AVERAGE(OFFSET($GD$3,0,0,'Données projet'!$E$17+1,1))-AVERAGE(OFFSET($H$3,0,0,'Données projet'!$E$17+1,1))</f>
        <v>123.2823358462245</v>
      </c>
      <c r="GF123" s="59">
        <f t="shared" si="104"/>
        <v>92.75115399786057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0</v>
      </c>
      <c r="GM123" s="21">
        <f>EXP(-LN(2)/25)*GM122+(1-EXP(-LN(2)/25))/(LN(2)/25)*Calculateur!GH123*Calculateur!GJ123*VLOOKUP('Données projet'!$B$17,Paramètres!$A$1:$I$89,3,0)*0.475*44/12</f>
        <v>0</v>
      </c>
      <c r="GN123" s="21">
        <f>EXP(-LN(2)/2)*GN122+(1-EXP(-LN(2)/2))/(LN(2)/2)*GH123*GK123*VLOOKUP('Données projet'!$B$17,Paramètres!$A$1:$I$89,3,0)*0.475*44/12</f>
        <v>0</v>
      </c>
      <c r="GO123" s="21">
        <f t="shared" si="81"/>
        <v>0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-2.8421709430404007E-13</v>
      </c>
      <c r="GV123" s="17">
        <f>GU123*VLOOKUP('Données projet'!$B$18,Paramètres!$A$1:$I$89,3,0)*VLOOKUP('Données projet'!$B$18,Paramètres!$A$1:$I$89,5,0)</f>
        <v>-1.69961822393816E-13</v>
      </c>
      <c r="GW123" s="13" t="e">
        <f t="shared" si="105"/>
        <v>#NUM!</v>
      </c>
      <c r="GX123" s="20" t="e">
        <f t="shared" si="82"/>
        <v>#NUM!</v>
      </c>
      <c r="GY123" s="59" t="e">
        <f t="shared" si="83"/>
        <v>#NUM!</v>
      </c>
      <c r="GZ123" s="59">
        <f ca="1">AVERAGE(OFFSET($GY$3,0,0,'Données projet'!$E$18+1,1))-AVERAGE(OFFSET($H$3,0,0,'Données projet'!$E$18+1,1))</f>
        <v>171.96009656745713</v>
      </c>
      <c r="HA123" s="59">
        <f t="shared" si="106"/>
        <v>172.37574906747716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>
        <f>EXP(-LN(2)/35)*HG122+(1-EXP(-LN(2)/35))/(LN(2)/35)*HC123*HD123*VLOOKUP('Données projet'!$B$18,Paramètres!$A$1:$I$89,3,0)*0.475*44/12</f>
        <v>0.28062872444864906</v>
      </c>
      <c r="HH123" s="21">
        <f>EXP(-LN(2)/25)*HH122+(1-EXP(-LN(2)/25))/(LN(2)/25)*Calculateur!HC123*Calculateur!HE123*VLOOKUP('Données projet'!$B$18,Paramètres!$A$1:$I$89,3,0)*0.475*44/12</f>
        <v>1.6953178264725064</v>
      </c>
      <c r="HI123" s="21">
        <f>EXP(-LN(2)/2)*HI122+(1-EXP(-LN(2)/2))/(LN(2)/2)*HC123*HF123*VLOOKUP('Données projet'!$B$18,Paramètres!$A$1:$I$89,3,0)*0.475*44/12</f>
        <v>3.4232872621163813E-13</v>
      </c>
      <c r="HJ123" s="22">
        <f t="shared" si="84"/>
        <v>1.9759465509214977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-2.2737367544323206E-13</v>
      </c>
      <c r="O124" s="13">
        <f>N124*VLOOKUP('Données projet'!$B$9,Paramètres!$A$1:$I$89,3,0)*VLOOKUP('Données projet'!$B$9,Paramètres!$A$1:$I$89,5,0)</f>
        <v>-1.2710188457276673E-13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255.5374979188561</v>
      </c>
      <c r="T124" s="59">
        <f t="shared" si="88"/>
        <v>343.10418468620901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0.50966666770498881</v>
      </c>
      <c r="AA124" s="21">
        <f>EXP(-LN(2)/25)*AA123+(1-EXP(-LN(2)/25))/(LN(2)/25)*Calculateur!V124*Calculateur!X124*VLOOKUP('Données projet'!$B$9,Paramètres!$A$1:$I$89,3,0)*0.475*44/12</f>
        <v>1.2802381187250493</v>
      </c>
      <c r="AB124" s="21">
        <f>EXP(-LN(2)/2)*AB123+(1-EXP(-LN(2)/2))/(LN(2)/2)*V124*Y124*VLOOKUP('Données projet'!$B$9,Paramètres!$A$1:$I$89,3,0)*0.475*44/12</f>
        <v>3.401753939361586E-14</v>
      </c>
      <c r="AC124" s="22">
        <f t="shared" si="57"/>
        <v>1.7899047864300721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3.4106051316484809E-13</v>
      </c>
      <c r="AJ124" s="13">
        <f>AI124*VLOOKUP('Données projet'!$B$10,Paramètres!$A$1:$I$89,3,0)*VLOOKUP('Données projet'!$B$10,Paramètres!$A$1:$I$89,5,0)</f>
        <v>1.5961632016114892E-13</v>
      </c>
      <c r="AK124" s="13">
        <f t="shared" si="89"/>
        <v>2.2708641912150958E-12</v>
      </c>
      <c r="AL124" s="20">
        <f t="shared" si="58"/>
        <v>4.2330868906469593E-12</v>
      </c>
      <c r="AM124" s="59">
        <f t="shared" si="59"/>
        <v>293.33333333333752</v>
      </c>
      <c r="AN124" s="59">
        <f ca="1">AVERAGE(OFFSET($AM$3,0,0,'Données projet'!$E$10+1,1))-AVERAGE(OFFSET($H$3,0,0,'Données projet'!$E$10+1,1))</f>
        <v>158.58786357608489</v>
      </c>
      <c r="AO124" s="59">
        <f t="shared" si="90"/>
        <v>163.20074068819849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0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-1.7053025658242404E-13</v>
      </c>
      <c r="BE124" s="13">
        <f>BD124*VLOOKUP('Données projet'!$B$11,Paramètres!$A$1:$I$89,3,0)*VLOOKUP('Données projet'!$B$11,Paramètres!$A$1:$I$89,5,0)</f>
        <v>-1.0197709343628959E-13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243.85350804244348</v>
      </c>
      <c r="BJ124" s="59">
        <f t="shared" si="92"/>
        <v>304.60992308960545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0.74648457427261694</v>
      </c>
      <c r="BQ124" s="21">
        <f>EXP(-LN(2)/25)*BQ123+(1-EXP(-LN(2)/25))/(LN(2)/25)*Calculateur!BL124*Calculateur!BN124*VLOOKUP('Données projet'!$B$11,Paramètres!$A$1:$I$89,3,0)*0.475*44/12</f>
        <v>1.4221081479656221</v>
      </c>
      <c r="BR124" s="21">
        <f>EXP(-LN(2)/2)*BR123+(1-EXP(-LN(2)/2))/(LN(2)/2)*BL124*BO124*VLOOKUP('Données projet'!$B$11,Paramètres!$A$1:$I$89,3,0)*0.475*44/12</f>
        <v>7.5127824375307951E-14</v>
      </c>
      <c r="BS124" s="22">
        <f t="shared" si="63"/>
        <v>2.1685927222383143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497</v>
      </c>
      <c r="BZ124" s="13">
        <f>BY124*VLOOKUP('Données projet'!$B$12,Paramètres!$A$1:$I$89,3,0)*VLOOKUP('Données projet'!$B$12,Paramètres!$A$1:$I$89,5,0)</f>
        <v>297.20600000000002</v>
      </c>
      <c r="CA124" s="13">
        <f t="shared" si="93"/>
        <v>70.590415164571112</v>
      </c>
      <c r="CB124" s="20">
        <f t="shared" si="64"/>
        <v>640.57875641162809</v>
      </c>
      <c r="CC124" s="59">
        <f t="shared" si="65"/>
        <v>933.91208974496135</v>
      </c>
      <c r="CD124" s="59">
        <f ca="1">AVERAGE(OFFSET($CC$3,0,0,'Données projet'!$E$12+1,1))-AVERAGE(OFFSET($H$3,0,0,'Données projet'!$E$12+1,1))</f>
        <v>270.30888762640245</v>
      </c>
      <c r="CE124" s="59">
        <f t="shared" si="94"/>
        <v>202.23783851977691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0.35327696105543305</v>
      </c>
      <c r="CL124" s="21">
        <f>EXP(-LN(2)/25)*CL123+(1-EXP(-LN(2)/25))/(LN(2)/25)*Calculateur!CG124*Calculateur!CI124*VLOOKUP('Données projet'!$B$12,Paramètres!$A$1:$I$89,3,0)*0.475*44/12</f>
        <v>0.98624928651130239</v>
      </c>
      <c r="CM124" s="21">
        <f>EXP(-LN(2)/2)*CM123+(1-EXP(-LN(2)/2))/(LN(2)/2)*CG124*CJ124*VLOOKUP('Données projet'!$B$12,Paramètres!$A$1:$I$89,3,0)*0.475*44/12</f>
        <v>3.7164934762234533E-13</v>
      </c>
      <c r="CN124" s="22">
        <f t="shared" si="66"/>
        <v>1.339526247567107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-5.1159076974727213E-13</v>
      </c>
      <c r="CU124" s="17">
        <f>CT124*VLOOKUP('Données projet'!$B$13,Paramètres!$A$1:$I$89,3,0)*VLOOKUP('Données projet'!$B$13,Paramètres!$A$1:$I$89,5,0)</f>
        <v>-4.0702161641092972E-13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260.20517190557814</v>
      </c>
      <c r="CZ124" s="59">
        <f t="shared" si="96"/>
        <v>307.22009971147133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0.53819270371415873</v>
      </c>
      <c r="DG124" s="21">
        <f>EXP(-LN(2)/25)*DG123+(1-EXP(-LN(2)/25))/(LN(2)/25)*Calculateur!DB124*Calculateur!DD124*VLOOKUP('Données projet'!$B$13,Paramètres!$A$1:$I$89,3,0)*0.475*44/12</f>
        <v>1.6459618465441752</v>
      </c>
      <c r="DH124" s="21">
        <f>EXP(-LN(2)/2)*DH123+(1-EXP(-LN(2)/2))/(LN(2)/2)*DB124*DE124*VLOOKUP('Données projet'!$B$13,Paramètres!$A$1:$I$89,3,0)*0.475*44/12</f>
        <v>4.8311688184697821E-13</v>
      </c>
      <c r="DI124" s="22">
        <f t="shared" si="69"/>
        <v>2.1841545502588171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3.8301282051282044</v>
      </c>
      <c r="DO124" s="12">
        <f>IF('Données projet'!$A$166&gt;35,DO123+DN124-DW123,IF(A124&lt;'Données projet'!$A$166,$DL$205^A124,IF(A124='Données projet'!$A$166,'Données projet'!$B$166,DO123+DN124-DW123)))</f>
        <v>214.97435897435935</v>
      </c>
      <c r="DP124" s="17">
        <f>DO124*VLOOKUP('Données projet'!$B$14,Paramètres!$A$1:$I$89,3,0)*VLOOKUP('Données projet'!$B$14,Paramètres!$A$1:$I$89,5,0)</f>
        <v>217.98400000000038</v>
      </c>
      <c r="DQ124" s="13">
        <f t="shared" si="97"/>
        <v>53.67648359532749</v>
      </c>
      <c r="DR124" s="20">
        <f t="shared" si="70"/>
        <v>473.14200892852932</v>
      </c>
      <c r="DS124" s="59">
        <f t="shared" si="71"/>
        <v>766.47534226186258</v>
      </c>
      <c r="DT124" s="59">
        <f ca="1">AVERAGE(OFFSET($DS$3,0,0,'Données projet'!$E$14+1,1))-AVERAGE(OFFSET($H$3,0,0,'Données projet'!$E$14+1,1))</f>
        <v>263.15518481854753</v>
      </c>
      <c r="DU124" s="59">
        <f t="shared" si="98"/>
        <v>210.80755370263819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0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-5.1159076974727213E-13</v>
      </c>
      <c r="EK124" s="17">
        <f>EJ124*VLOOKUP('Données projet'!$B$15,Paramètres!$A$1:$I$89,3,0)*VLOOKUP('Données projet'!$B$15,Paramètres!$A$1:$I$89,5,0)</f>
        <v>-3.4317508834647017E-13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207.93042467236967</v>
      </c>
      <c r="EP124" s="59">
        <f t="shared" si="100"/>
        <v>250.70954318710835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0.4537703188178196</v>
      </c>
      <c r="EW124" s="21">
        <f>EXP(-LN(2)/25)*EW123+(1-EXP(-LN(2)/25))/(LN(2)/25)*Calculateur!ER124*Calculateur!ET124*VLOOKUP('Données projet'!$B$15,Paramètres!$A$1:$I$89,3,0)*0.475*44/12</f>
        <v>1.3877717529686204</v>
      </c>
      <c r="EX124" s="21">
        <f>EXP(-LN(2)/2)*EX123+(1-EXP(-LN(2)/2))/(LN(2)/2)*ER124*EU124*VLOOKUP('Données projet'!$B$15,Paramètres!$A$1:$I$89,3,0)*0.475*44/12</f>
        <v>4.0733384155725612E-13</v>
      </c>
      <c r="EY124" s="22">
        <f t="shared" si="75"/>
        <v>1.8415420717868471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3.8301282051282044</v>
      </c>
      <c r="FE124" s="12">
        <f>IF('Données projet'!$A$218&gt;35,FE123+FD124-FM123,IF(A124&lt;'Données projet'!$A$218,$FB$205^A124,IF(A124='Données projet'!$A$218,'Données projet'!$B$218,FE123+FD124-FM123)))</f>
        <v>214.97435897435935</v>
      </c>
      <c r="FF124" s="17">
        <f>FE124*VLOOKUP('Données projet'!$B$16,Paramètres!$A$1:$I$89,3,0)*VLOOKUP('Données projet'!$B$16,Paramètres!$A$1:$I$89,5,0)</f>
        <v>231.39840000000041</v>
      </c>
      <c r="FG124" s="13">
        <f t="shared" si="101"/>
        <v>56.584941552747608</v>
      </c>
      <c r="FH124" s="20">
        <f t="shared" si="76"/>
        <v>501.57098653770277</v>
      </c>
      <c r="FI124" s="59">
        <f t="shared" si="77"/>
        <v>794.90431987103602</v>
      </c>
      <c r="FJ124" s="59">
        <f ca="1">AVERAGE(OFFSET($FI$3,0,0,'Données projet'!$E$16+1,1))-AVERAGE(OFFSET($H$3,0,0,'Données projet'!$E$16+1,1))</f>
        <v>286.77702855541287</v>
      </c>
      <c r="FK124" s="59">
        <f t="shared" si="102"/>
        <v>227.12211541860779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0</v>
      </c>
      <c r="FR124" s="21">
        <f>EXP(-LN(2)/25)*FR123+(1-EXP(-LN(2)/25))/(LN(2)/25)*Calculateur!FM124*Calculateur!FO124*VLOOKUP('Données projet'!$B$16,Paramètres!$A$1:$I$89,3,0)*0.475*44/12</f>
        <v>0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0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>
        <f>VLOOKUP(A124,'Données projet'!$A$243:$I$263,2,0)</f>
        <v>417.60769230769228</v>
      </c>
      <c r="FX124" s="12">
        <f>VLOOKUP(A124,'Données projet'!$A$243:$I$263,9,0)</f>
        <v>7.0884615384615346</v>
      </c>
      <c r="FY124" s="12">
        <f t="array" ref="FY124">INDEX(FX:FX,MIN(IF(ISNUMBER(FX124:FX320),ROW(FX124:FX320),"")))</f>
        <v>7.0884615384615346</v>
      </c>
      <c r="FZ124" s="12">
        <f>IF('Données projet'!$A$244&gt;35,FZ123+FY124-GH123,IF(A124&lt;'Données projet'!$A$244,$FW$205^A124,IF(A124='Données projet'!$A$244,'Données projet'!$B$244,FZ123+FY124-GH123)))</f>
        <v>417.60769230769273</v>
      </c>
      <c r="GA124" s="17">
        <f>FZ124*VLOOKUP('Données projet'!$B$17,Paramètres!$A$1:$I$89,3,0)*VLOOKUP('Données projet'!$B$17,Paramètres!$A$1:$I$89,5,0)</f>
        <v>195.44040000000018</v>
      </c>
      <c r="GB124" s="13">
        <f t="shared" si="103"/>
        <v>48.740764653053319</v>
      </c>
      <c r="GC124" s="20">
        <f t="shared" si="79"/>
        <v>425.28219510406808</v>
      </c>
      <c r="GD124" s="59">
        <f t="shared" si="80"/>
        <v>718.61552843740139</v>
      </c>
      <c r="GE124" s="59">
        <f ca="1">AVERAGE(OFFSET($GD$3,0,0,'Données projet'!$E$17+1,1))-AVERAGE(OFFSET($H$3,0,0,'Données projet'!$E$17+1,1))</f>
        <v>123.2823358462245</v>
      </c>
      <c r="GF124" s="59">
        <f t="shared" si="104"/>
        <v>92.75115399786057</v>
      </c>
      <c r="GG124" s="15">
        <f>IF(ISNA(VLOOKUP(A124,'Données projet'!$A$243:$I$263,3,0)),0,VLOOKUP(A124,'Données projet'!$A$243:$I$263,3,0))</f>
        <v>7</v>
      </c>
      <c r="GH124" s="15">
        <f>IF(ISNA(VLOOKUP(A124,'Données projet'!$A$243:$I$263,4,0)),0,VLOOKUP(A124,'Données projet'!$A$243:$I$263,4,0))</f>
        <v>207.07692307692307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0</v>
      </c>
      <c r="GM124" s="21">
        <f>EXP(-LN(2)/25)*GM123+(1-EXP(-LN(2)/25))/(LN(2)/25)*Calculateur!GH124*Calculateur!GJ124*VLOOKUP('Données projet'!$B$17,Paramètres!$A$1:$I$89,3,0)*0.475*44/12</f>
        <v>0</v>
      </c>
      <c r="GN124" s="21">
        <f>EXP(-LN(2)/2)*GN123+(1-EXP(-LN(2)/2))/(LN(2)/2)*GH124*GK124*VLOOKUP('Données projet'!$B$17,Paramètres!$A$1:$I$89,3,0)*0.475*44/12</f>
        <v>0</v>
      </c>
      <c r="GO124" s="21">
        <f t="shared" si="81"/>
        <v>0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-2.8421709430404007E-13</v>
      </c>
      <c r="GV124" s="17">
        <f>GU124*VLOOKUP('Données projet'!$B$18,Paramètres!$A$1:$I$89,3,0)*VLOOKUP('Données projet'!$B$18,Paramètres!$A$1:$I$89,5,0)</f>
        <v>-1.69961822393816E-13</v>
      </c>
      <c r="GW124" s="13" t="e">
        <f t="shared" si="105"/>
        <v>#NUM!</v>
      </c>
      <c r="GX124" s="20" t="e">
        <f t="shared" si="82"/>
        <v>#NUM!</v>
      </c>
      <c r="GY124" s="59" t="e">
        <f t="shared" si="83"/>
        <v>#NUM!</v>
      </c>
      <c r="GZ124" s="59">
        <f ca="1">AVERAGE(OFFSET($GY$3,0,0,'Données projet'!$E$18+1,1))-AVERAGE(OFFSET($H$3,0,0,'Données projet'!$E$18+1,1))</f>
        <v>171.96009656745713</v>
      </c>
      <c r="HA124" s="59">
        <f t="shared" si="106"/>
        <v>172.37574906747716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>
        <f>EXP(-LN(2)/35)*HG123+(1-EXP(-LN(2)/35))/(LN(2)/35)*HC124*HD124*VLOOKUP('Données projet'!$B$18,Paramètres!$A$1:$I$89,3,0)*0.475*44/12</f>
        <v>0.27512576632883168</v>
      </c>
      <c r="HH124" s="21">
        <f>EXP(-LN(2)/25)*HH123+(1-EXP(-LN(2)/25))/(LN(2)/25)*Calculateur!HC124*Calculateur!HE124*VLOOKUP('Données projet'!$B$18,Paramètres!$A$1:$I$89,3,0)*0.475*44/12</f>
        <v>1.6489592713547259</v>
      </c>
      <c r="HI124" s="21">
        <f>EXP(-LN(2)/2)*HI123+(1-EXP(-LN(2)/2))/(LN(2)/2)*HC124*HF124*VLOOKUP('Données projet'!$B$18,Paramètres!$A$1:$I$89,3,0)*0.475*44/12</f>
        <v>2.4206296369920234E-13</v>
      </c>
      <c r="HJ124" s="22">
        <f t="shared" si="84"/>
        <v>1.9240850376837995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-2.2737367544323206E-13</v>
      </c>
      <c r="O125" s="13">
        <f>N125*VLOOKUP('Données projet'!$B$9,Paramètres!$A$1:$I$89,3,0)*VLOOKUP('Données projet'!$B$9,Paramètres!$A$1:$I$89,5,0)</f>
        <v>-1.2710188457276673E-13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255.5374979188561</v>
      </c>
      <c r="T125" s="59">
        <f t="shared" si="88"/>
        <v>343.10418468620901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0.4996724152172658</v>
      </c>
      <c r="AA125" s="21">
        <f>EXP(-LN(2)/25)*AA124+(1-EXP(-LN(2)/25))/(LN(2)/25)*Calculateur!V125*Calculateur!X125*VLOOKUP('Données projet'!$B$9,Paramètres!$A$1:$I$89,3,0)*0.475*44/12</f>
        <v>1.2452299400437161</v>
      </c>
      <c r="AB125" s="21">
        <f>EXP(-LN(2)/2)*AB124+(1-EXP(-LN(2)/2))/(LN(2)/2)*V125*Y125*VLOOKUP('Données projet'!$B$9,Paramètres!$A$1:$I$89,3,0)*0.475*44/12</f>
        <v>2.4054032784506291E-14</v>
      </c>
      <c r="AC125" s="22">
        <f t="shared" si="57"/>
        <v>1.7449023552610059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3.4106051316484809E-13</v>
      </c>
      <c r="AJ125" s="13">
        <f>AI125*VLOOKUP('Données projet'!$B$10,Paramètres!$A$1:$I$89,3,0)*VLOOKUP('Données projet'!$B$10,Paramètres!$A$1:$I$89,5,0)</f>
        <v>1.5961632016114892E-13</v>
      </c>
      <c r="AK125" s="13">
        <f t="shared" si="89"/>
        <v>2.2708641912150958E-12</v>
      </c>
      <c r="AL125" s="20">
        <f t="shared" si="58"/>
        <v>4.2330868906469593E-12</v>
      </c>
      <c r="AM125" s="59">
        <f t="shared" si="59"/>
        <v>293.33333333333752</v>
      </c>
      <c r="AN125" s="59">
        <f ca="1">AVERAGE(OFFSET($AM$3,0,0,'Données projet'!$E$10+1,1))-AVERAGE(OFFSET($H$3,0,0,'Données projet'!$E$10+1,1))</f>
        <v>158.58786357608489</v>
      </c>
      <c r="AO125" s="59">
        <f t="shared" si="90"/>
        <v>163.20074068819849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0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-1.7053025658242404E-13</v>
      </c>
      <c r="BE125" s="13">
        <f>BD125*VLOOKUP('Données projet'!$B$11,Paramètres!$A$1:$I$89,3,0)*VLOOKUP('Données projet'!$B$11,Paramètres!$A$1:$I$89,5,0)</f>
        <v>-1.0197709343628959E-13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243.85350804244348</v>
      </c>
      <c r="BJ125" s="59">
        <f t="shared" si="92"/>
        <v>304.60992308960545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0.73184646708176304</v>
      </c>
      <c r="BQ125" s="21">
        <f>EXP(-LN(2)/25)*BQ124+(1-EXP(-LN(2)/25))/(LN(2)/25)*Calculateur!BL125*Calculateur!BN125*VLOOKUP('Données projet'!$B$11,Paramètres!$A$1:$I$89,3,0)*0.475*44/12</f>
        <v>1.3832205258740851</v>
      </c>
      <c r="BR125" s="21">
        <f>EXP(-LN(2)/2)*BR124+(1-EXP(-LN(2)/2))/(LN(2)/2)*BL125*BO125*VLOOKUP('Données projet'!$B$11,Paramètres!$A$1:$I$89,3,0)*0.475*44/12</f>
        <v>5.3123394071572252E-14</v>
      </c>
      <c r="BS125" s="22">
        <f t="shared" si="63"/>
        <v>2.1150669929559012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497</v>
      </c>
      <c r="BZ125" s="13">
        <f>BY125*VLOOKUP('Données projet'!$B$12,Paramètres!$A$1:$I$89,3,0)*VLOOKUP('Données projet'!$B$12,Paramètres!$A$1:$I$89,5,0)</f>
        <v>297.20600000000002</v>
      </c>
      <c r="CA125" s="13">
        <f t="shared" si="93"/>
        <v>70.590415164571112</v>
      </c>
      <c r="CB125" s="20">
        <f t="shared" si="64"/>
        <v>640.57875641162809</v>
      </c>
      <c r="CC125" s="59">
        <f t="shared" si="65"/>
        <v>933.91208974496135</v>
      </c>
      <c r="CD125" s="59">
        <f ca="1">AVERAGE(OFFSET($CC$3,0,0,'Données projet'!$E$12+1,1))-AVERAGE(OFFSET($H$3,0,0,'Données projet'!$E$12+1,1))</f>
        <v>270.30888762640245</v>
      </c>
      <c r="CE125" s="59">
        <f t="shared" si="94"/>
        <v>202.23783851977691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0.34634941532680558</v>
      </c>
      <c r="CL125" s="21">
        <f>EXP(-LN(2)/25)*CL124+(1-EXP(-LN(2)/25))/(LN(2)/25)*Calculateur!CG125*Calculateur!CI125*VLOOKUP('Données projet'!$B$12,Paramètres!$A$1:$I$89,3,0)*0.475*44/12</f>
        <v>0.95928024790705491</v>
      </c>
      <c r="CM125" s="21">
        <f>EXP(-LN(2)/2)*CM124+(1-EXP(-LN(2)/2))/(LN(2)/2)*CG125*CJ125*VLOOKUP('Données projet'!$B$12,Paramètres!$A$1:$I$89,3,0)*0.475*44/12</f>
        <v>2.6279577392731687E-13</v>
      </c>
      <c r="CN125" s="22">
        <f t="shared" si="66"/>
        <v>1.3056296632341233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-5.1159076974727213E-13</v>
      </c>
      <c r="CU125" s="17">
        <f>CT125*VLOOKUP('Données projet'!$B$13,Paramètres!$A$1:$I$89,3,0)*VLOOKUP('Données projet'!$B$13,Paramètres!$A$1:$I$89,5,0)</f>
        <v>-4.0702161641092972E-13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260.20517190557814</v>
      </c>
      <c r="CZ125" s="59">
        <f t="shared" si="96"/>
        <v>307.22009971147133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0.5276390730594599</v>
      </c>
      <c r="DG125" s="21">
        <f>EXP(-LN(2)/25)*DG124+(1-EXP(-LN(2)/25))/(LN(2)/25)*Calculateur!DB125*Calculateur!DD125*VLOOKUP('Données projet'!$B$13,Paramètres!$A$1:$I$89,3,0)*0.475*44/12</f>
        <v>1.6009529332930532</v>
      </c>
      <c r="DH125" s="21">
        <f>EXP(-LN(2)/2)*DH124+(1-EXP(-LN(2)/2))/(LN(2)/2)*DB125*DE125*VLOOKUP('Données projet'!$B$13,Paramètres!$A$1:$I$89,3,0)*0.475*44/12</f>
        <v>3.4161522325969836E-13</v>
      </c>
      <c r="DI125" s="22">
        <f t="shared" si="69"/>
        <v>2.1285920063528545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3.8301282051282044</v>
      </c>
      <c r="DO125" s="12">
        <f>IF('Données projet'!$A$166&gt;35,DO124+DN125-DW124,IF(A125&lt;'Données projet'!$A$166,$DL$205^A125,IF(A125='Données projet'!$A$166,'Données projet'!$B$166,DO124+DN125-DW124)))</f>
        <v>218.80448717948755</v>
      </c>
      <c r="DP125" s="17">
        <f>DO125*VLOOKUP('Données projet'!$B$14,Paramètres!$A$1:$I$89,3,0)*VLOOKUP('Données projet'!$B$14,Paramètres!$A$1:$I$89,5,0)</f>
        <v>221.8677500000004</v>
      </c>
      <c r="DQ125" s="13">
        <f t="shared" si="97"/>
        <v>54.520632005800415</v>
      </c>
      <c r="DR125" s="20">
        <f t="shared" si="70"/>
        <v>481.37643199343637</v>
      </c>
      <c r="DS125" s="59">
        <f t="shared" si="71"/>
        <v>774.70976532676968</v>
      </c>
      <c r="DT125" s="59">
        <f ca="1">AVERAGE(OFFSET($DS$3,0,0,'Données projet'!$E$14+1,1))-AVERAGE(OFFSET($H$3,0,0,'Données projet'!$E$14+1,1))</f>
        <v>263.15518481854753</v>
      </c>
      <c r="DU125" s="59">
        <f t="shared" si="98"/>
        <v>210.80755370263819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0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-5.1159076974727213E-13</v>
      </c>
      <c r="EK125" s="17">
        <f>EJ125*VLOOKUP('Données projet'!$B$15,Paramètres!$A$1:$I$89,3,0)*VLOOKUP('Données projet'!$B$15,Paramètres!$A$1:$I$89,5,0)</f>
        <v>-3.4317508834647017E-13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207.93042467236967</v>
      </c>
      <c r="EP125" s="59">
        <f t="shared" si="100"/>
        <v>250.70954318710835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0.44487215963836763</v>
      </c>
      <c r="EW125" s="21">
        <f>EXP(-LN(2)/25)*EW124+(1-EXP(-LN(2)/25))/(LN(2)/25)*Calculateur!ER125*Calculateur!ET125*VLOOKUP('Données projet'!$B$15,Paramètres!$A$1:$I$89,3,0)*0.475*44/12</f>
        <v>1.3498230614039488</v>
      </c>
      <c r="EX125" s="21">
        <f>EXP(-LN(2)/2)*EX124+(1-EXP(-LN(2)/2))/(LN(2)/2)*ER125*EU125*VLOOKUP('Données projet'!$B$15,Paramètres!$A$1:$I$89,3,0)*0.475*44/12</f>
        <v>2.8802852157190252E-13</v>
      </c>
      <c r="EY125" s="22">
        <f t="shared" si="75"/>
        <v>1.7946952210426044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3.8301282051282044</v>
      </c>
      <c r="FE125" s="12">
        <f>IF('Données projet'!$A$218&gt;35,FE124+FD125-FM124,IF(A125&lt;'Données projet'!$A$218,$FB$205^A125,IF(A125='Données projet'!$A$218,'Données projet'!$B$218,FE124+FD125-FM124)))</f>
        <v>218.80448717948755</v>
      </c>
      <c r="FF125" s="17">
        <f>FE125*VLOOKUP('Données projet'!$B$16,Paramètres!$A$1:$I$89,3,0)*VLOOKUP('Données projet'!$B$16,Paramètres!$A$1:$I$89,5,0)</f>
        <v>235.5211500000004</v>
      </c>
      <c r="FG125" s="13">
        <f t="shared" si="101"/>
        <v>57.47483010857345</v>
      </c>
      <c r="FH125" s="20">
        <f t="shared" si="76"/>
        <v>510.30133202243286</v>
      </c>
      <c r="FI125" s="59">
        <f t="shared" si="77"/>
        <v>803.63466535576617</v>
      </c>
      <c r="FJ125" s="59">
        <f ca="1">AVERAGE(OFFSET($FI$3,0,0,'Données projet'!$E$16+1,1))-AVERAGE(OFFSET($H$3,0,0,'Données projet'!$E$16+1,1))</f>
        <v>286.77702855541287</v>
      </c>
      <c r="FK125" s="59">
        <f t="shared" si="102"/>
        <v>227.12211541860779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0</v>
      </c>
      <c r="FR125" s="21">
        <f>EXP(-LN(2)/25)*FR124+(1-EXP(-LN(2)/25))/(LN(2)/25)*Calculateur!FM125*Calculateur!FO125*VLOOKUP('Données projet'!$B$16,Paramètres!$A$1:$I$89,3,0)*0.475*44/12</f>
        <v>0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0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4.9084615384615375</v>
      </c>
      <c r="FZ125" s="12">
        <f>IF('Données projet'!$A$244&gt;35,FZ124+FY125-GH124,IF(A125&lt;'Données projet'!$A$244,$FW$205^A125,IF(A125='Données projet'!$A$244,'Données projet'!$B$244,FZ124+FY125-GH124)))</f>
        <v>215.43923076923122</v>
      </c>
      <c r="GA125" s="17">
        <f>FZ125*VLOOKUP('Données projet'!$B$17,Paramètres!$A$1:$I$89,3,0)*VLOOKUP('Données projet'!$B$17,Paramètres!$A$1:$I$89,5,0)</f>
        <v>100.82556000000021</v>
      </c>
      <c r="GB125" s="13">
        <f t="shared" si="103"/>
        <v>27.158581624033953</v>
      </c>
      <c r="GC125" s="20">
        <f t="shared" si="79"/>
        <v>222.90571332852619</v>
      </c>
      <c r="GD125" s="59">
        <f t="shared" si="80"/>
        <v>516.23904666185945</v>
      </c>
      <c r="GE125" s="59">
        <f ca="1">AVERAGE(OFFSET($GD$3,0,0,'Données projet'!$E$17+1,1))-AVERAGE(OFFSET($H$3,0,0,'Données projet'!$E$17+1,1))</f>
        <v>123.2823358462245</v>
      </c>
      <c r="GF125" s="59">
        <f t="shared" si="104"/>
        <v>92.75115399786057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0</v>
      </c>
      <c r="GM125" s="21">
        <f>EXP(-LN(2)/25)*GM124+(1-EXP(-LN(2)/25))/(LN(2)/25)*Calculateur!GH125*Calculateur!GJ125*VLOOKUP('Données projet'!$B$17,Paramètres!$A$1:$I$89,3,0)*0.475*44/12</f>
        <v>0</v>
      </c>
      <c r="GN125" s="21">
        <f>EXP(-LN(2)/2)*GN124+(1-EXP(-LN(2)/2))/(LN(2)/2)*GH125*GK125*VLOOKUP('Données projet'!$B$17,Paramètres!$A$1:$I$89,3,0)*0.475*44/12</f>
        <v>0</v>
      </c>
      <c r="GO125" s="21">
        <f t="shared" si="81"/>
        <v>0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-2.8421709430404007E-13</v>
      </c>
      <c r="GV125" s="17">
        <f>GU125*VLOOKUP('Données projet'!$B$18,Paramètres!$A$1:$I$89,3,0)*VLOOKUP('Données projet'!$B$18,Paramètres!$A$1:$I$89,5,0)</f>
        <v>-1.69961822393816E-13</v>
      </c>
      <c r="GW125" s="13" t="e">
        <f t="shared" si="105"/>
        <v>#NUM!</v>
      </c>
      <c r="GX125" s="20" t="e">
        <f t="shared" si="82"/>
        <v>#NUM!</v>
      </c>
      <c r="GY125" s="59" t="e">
        <f t="shared" si="83"/>
        <v>#NUM!</v>
      </c>
      <c r="GZ125" s="59">
        <f ca="1">AVERAGE(OFFSET($GY$3,0,0,'Données projet'!$E$18+1,1))-AVERAGE(OFFSET($H$3,0,0,'Données projet'!$E$18+1,1))</f>
        <v>171.96009656745713</v>
      </c>
      <c r="HA125" s="59">
        <f t="shared" si="106"/>
        <v>172.37574906747716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>
        <f>EXP(-LN(2)/35)*HG124+(1-EXP(-LN(2)/35))/(LN(2)/35)*HC125*HD125*VLOOKUP('Données projet'!$B$18,Paramètres!$A$1:$I$89,3,0)*0.475*44/12</f>
        <v>0.2697307178612709</v>
      </c>
      <c r="HH125" s="21">
        <f>EXP(-LN(2)/25)*HH124+(1-EXP(-LN(2)/25))/(LN(2)/25)*Calculateur!HC125*Calculateur!HE125*VLOOKUP('Données projet'!$B$18,Paramètres!$A$1:$I$89,3,0)*0.475*44/12</f>
        <v>1.6038683933645315</v>
      </c>
      <c r="HI125" s="21">
        <f>EXP(-LN(2)/2)*HI124+(1-EXP(-LN(2)/2))/(LN(2)/2)*HC125*HF125*VLOOKUP('Données projet'!$B$18,Paramètres!$A$1:$I$89,3,0)*0.475*44/12</f>
        <v>1.7116436310581907E-13</v>
      </c>
      <c r="HJ125" s="22">
        <f t="shared" si="84"/>
        <v>1.8735991112259736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-2.2737367544323206E-13</v>
      </c>
      <c r="O126" s="13">
        <f>N126*VLOOKUP('Données projet'!$B$9,Paramètres!$A$1:$I$89,3,0)*VLOOKUP('Données projet'!$B$9,Paramètres!$A$1:$I$89,5,0)</f>
        <v>-1.2710188457276673E-13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255.5374979188561</v>
      </c>
      <c r="T126" s="59">
        <f t="shared" si="88"/>
        <v>343.10418468620901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0.48987414392493495</v>
      </c>
      <c r="AA126" s="21">
        <f>EXP(-LN(2)/25)*AA125+(1-EXP(-LN(2)/25))/(LN(2)/25)*Calculateur!V126*Calculateur!X126*VLOOKUP('Données projet'!$B$9,Paramètres!$A$1:$I$89,3,0)*0.475*44/12</f>
        <v>1.2111790618494243</v>
      </c>
      <c r="AB126" s="21">
        <f>EXP(-LN(2)/2)*AB125+(1-EXP(-LN(2)/2))/(LN(2)/2)*V126*Y126*VLOOKUP('Données projet'!$B$9,Paramètres!$A$1:$I$89,3,0)*0.475*44/12</f>
        <v>1.700876969680793E-14</v>
      </c>
      <c r="AC126" s="22">
        <f t="shared" si="57"/>
        <v>1.7010532057743764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3.4106051316484809E-13</v>
      </c>
      <c r="AJ126" s="13">
        <f>AI126*VLOOKUP('Données projet'!$B$10,Paramètres!$A$1:$I$89,3,0)*VLOOKUP('Données projet'!$B$10,Paramètres!$A$1:$I$89,5,0)</f>
        <v>1.5961632016114892E-13</v>
      </c>
      <c r="AK126" s="13">
        <f t="shared" si="89"/>
        <v>2.2708641912150958E-12</v>
      </c>
      <c r="AL126" s="20">
        <f t="shared" si="58"/>
        <v>4.2330868906469593E-12</v>
      </c>
      <c r="AM126" s="59">
        <f t="shared" si="59"/>
        <v>293.33333333333752</v>
      </c>
      <c r="AN126" s="59">
        <f ca="1">AVERAGE(OFFSET($AM$3,0,0,'Données projet'!$E$10+1,1))-AVERAGE(OFFSET($H$3,0,0,'Données projet'!$E$10+1,1))</f>
        <v>158.58786357608489</v>
      </c>
      <c r="AO126" s="59">
        <f t="shared" si="90"/>
        <v>163.20074068819849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0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-1.7053025658242404E-13</v>
      </c>
      <c r="BE126" s="13">
        <f>BD126*VLOOKUP('Données projet'!$B$11,Paramètres!$A$1:$I$89,3,0)*VLOOKUP('Données projet'!$B$11,Paramètres!$A$1:$I$89,5,0)</f>
        <v>-1.0197709343628959E-13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243.85350804244348</v>
      </c>
      <c r="BJ126" s="59">
        <f t="shared" si="92"/>
        <v>304.60992308960545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0.71749540424455804</v>
      </c>
      <c r="BQ126" s="21">
        <f>EXP(-LN(2)/25)*BQ125+(1-EXP(-LN(2)/25))/(LN(2)/25)*Calculateur!BL126*Calculateur!BN126*VLOOKUP('Données projet'!$B$11,Paramètres!$A$1:$I$89,3,0)*0.475*44/12</f>
        <v>1.3453962878536521</v>
      </c>
      <c r="BR126" s="21">
        <f>EXP(-LN(2)/2)*BR125+(1-EXP(-LN(2)/2))/(LN(2)/2)*BL126*BO126*VLOOKUP('Données projet'!$B$11,Paramètres!$A$1:$I$89,3,0)*0.475*44/12</f>
        <v>3.7563912187653976E-14</v>
      </c>
      <c r="BS126" s="22">
        <f t="shared" si="63"/>
        <v>2.0628916920982481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497</v>
      </c>
      <c r="BZ126" s="13">
        <f>BY126*VLOOKUP('Données projet'!$B$12,Paramètres!$A$1:$I$89,3,0)*VLOOKUP('Données projet'!$B$12,Paramètres!$A$1:$I$89,5,0)</f>
        <v>297.20600000000002</v>
      </c>
      <c r="CA126" s="13">
        <f t="shared" si="93"/>
        <v>70.590415164571112</v>
      </c>
      <c r="CB126" s="20">
        <f t="shared" si="64"/>
        <v>640.57875641162809</v>
      </c>
      <c r="CC126" s="59">
        <f t="shared" si="65"/>
        <v>933.91208974496135</v>
      </c>
      <c r="CD126" s="59">
        <f ca="1">AVERAGE(OFFSET($CC$3,0,0,'Données projet'!$E$12+1,1))-AVERAGE(OFFSET($H$3,0,0,'Données projet'!$E$12+1,1))</f>
        <v>270.30888762640245</v>
      </c>
      <c r="CE126" s="59">
        <f t="shared" si="94"/>
        <v>202.23783851977691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0.33955771454453082</v>
      </c>
      <c r="CL126" s="21">
        <f>EXP(-LN(2)/25)*CL125+(1-EXP(-LN(2)/25))/(LN(2)/25)*Calculateur!CG126*Calculateur!CI126*VLOOKUP('Données projet'!$B$12,Paramètres!$A$1:$I$89,3,0)*0.475*44/12</f>
        <v>0.93304867908168077</v>
      </c>
      <c r="CM126" s="21">
        <f>EXP(-LN(2)/2)*CM125+(1-EXP(-LN(2)/2))/(LN(2)/2)*CG126*CJ126*VLOOKUP('Données projet'!$B$12,Paramètres!$A$1:$I$89,3,0)*0.475*44/12</f>
        <v>1.8582467381117266E-13</v>
      </c>
      <c r="CN126" s="22">
        <f t="shared" si="66"/>
        <v>1.2726063936263974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-5.1159076974727213E-13</v>
      </c>
      <c r="CU126" s="17">
        <f>CT126*VLOOKUP('Données projet'!$B$13,Paramètres!$A$1:$I$89,3,0)*VLOOKUP('Données projet'!$B$13,Paramètres!$A$1:$I$89,5,0)</f>
        <v>-4.0702161641092972E-13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260.20517190557814</v>
      </c>
      <c r="CZ126" s="59">
        <f t="shared" si="96"/>
        <v>307.22009971147133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0.51729239266482052</v>
      </c>
      <c r="DG126" s="21">
        <f>EXP(-LN(2)/25)*DG125+(1-EXP(-LN(2)/25))/(LN(2)/25)*Calculateur!DB126*Calculateur!DD126*VLOOKUP('Données projet'!$B$13,Paramètres!$A$1:$I$89,3,0)*0.475*44/12</f>
        <v>1.5571747911416989</v>
      </c>
      <c r="DH126" s="21">
        <f>EXP(-LN(2)/2)*DH125+(1-EXP(-LN(2)/2))/(LN(2)/2)*DB126*DE126*VLOOKUP('Données projet'!$B$13,Paramètres!$A$1:$I$89,3,0)*0.475*44/12</f>
        <v>2.415584409234891E-13</v>
      </c>
      <c r="DI126" s="22">
        <f t="shared" si="69"/>
        <v>2.0744671838067612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>
        <f>VLOOKUP(A126,'Données projet'!$A$165:$I$185,2,0)</f>
        <v>222.63461538461539</v>
      </c>
      <c r="DM126" s="12">
        <f>VLOOKUP(A126,'Données projet'!$A$165:$I$185,9,0)</f>
        <v>3.8301282051282044</v>
      </c>
      <c r="DN126" s="12">
        <f t="array" ref="DN126">INDEX(DM:DM,MIN(IF(ISNUMBER(DM126:DM322),ROW(DM126:DM322),"")))</f>
        <v>3.8301282051282044</v>
      </c>
      <c r="DO126" s="12">
        <f>IF('Données projet'!$A$166&gt;35,DO125+DN126-DW125,IF(A126&lt;'Données projet'!$A$166,$DL$205^A126,IF(A126='Données projet'!$A$166,'Données projet'!$B$166,DO125+DN126-DW125)))</f>
        <v>222.63461538461576</v>
      </c>
      <c r="DP126" s="17">
        <f>DO126*VLOOKUP('Données projet'!$B$14,Paramètres!$A$1:$I$89,3,0)*VLOOKUP('Données projet'!$B$14,Paramètres!$A$1:$I$89,5,0)</f>
        <v>225.75150000000036</v>
      </c>
      <c r="DQ126" s="13">
        <f t="shared" si="97"/>
        <v>55.363062072917515</v>
      </c>
      <c r="DR126" s="20">
        <f t="shared" si="70"/>
        <v>489.60786227699856</v>
      </c>
      <c r="DS126" s="59">
        <f t="shared" si="71"/>
        <v>782.94119561033187</v>
      </c>
      <c r="DT126" s="59">
        <f ca="1">AVERAGE(OFFSET($DS$3,0,0,'Données projet'!$E$14+1,1))-AVERAGE(OFFSET($H$3,0,0,'Données projet'!$E$14+1,1))</f>
        <v>263.15518481854753</v>
      </c>
      <c r="DU126" s="59">
        <f t="shared" si="98"/>
        <v>210.80755370263819</v>
      </c>
      <c r="DV126" s="15">
        <f>IF(ISNA(VLOOKUP(A126,'Données projet'!$A$165:$I$185,3,0)),0,VLOOKUP(A126,'Données projet'!$A$165:$I$185,3,0))</f>
        <v>12</v>
      </c>
      <c r="DW126" s="15">
        <f>IF(ISNA(VLOOKUP(A126,'Données projet'!$A$165:$I$185,4,0)),0,VLOOKUP(A126,'Données projet'!$A$165:$I$185,4,0))</f>
        <v>77.17307692307692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0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-5.1159076974727213E-13</v>
      </c>
      <c r="EK126" s="17">
        <f>EJ126*VLOOKUP('Données projet'!$B$15,Paramètres!$A$1:$I$89,3,0)*VLOOKUP('Données projet'!$B$15,Paramètres!$A$1:$I$89,5,0)</f>
        <v>-3.4317508834647017E-13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207.93042467236967</v>
      </c>
      <c r="EP126" s="59">
        <f t="shared" si="100"/>
        <v>250.70954318710835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0.43614848793308347</v>
      </c>
      <c r="EW126" s="21">
        <f>EXP(-LN(2)/25)*EW125+(1-EXP(-LN(2)/25))/(LN(2)/25)*Calculateur!ER126*Calculateur!ET126*VLOOKUP('Données projet'!$B$15,Paramètres!$A$1:$I$89,3,0)*0.475*44/12</f>
        <v>1.312912078805748</v>
      </c>
      <c r="EX126" s="21">
        <f>EXP(-LN(2)/2)*EX125+(1-EXP(-LN(2)/2))/(LN(2)/2)*ER126*EU126*VLOOKUP('Données projet'!$B$15,Paramètres!$A$1:$I$89,3,0)*0.475*44/12</f>
        <v>2.0366692077862806E-13</v>
      </c>
      <c r="EY126" s="22">
        <f t="shared" si="75"/>
        <v>1.7490605667390351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>
        <f>VLOOKUP(A126,'Données projet'!$A$217:$I$237,2,0)</f>
        <v>222.63461538461539</v>
      </c>
      <c r="FC126" s="12">
        <f>VLOOKUP(A126,'Données projet'!$A$217:$I$237,9,0)</f>
        <v>3.8301282051282044</v>
      </c>
      <c r="FD126" s="12">
        <f t="array" ref="FD126">INDEX(FC:FC,MIN(IF(ISNUMBER(FC126:FC322),ROW(FC126:FC322),"")))</f>
        <v>3.8301282051282044</v>
      </c>
      <c r="FE126" s="12">
        <f>IF('Données projet'!$A$218&gt;35,FE125+FD126-FM125,IF(A126&lt;'Données projet'!$A$218,$FB$205^A126,IF(A126='Données projet'!$A$218,'Données projet'!$B$218,FE125+FD126-FM125)))</f>
        <v>222.63461538461576</v>
      </c>
      <c r="FF126" s="17">
        <f>FE126*VLOOKUP('Données projet'!$B$16,Paramètres!$A$1:$I$89,3,0)*VLOOKUP('Données projet'!$B$16,Paramètres!$A$1:$I$89,5,0)</f>
        <v>239.6439000000004</v>
      </c>
      <c r="FG126" s="13">
        <f t="shared" si="101"/>
        <v>58.362907212682551</v>
      </c>
      <c r="FH126" s="20">
        <f t="shared" si="76"/>
        <v>519.02852256208939</v>
      </c>
      <c r="FI126" s="59">
        <f t="shared" si="77"/>
        <v>812.36185589542265</v>
      </c>
      <c r="FJ126" s="59">
        <f ca="1">AVERAGE(OFFSET($FI$3,0,0,'Données projet'!$E$16+1,1))-AVERAGE(OFFSET($H$3,0,0,'Données projet'!$E$16+1,1))</f>
        <v>286.77702855541287</v>
      </c>
      <c r="FK126" s="59">
        <f t="shared" si="102"/>
        <v>227.12211541860779</v>
      </c>
      <c r="FL126" s="15">
        <f>IF(ISNA(VLOOKUP(A126,'Données projet'!$A$217:$I$237,3,0)),0,VLOOKUP(A126,'Données projet'!$A$217:$I$237,3,0))</f>
        <v>12</v>
      </c>
      <c r="FM126" s="15">
        <f>IF(ISNA(VLOOKUP(A126,'Données projet'!$A$217:$I$237,4,0)),0,VLOOKUP(A126,'Données projet'!$A$217:$I$237,4,0))</f>
        <v>77.17307692307692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0</v>
      </c>
      <c r="FR126" s="21">
        <f>EXP(-LN(2)/25)*FR125+(1-EXP(-LN(2)/25))/(LN(2)/25)*Calculateur!FM126*Calculateur!FO126*VLOOKUP('Données projet'!$B$16,Paramètres!$A$1:$I$89,3,0)*0.475*44/12</f>
        <v>0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0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4.9084615384615375</v>
      </c>
      <c r="FZ126" s="12">
        <f>IF('Données projet'!$A$244&gt;35,FZ125+FY126-GH125,IF(A126&lt;'Données projet'!$A$244,$FW$205^A126,IF(A126='Données projet'!$A$244,'Données projet'!$B$244,FZ125+FY126-GH125)))</f>
        <v>220.34769230769274</v>
      </c>
      <c r="GA126" s="17">
        <f>FZ126*VLOOKUP('Données projet'!$B$17,Paramètres!$A$1:$I$89,3,0)*VLOOKUP('Données projet'!$B$17,Paramètres!$A$1:$I$89,5,0)</f>
        <v>103.12272000000021</v>
      </c>
      <c r="GB126" s="13">
        <f t="shared" si="103"/>
        <v>27.7046059215917</v>
      </c>
      <c r="GC126" s="20">
        <f t="shared" si="79"/>
        <v>227.85759264677259</v>
      </c>
      <c r="GD126" s="59">
        <f t="shared" si="80"/>
        <v>521.19092598010593</v>
      </c>
      <c r="GE126" s="59">
        <f ca="1">AVERAGE(OFFSET($GD$3,0,0,'Données projet'!$E$17+1,1))-AVERAGE(OFFSET($H$3,0,0,'Données projet'!$E$17+1,1))</f>
        <v>123.2823358462245</v>
      </c>
      <c r="GF126" s="59">
        <f t="shared" si="104"/>
        <v>92.75115399786057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0</v>
      </c>
      <c r="GM126" s="21">
        <f>EXP(-LN(2)/25)*GM125+(1-EXP(-LN(2)/25))/(LN(2)/25)*Calculateur!GH126*Calculateur!GJ126*VLOOKUP('Données projet'!$B$17,Paramètres!$A$1:$I$89,3,0)*0.475*44/12</f>
        <v>0</v>
      </c>
      <c r="GN126" s="21">
        <f>EXP(-LN(2)/2)*GN125+(1-EXP(-LN(2)/2))/(LN(2)/2)*GH126*GK126*VLOOKUP('Données projet'!$B$17,Paramètres!$A$1:$I$89,3,0)*0.475*44/12</f>
        <v>0</v>
      </c>
      <c r="GO126" s="21">
        <f t="shared" si="81"/>
        <v>0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-2.8421709430404007E-13</v>
      </c>
      <c r="GV126" s="17">
        <f>GU126*VLOOKUP('Données projet'!$B$18,Paramètres!$A$1:$I$89,3,0)*VLOOKUP('Données projet'!$B$18,Paramètres!$A$1:$I$89,5,0)</f>
        <v>-1.69961822393816E-13</v>
      </c>
      <c r="GW126" s="13" t="e">
        <f t="shared" si="105"/>
        <v>#NUM!</v>
      </c>
      <c r="GX126" s="20" t="e">
        <f t="shared" si="82"/>
        <v>#NUM!</v>
      </c>
      <c r="GY126" s="59" t="e">
        <f t="shared" si="83"/>
        <v>#NUM!</v>
      </c>
      <c r="GZ126" s="59">
        <f ca="1">AVERAGE(OFFSET($GY$3,0,0,'Données projet'!$E$18+1,1))-AVERAGE(OFFSET($H$3,0,0,'Données projet'!$E$18+1,1))</f>
        <v>171.96009656745713</v>
      </c>
      <c r="HA126" s="59">
        <f t="shared" si="106"/>
        <v>172.37574906747716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>
        <f>EXP(-LN(2)/35)*HG125+(1-EXP(-LN(2)/35))/(LN(2)/35)*HC126*HD126*VLOOKUP('Données projet'!$B$18,Paramètres!$A$1:$I$89,3,0)*0.475*44/12</f>
        <v>0.2644414630035043</v>
      </c>
      <c r="HH126" s="21">
        <f>EXP(-LN(2)/25)*HH125+(1-EXP(-LN(2)/25))/(LN(2)/25)*Calculateur!HC126*Calculateur!HE126*VLOOKUP('Données projet'!$B$18,Paramètres!$A$1:$I$89,3,0)*0.475*44/12</f>
        <v>1.5600105278042051</v>
      </c>
      <c r="HI126" s="21">
        <f>EXP(-LN(2)/2)*HI125+(1-EXP(-LN(2)/2))/(LN(2)/2)*HC126*HF126*VLOOKUP('Données projet'!$B$18,Paramètres!$A$1:$I$89,3,0)*0.475*44/12</f>
        <v>1.2103148184960117E-13</v>
      </c>
      <c r="HJ126" s="22">
        <f t="shared" si="84"/>
        <v>1.8244519908078305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-2.2737367544323206E-13</v>
      </c>
      <c r="O127" s="13">
        <f>N127*VLOOKUP('Données projet'!$B$9,Paramètres!$A$1:$I$89,3,0)*VLOOKUP('Données projet'!$B$9,Paramètres!$A$1:$I$89,5,0)</f>
        <v>-1.2710188457276673E-13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255.5374979188561</v>
      </c>
      <c r="T127" s="59">
        <f t="shared" si="88"/>
        <v>343.10418468620901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0.48026801075629133</v>
      </c>
      <c r="AA127" s="21">
        <f>EXP(-LN(2)/25)*AA126+(1-EXP(-LN(2)/25))/(LN(2)/25)*Calculateur!V127*Calculateur!X127*VLOOKUP('Données projet'!$B$9,Paramètres!$A$1:$I$89,3,0)*0.475*44/12</f>
        <v>1.1780593067100131</v>
      </c>
      <c r="AB127" s="21">
        <f>EXP(-LN(2)/2)*AB126+(1-EXP(-LN(2)/2))/(LN(2)/2)*V127*Y127*VLOOKUP('Données projet'!$B$9,Paramètres!$A$1:$I$89,3,0)*0.475*44/12</f>
        <v>1.2027016392253146E-14</v>
      </c>
      <c r="AC127" s="22">
        <f t="shared" si="57"/>
        <v>1.6583273174663165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3.4106051316484809E-13</v>
      </c>
      <c r="AJ127" s="13">
        <f>AI127*VLOOKUP('Données projet'!$B$10,Paramètres!$A$1:$I$89,3,0)*VLOOKUP('Données projet'!$B$10,Paramètres!$A$1:$I$89,5,0)</f>
        <v>1.5961632016114892E-13</v>
      </c>
      <c r="AK127" s="13">
        <f t="shared" si="89"/>
        <v>2.2708641912150958E-12</v>
      </c>
      <c r="AL127" s="20">
        <f t="shared" si="58"/>
        <v>4.2330868906469593E-12</v>
      </c>
      <c r="AM127" s="59">
        <f t="shared" si="59"/>
        <v>293.33333333333752</v>
      </c>
      <c r="AN127" s="59">
        <f ca="1">AVERAGE(OFFSET($AM$3,0,0,'Données projet'!$E$10+1,1))-AVERAGE(OFFSET($H$3,0,0,'Données projet'!$E$10+1,1))</f>
        <v>158.58786357608489</v>
      </c>
      <c r="AO127" s="59">
        <f t="shared" si="90"/>
        <v>163.20074068819849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0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-1.7053025658242404E-13</v>
      </c>
      <c r="BE127" s="13">
        <f>BD127*VLOOKUP('Données projet'!$B$11,Paramètres!$A$1:$I$89,3,0)*VLOOKUP('Données projet'!$B$11,Paramètres!$A$1:$I$89,5,0)</f>
        <v>-1.0197709343628959E-13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243.85350804244348</v>
      </c>
      <c r="BJ127" s="59">
        <f t="shared" si="92"/>
        <v>304.60992308960545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0.70342575699630661</v>
      </c>
      <c r="BQ127" s="21">
        <f>EXP(-LN(2)/25)*BQ126+(1-EXP(-LN(2)/25))/(LN(2)/25)*Calculateur!BL127*Calculateur!BN127*VLOOKUP('Données projet'!$B$11,Paramètres!$A$1:$I$89,3,0)*0.475*44/12</f>
        <v>1.3086063556109782</v>
      </c>
      <c r="BR127" s="21">
        <f>EXP(-LN(2)/2)*BR126+(1-EXP(-LN(2)/2))/(LN(2)/2)*BL127*BO127*VLOOKUP('Données projet'!$B$11,Paramètres!$A$1:$I$89,3,0)*0.475*44/12</f>
        <v>2.6561697035786126E-14</v>
      </c>
      <c r="BS127" s="22">
        <f t="shared" si="63"/>
        <v>2.0120321126073115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497</v>
      </c>
      <c r="BZ127" s="13">
        <f>BY127*VLOOKUP('Données projet'!$B$12,Paramètres!$A$1:$I$89,3,0)*VLOOKUP('Données projet'!$B$12,Paramètres!$A$1:$I$89,5,0)</f>
        <v>297.20600000000002</v>
      </c>
      <c r="CA127" s="13">
        <f t="shared" si="93"/>
        <v>70.590415164571112</v>
      </c>
      <c r="CB127" s="20">
        <f t="shared" si="64"/>
        <v>640.57875641162809</v>
      </c>
      <c r="CC127" s="59">
        <f t="shared" si="65"/>
        <v>933.91208974496135</v>
      </c>
      <c r="CD127" s="59">
        <f ca="1">AVERAGE(OFFSET($CC$3,0,0,'Données projet'!$E$12+1,1))-AVERAGE(OFFSET($H$3,0,0,'Données projet'!$E$12+1,1))</f>
        <v>270.30888762640245</v>
      </c>
      <c r="CE127" s="59">
        <f t="shared" si="94"/>
        <v>202.23783851977691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0.33289919487206804</v>
      </c>
      <c r="CL127" s="21">
        <f>EXP(-LN(2)/25)*CL126+(1-EXP(-LN(2)/25))/(LN(2)/25)*Calculateur!CG127*Calculateur!CI127*VLOOKUP('Données projet'!$B$12,Paramètres!$A$1:$I$89,3,0)*0.475*44/12</f>
        <v>0.90753441388529466</v>
      </c>
      <c r="CM127" s="21">
        <f>EXP(-LN(2)/2)*CM126+(1-EXP(-LN(2)/2))/(LN(2)/2)*CG127*CJ127*VLOOKUP('Données projet'!$B$12,Paramètres!$A$1:$I$89,3,0)*0.475*44/12</f>
        <v>1.3139788696365844E-13</v>
      </c>
      <c r="CN127" s="22">
        <f t="shared" si="66"/>
        <v>1.2404336087574941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-5.1159076974727213E-13</v>
      </c>
      <c r="CU127" s="17">
        <f>CT127*VLOOKUP('Données projet'!$B$13,Paramètres!$A$1:$I$89,3,0)*VLOOKUP('Données projet'!$B$13,Paramètres!$A$1:$I$89,5,0)</f>
        <v>-4.0702161641092972E-13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260.20517190557814</v>
      </c>
      <c r="CZ127" s="59">
        <f t="shared" si="96"/>
        <v>307.22009971147133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0.50714860436186815</v>
      </c>
      <c r="DG127" s="21">
        <f>EXP(-LN(2)/25)*DG126+(1-EXP(-LN(2)/25))/(LN(2)/25)*Calculateur!DB127*Calculateur!DD127*VLOOKUP('Données projet'!$B$13,Paramètres!$A$1:$I$89,3,0)*0.475*44/12</f>
        <v>1.5145937645896659</v>
      </c>
      <c r="DH127" s="21">
        <f>EXP(-LN(2)/2)*DH126+(1-EXP(-LN(2)/2))/(LN(2)/2)*DB127*DE127*VLOOKUP('Données projet'!$B$13,Paramètres!$A$1:$I$89,3,0)*0.475*44/12</f>
        <v>1.7080761162984918E-13</v>
      </c>
      <c r="DI127" s="22">
        <f t="shared" si="69"/>
        <v>2.0217423689517049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2.3349358974358978</v>
      </c>
      <c r="DO127" s="12">
        <f>IF('Données projet'!$A$166&gt;35,DO126+DN127-DW126,IF(A127&lt;'Données projet'!$A$166,$DL$205^A127,IF(A127='Données projet'!$A$166,'Données projet'!$B$166,DO126+DN127-DW126)))</f>
        <v>147.79647435897476</v>
      </c>
      <c r="DP127" s="17">
        <f>DO127*VLOOKUP('Données projet'!$B$14,Paramètres!$A$1:$I$89,3,0)*VLOOKUP('Données projet'!$B$14,Paramètres!$A$1:$I$89,5,0)</f>
        <v>149.86562500000042</v>
      </c>
      <c r="DQ127" s="13">
        <f t="shared" si="97"/>
        <v>38.548046827253025</v>
      </c>
      <c r="DR127" s="20">
        <f t="shared" si="70"/>
        <v>328.15381176579973</v>
      </c>
      <c r="DS127" s="59">
        <f t="shared" si="71"/>
        <v>621.48714509913304</v>
      </c>
      <c r="DT127" s="59">
        <f ca="1">AVERAGE(OFFSET($DS$3,0,0,'Données projet'!$E$14+1,1))-AVERAGE(OFFSET($H$3,0,0,'Données projet'!$E$14+1,1))</f>
        <v>263.15518481854753</v>
      </c>
      <c r="DU127" s="59">
        <f t="shared" si="98"/>
        <v>210.80755370263819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0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-5.1159076974727213E-13</v>
      </c>
      <c r="EK127" s="17">
        <f>EJ127*VLOOKUP('Données projet'!$B$15,Paramètres!$A$1:$I$89,3,0)*VLOOKUP('Données projet'!$B$15,Paramètres!$A$1:$I$89,5,0)</f>
        <v>-3.4317508834647017E-13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207.93042467236967</v>
      </c>
      <c r="EP127" s="59">
        <f t="shared" si="100"/>
        <v>250.70954318710835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0.4275958821090256</v>
      </c>
      <c r="EW127" s="21">
        <f>EXP(-LN(2)/25)*EW126+(1-EXP(-LN(2)/25))/(LN(2)/25)*Calculateur!ER127*Calculateur!ET127*VLOOKUP('Données projet'!$B$15,Paramètres!$A$1:$I$89,3,0)*0.475*44/12</f>
        <v>1.2770104289677593</v>
      </c>
      <c r="EX127" s="21">
        <f>EXP(-LN(2)/2)*EX126+(1-EXP(-LN(2)/2))/(LN(2)/2)*ER127*EU127*VLOOKUP('Données projet'!$B$15,Paramètres!$A$1:$I$89,3,0)*0.475*44/12</f>
        <v>1.4401426078595126E-13</v>
      </c>
      <c r="EY127" s="22">
        <f t="shared" si="75"/>
        <v>1.7046063110769289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2.3349358974358978</v>
      </c>
      <c r="FE127" s="12">
        <f>IF('Données projet'!$A$218&gt;35,FE126+FD127-FM126,IF(A127&lt;'Données projet'!$A$218,$FB$205^A127,IF(A127='Données projet'!$A$218,'Données projet'!$B$218,FE126+FD127-FM126)))</f>
        <v>147.79647435897476</v>
      </c>
      <c r="FF127" s="17">
        <f>FE127*VLOOKUP('Données projet'!$B$16,Paramètres!$A$1:$I$89,3,0)*VLOOKUP('Données projet'!$B$16,Paramètres!$A$1:$I$89,5,0)</f>
        <v>159.08812500000042</v>
      </c>
      <c r="FG127" s="13">
        <f t="shared" si="101"/>
        <v>40.636771088383405</v>
      </c>
      <c r="FH127" s="20">
        <f t="shared" si="76"/>
        <v>347.85419402060182</v>
      </c>
      <c r="FI127" s="59">
        <f t="shared" si="77"/>
        <v>641.18752735393514</v>
      </c>
      <c r="FJ127" s="59">
        <f ca="1">AVERAGE(OFFSET($FI$3,0,0,'Données projet'!$E$16+1,1))-AVERAGE(OFFSET($H$3,0,0,'Données projet'!$E$16+1,1))</f>
        <v>286.77702855541287</v>
      </c>
      <c r="FK127" s="59">
        <f t="shared" si="102"/>
        <v>227.12211541860779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0</v>
      </c>
      <c r="FR127" s="21">
        <f>EXP(-LN(2)/25)*FR126+(1-EXP(-LN(2)/25))/(LN(2)/25)*Calculateur!FM127*Calculateur!FO127*VLOOKUP('Données projet'!$B$16,Paramètres!$A$1:$I$89,3,0)*0.475*44/12</f>
        <v>0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0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4.9084615384615375</v>
      </c>
      <c r="FZ127" s="12">
        <f>IF('Données projet'!$A$244&gt;35,FZ126+FY127-GH126,IF(A127&lt;'Données projet'!$A$244,$FW$205^A127,IF(A127='Données projet'!$A$244,'Données projet'!$B$244,FZ126+FY127-GH126)))</f>
        <v>225.25615384615429</v>
      </c>
      <c r="GA127" s="17">
        <f>FZ127*VLOOKUP('Données projet'!$B$17,Paramètres!$A$1:$I$89,3,0)*VLOOKUP('Données projet'!$B$17,Paramètres!$A$1:$I$89,5,0)</f>
        <v>105.41988000000021</v>
      </c>
      <c r="GB127" s="13">
        <f t="shared" si="103"/>
        <v>28.249216129722367</v>
      </c>
      <c r="GC127" s="20">
        <f t="shared" si="79"/>
        <v>232.80700909260011</v>
      </c>
      <c r="GD127" s="59">
        <f t="shared" si="80"/>
        <v>526.14034242593345</v>
      </c>
      <c r="GE127" s="59">
        <f ca="1">AVERAGE(OFFSET($GD$3,0,0,'Données projet'!$E$17+1,1))-AVERAGE(OFFSET($H$3,0,0,'Données projet'!$E$17+1,1))</f>
        <v>123.2823358462245</v>
      </c>
      <c r="GF127" s="59">
        <f t="shared" si="104"/>
        <v>92.75115399786057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0</v>
      </c>
      <c r="GM127" s="21">
        <f>EXP(-LN(2)/25)*GM126+(1-EXP(-LN(2)/25))/(LN(2)/25)*Calculateur!GH127*Calculateur!GJ127*VLOOKUP('Données projet'!$B$17,Paramètres!$A$1:$I$89,3,0)*0.475*44/12</f>
        <v>0</v>
      </c>
      <c r="GN127" s="21">
        <f>EXP(-LN(2)/2)*GN126+(1-EXP(-LN(2)/2))/(LN(2)/2)*GH127*GK127*VLOOKUP('Données projet'!$B$17,Paramètres!$A$1:$I$89,3,0)*0.475*44/12</f>
        <v>0</v>
      </c>
      <c r="GO127" s="21">
        <f t="shared" si="81"/>
        <v>0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-2.8421709430404007E-13</v>
      </c>
      <c r="GV127" s="17">
        <f>GU127*VLOOKUP('Données projet'!$B$18,Paramètres!$A$1:$I$89,3,0)*VLOOKUP('Données projet'!$B$18,Paramètres!$A$1:$I$89,5,0)</f>
        <v>-1.69961822393816E-13</v>
      </c>
      <c r="GW127" s="13" t="e">
        <f t="shared" si="105"/>
        <v>#NUM!</v>
      </c>
      <c r="GX127" s="20" t="e">
        <f t="shared" si="82"/>
        <v>#NUM!</v>
      </c>
      <c r="GY127" s="59" t="e">
        <f t="shared" si="83"/>
        <v>#NUM!</v>
      </c>
      <c r="GZ127" s="59">
        <f ca="1">AVERAGE(OFFSET($GY$3,0,0,'Données projet'!$E$18+1,1))-AVERAGE(OFFSET($H$3,0,0,'Données projet'!$E$18+1,1))</f>
        <v>171.96009656745713</v>
      </c>
      <c r="HA127" s="59">
        <f t="shared" si="106"/>
        <v>172.37574906747716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>
        <f>EXP(-LN(2)/35)*HG126+(1-EXP(-LN(2)/35))/(LN(2)/35)*HC127*HD127*VLOOKUP('Données projet'!$B$18,Paramètres!$A$1:$I$89,3,0)*0.475*44/12</f>
        <v>0.25925592720737162</v>
      </c>
      <c r="HH127" s="21">
        <f>EXP(-LN(2)/25)*HH126+(1-EXP(-LN(2)/25))/(LN(2)/25)*Calculateur!HC127*Calculateur!HE127*VLOOKUP('Données projet'!$B$18,Paramètres!$A$1:$I$89,3,0)*0.475*44/12</f>
        <v>1.5173519578840109</v>
      </c>
      <c r="HI127" s="21">
        <f>EXP(-LN(2)/2)*HI126+(1-EXP(-LN(2)/2))/(LN(2)/2)*HC127*HF127*VLOOKUP('Données projet'!$B$18,Paramètres!$A$1:$I$89,3,0)*0.475*44/12</f>
        <v>8.5582181552909534E-14</v>
      </c>
      <c r="HJ127" s="22">
        <f t="shared" si="84"/>
        <v>1.7766078850914679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-2.2737367544323206E-13</v>
      </c>
      <c r="O128" s="13">
        <f>N128*VLOOKUP('Données projet'!$B$9,Paramètres!$A$1:$I$89,3,0)*VLOOKUP('Données projet'!$B$9,Paramètres!$A$1:$I$89,5,0)</f>
        <v>-1.2710188457276673E-13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255.5374979188561</v>
      </c>
      <c r="T128" s="59">
        <f t="shared" si="88"/>
        <v>343.10418468620901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0.47085024799992214</v>
      </c>
      <c r="AA128" s="21">
        <f>EXP(-LN(2)/25)*AA127+(1-EXP(-LN(2)/25))/(LN(2)/25)*Calculateur!V128*Calculateur!X128*VLOOKUP('Données projet'!$B$9,Paramètres!$A$1:$I$89,3,0)*0.475*44/12</f>
        <v>1.1458452130165813</v>
      </c>
      <c r="AB128" s="21">
        <f>EXP(-LN(2)/2)*AB127+(1-EXP(-LN(2)/2))/(LN(2)/2)*V128*Y128*VLOOKUP('Données projet'!$B$9,Paramètres!$A$1:$I$89,3,0)*0.475*44/12</f>
        <v>8.504384848403965E-15</v>
      </c>
      <c r="AC128" s="22">
        <f t="shared" si="57"/>
        <v>1.6166954610165118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3.4106051316484809E-13</v>
      </c>
      <c r="AJ128" s="13">
        <f>AI128*VLOOKUP('Données projet'!$B$10,Paramètres!$A$1:$I$89,3,0)*VLOOKUP('Données projet'!$B$10,Paramètres!$A$1:$I$89,5,0)</f>
        <v>1.5961632016114892E-13</v>
      </c>
      <c r="AK128" s="13">
        <f t="shared" si="89"/>
        <v>2.2708641912150958E-12</v>
      </c>
      <c r="AL128" s="20">
        <f t="shared" si="58"/>
        <v>4.2330868906469593E-12</v>
      </c>
      <c r="AM128" s="59">
        <f t="shared" si="59"/>
        <v>293.33333333333752</v>
      </c>
      <c r="AN128" s="59">
        <f ca="1">AVERAGE(OFFSET($AM$3,0,0,'Données projet'!$E$10+1,1))-AVERAGE(OFFSET($H$3,0,0,'Données projet'!$E$10+1,1))</f>
        <v>158.58786357608489</v>
      </c>
      <c r="AO128" s="59">
        <f t="shared" si="90"/>
        <v>163.20074068819849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0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-1.7053025658242404E-13</v>
      </c>
      <c r="BE128" s="13">
        <f>BD128*VLOOKUP('Données projet'!$B$11,Paramètres!$A$1:$I$89,3,0)*VLOOKUP('Données projet'!$B$11,Paramètres!$A$1:$I$89,5,0)</f>
        <v>-1.0197709343628959E-13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243.85350804244348</v>
      </c>
      <c r="BJ128" s="59">
        <f t="shared" si="92"/>
        <v>304.60992308960545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0.68963200694895588</v>
      </c>
      <c r="BQ128" s="21">
        <f>EXP(-LN(2)/25)*BQ127+(1-EXP(-LN(2)/25))/(LN(2)/25)*Calculateur!BL128*Calculateur!BN128*VLOOKUP('Données projet'!$B$11,Paramètres!$A$1:$I$89,3,0)*0.475*44/12</f>
        <v>1.2728224460001787</v>
      </c>
      <c r="BR128" s="21">
        <f>EXP(-LN(2)/2)*BR127+(1-EXP(-LN(2)/2))/(LN(2)/2)*BL128*BO128*VLOOKUP('Données projet'!$B$11,Paramètres!$A$1:$I$89,3,0)*0.475*44/12</f>
        <v>1.8781956093826988E-14</v>
      </c>
      <c r="BS128" s="22">
        <f t="shared" si="63"/>
        <v>1.9624544529491534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497</v>
      </c>
      <c r="BZ128" s="13">
        <f>BY128*VLOOKUP('Données projet'!$B$12,Paramètres!$A$1:$I$89,3,0)*VLOOKUP('Données projet'!$B$12,Paramètres!$A$1:$I$89,5,0)</f>
        <v>297.20600000000002</v>
      </c>
      <c r="CA128" s="13">
        <f t="shared" si="93"/>
        <v>70.590415164571112</v>
      </c>
      <c r="CB128" s="20">
        <f t="shared" si="64"/>
        <v>640.57875641162809</v>
      </c>
      <c r="CC128" s="59">
        <f t="shared" si="65"/>
        <v>933.91208974496135</v>
      </c>
      <c r="CD128" s="59">
        <f ca="1">AVERAGE(OFFSET($CC$3,0,0,'Données projet'!$E$12+1,1))-AVERAGE(OFFSET($H$3,0,0,'Données projet'!$E$12+1,1))</f>
        <v>270.30888762640245</v>
      </c>
      <c r="CE128" s="59">
        <f t="shared" si="94"/>
        <v>202.23783851977691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0.32637124470908629</v>
      </c>
      <c r="CL128" s="21">
        <f>EXP(-LN(2)/25)*CL127+(1-EXP(-LN(2)/25))/(LN(2)/25)*Calculateur!CG128*Calculateur!CI128*VLOOKUP('Données projet'!$B$12,Paramètres!$A$1:$I$89,3,0)*0.475*44/12</f>
        <v>0.8827178376124406</v>
      </c>
      <c r="CM128" s="21">
        <f>EXP(-LN(2)/2)*CM127+(1-EXP(-LN(2)/2))/(LN(2)/2)*CG128*CJ128*VLOOKUP('Données projet'!$B$12,Paramètres!$A$1:$I$89,3,0)*0.475*44/12</f>
        <v>9.2912336905586332E-14</v>
      </c>
      <c r="CN128" s="22">
        <f t="shared" si="66"/>
        <v>1.2090890823216198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-5.1159076974727213E-13</v>
      </c>
      <c r="CU128" s="17">
        <f>CT128*VLOOKUP('Données projet'!$B$13,Paramètres!$A$1:$I$89,3,0)*VLOOKUP('Données projet'!$B$13,Paramètres!$A$1:$I$89,5,0)</f>
        <v>-4.0702161641092972E-13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260.20517190557814</v>
      </c>
      <c r="CZ128" s="59">
        <f t="shared" si="96"/>
        <v>307.22009971147133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0.49720372956043679</v>
      </c>
      <c r="DG128" s="21">
        <f>EXP(-LN(2)/25)*DG127+(1-EXP(-LN(2)/25))/(LN(2)/25)*Calculateur!DB128*Calculateur!DD128*VLOOKUP('Données projet'!$B$13,Paramètres!$A$1:$I$89,3,0)*0.475*44/12</f>
        <v>1.473177118447937</v>
      </c>
      <c r="DH128" s="21">
        <f>EXP(-LN(2)/2)*DH127+(1-EXP(-LN(2)/2))/(LN(2)/2)*DB128*DE128*VLOOKUP('Données projet'!$B$13,Paramètres!$A$1:$I$89,3,0)*0.475*44/12</f>
        <v>1.2077922046174455E-13</v>
      </c>
      <c r="DI128" s="22">
        <f t="shared" si="69"/>
        <v>1.9703808480084946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2.3349358974358978</v>
      </c>
      <c r="DO128" s="12">
        <f>IF('Données projet'!$A$166&gt;35,DO127+DN128-DW127,IF(A128&lt;'Données projet'!$A$166,$DL$205^A128,IF(A128='Données projet'!$A$166,'Données projet'!$B$166,DO127+DN128-DW127)))</f>
        <v>150.13141025641067</v>
      </c>
      <c r="DP128" s="17">
        <f>DO128*VLOOKUP('Données projet'!$B$14,Paramètres!$A$1:$I$89,3,0)*VLOOKUP('Données projet'!$B$14,Paramètres!$A$1:$I$89,5,0)</f>
        <v>152.23325000000042</v>
      </c>
      <c r="DQ128" s="13">
        <f t="shared" si="97"/>
        <v>39.085662353070305</v>
      </c>
      <c r="DR128" s="20">
        <f t="shared" si="70"/>
        <v>333.21377234826485</v>
      </c>
      <c r="DS128" s="59">
        <f t="shared" si="71"/>
        <v>626.54710568159817</v>
      </c>
      <c r="DT128" s="59">
        <f ca="1">AVERAGE(OFFSET($DS$3,0,0,'Données projet'!$E$14+1,1))-AVERAGE(OFFSET($H$3,0,0,'Données projet'!$E$14+1,1))</f>
        <v>263.15518481854753</v>
      </c>
      <c r="DU128" s="59">
        <f t="shared" si="98"/>
        <v>210.80755370263819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0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-5.1159076974727213E-13</v>
      </c>
      <c r="EK128" s="17">
        <f>EJ128*VLOOKUP('Données projet'!$B$15,Paramètres!$A$1:$I$89,3,0)*VLOOKUP('Données projet'!$B$15,Paramètres!$A$1:$I$89,5,0)</f>
        <v>-3.4317508834647017E-13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207.93042467236967</v>
      </c>
      <c r="EP128" s="59">
        <f t="shared" si="100"/>
        <v>250.70954318710835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0.4192109876686031</v>
      </c>
      <c r="EW128" s="21">
        <f>EXP(-LN(2)/25)*EW127+(1-EXP(-LN(2)/25))/(LN(2)/25)*Calculateur!ER128*Calculateur!ET128*VLOOKUP('Données projet'!$B$15,Paramètres!$A$1:$I$89,3,0)*0.475*44/12</f>
        <v>1.242090511632576</v>
      </c>
      <c r="EX128" s="21">
        <f>EXP(-LN(2)/2)*EX127+(1-EXP(-LN(2)/2))/(LN(2)/2)*ER128*EU128*VLOOKUP('Données projet'!$B$15,Paramètres!$A$1:$I$89,3,0)*0.475*44/12</f>
        <v>1.0183346038931403E-13</v>
      </c>
      <c r="EY128" s="22">
        <f t="shared" si="75"/>
        <v>1.6613014993012809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2.3349358974358978</v>
      </c>
      <c r="FE128" s="12">
        <f>IF('Données projet'!$A$218&gt;35,FE127+FD128-FM127,IF(A128&lt;'Données projet'!$A$218,$FB$205^A128,IF(A128='Données projet'!$A$218,'Données projet'!$B$218,FE127+FD128-FM127)))</f>
        <v>150.13141025641067</v>
      </c>
      <c r="FF128" s="17">
        <f>FE128*VLOOKUP('Données projet'!$B$16,Paramètres!$A$1:$I$89,3,0)*VLOOKUP('Données projet'!$B$16,Paramètres!$A$1:$I$89,5,0)</f>
        <v>161.60145000000043</v>
      </c>
      <c r="FG128" s="13">
        <f t="shared" si="101"/>
        <v>41.203517288368623</v>
      </c>
      <c r="FH128" s="20">
        <f t="shared" si="76"/>
        <v>353.21865136057613</v>
      </c>
      <c r="FI128" s="59">
        <f t="shared" si="77"/>
        <v>646.55198469390939</v>
      </c>
      <c r="FJ128" s="59">
        <f ca="1">AVERAGE(OFFSET($FI$3,0,0,'Données projet'!$E$16+1,1))-AVERAGE(OFFSET($H$3,0,0,'Données projet'!$E$16+1,1))</f>
        <v>286.77702855541287</v>
      </c>
      <c r="FK128" s="59">
        <f t="shared" si="102"/>
        <v>227.12211541860779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0</v>
      </c>
      <c r="FR128" s="21">
        <f>EXP(-LN(2)/25)*FR127+(1-EXP(-LN(2)/25))/(LN(2)/25)*Calculateur!FM128*Calculateur!FO128*VLOOKUP('Données projet'!$B$16,Paramètres!$A$1:$I$89,3,0)*0.475*44/12</f>
        <v>0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0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4.9084615384615375</v>
      </c>
      <c r="FZ128" s="12">
        <f>IF('Données projet'!$A$244&gt;35,FZ127+FY128-GH127,IF(A128&lt;'Données projet'!$A$244,$FW$205^A128,IF(A128='Données projet'!$A$244,'Données projet'!$B$244,FZ127+FY128-GH127)))</f>
        <v>230.16461538461584</v>
      </c>
      <c r="GA128" s="17">
        <f>FZ128*VLOOKUP('Données projet'!$B$17,Paramètres!$A$1:$I$89,3,0)*VLOOKUP('Données projet'!$B$17,Paramètres!$A$1:$I$89,5,0)</f>
        <v>107.71704000000021</v>
      </c>
      <c r="GB128" s="13">
        <f t="shared" si="103"/>
        <v>28.792446610882166</v>
      </c>
      <c r="GC128" s="20">
        <f t="shared" si="79"/>
        <v>237.75402251395349</v>
      </c>
      <c r="GD128" s="59">
        <f t="shared" si="80"/>
        <v>531.08735584728674</v>
      </c>
      <c r="GE128" s="59">
        <f ca="1">AVERAGE(OFFSET($GD$3,0,0,'Données projet'!$E$17+1,1))-AVERAGE(OFFSET($H$3,0,0,'Données projet'!$E$17+1,1))</f>
        <v>123.2823358462245</v>
      </c>
      <c r="GF128" s="59">
        <f t="shared" si="104"/>
        <v>92.75115399786057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0</v>
      </c>
      <c r="GM128" s="21">
        <f>EXP(-LN(2)/25)*GM127+(1-EXP(-LN(2)/25))/(LN(2)/25)*Calculateur!GH128*Calculateur!GJ128*VLOOKUP('Données projet'!$B$17,Paramètres!$A$1:$I$89,3,0)*0.475*44/12</f>
        <v>0</v>
      </c>
      <c r="GN128" s="21">
        <f>EXP(-LN(2)/2)*GN127+(1-EXP(-LN(2)/2))/(LN(2)/2)*GH128*GK128*VLOOKUP('Données projet'!$B$17,Paramètres!$A$1:$I$89,3,0)*0.475*44/12</f>
        <v>0</v>
      </c>
      <c r="GO128" s="21">
        <f t="shared" si="81"/>
        <v>0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-2.8421709430404007E-13</v>
      </c>
      <c r="GV128" s="17">
        <f>GU128*VLOOKUP('Données projet'!$B$18,Paramètres!$A$1:$I$89,3,0)*VLOOKUP('Données projet'!$B$18,Paramètres!$A$1:$I$89,5,0)</f>
        <v>-1.69961822393816E-13</v>
      </c>
      <c r="GW128" s="13" t="e">
        <f t="shared" si="105"/>
        <v>#NUM!</v>
      </c>
      <c r="GX128" s="20" t="e">
        <f t="shared" si="82"/>
        <v>#NUM!</v>
      </c>
      <c r="GY128" s="59" t="e">
        <f t="shared" si="83"/>
        <v>#NUM!</v>
      </c>
      <c r="GZ128" s="59">
        <f ca="1">AVERAGE(OFFSET($GY$3,0,0,'Données projet'!$E$18+1,1))-AVERAGE(OFFSET($H$3,0,0,'Données projet'!$E$18+1,1))</f>
        <v>171.96009656745713</v>
      </c>
      <c r="HA128" s="59">
        <f t="shared" si="106"/>
        <v>172.37574906747716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>
        <f>EXP(-LN(2)/35)*HG127+(1-EXP(-LN(2)/35))/(LN(2)/35)*HC128*HD128*VLOOKUP('Données projet'!$B$18,Paramètres!$A$1:$I$89,3,0)*0.475*44/12</f>
        <v>0.25417207660533658</v>
      </c>
      <c r="HH128" s="21">
        <f>EXP(-LN(2)/25)*HH127+(1-EXP(-LN(2)/25))/(LN(2)/25)*Calculateur!HC128*Calculateur!HE128*VLOOKUP('Données projet'!$B$18,Paramètres!$A$1:$I$89,3,0)*0.475*44/12</f>
        <v>1.475859888801601</v>
      </c>
      <c r="HI128" s="21">
        <f>EXP(-LN(2)/2)*HI127+(1-EXP(-LN(2)/2))/(LN(2)/2)*HC128*HF128*VLOOKUP('Données projet'!$B$18,Paramètres!$A$1:$I$89,3,0)*0.475*44/12</f>
        <v>6.0515740924800585E-14</v>
      </c>
      <c r="HJ128" s="22">
        <f t="shared" si="84"/>
        <v>1.7300319654069982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-2.2737367544323206E-13</v>
      </c>
      <c r="O129" s="13">
        <f>N129*VLOOKUP('Données projet'!$B$9,Paramètres!$A$1:$I$89,3,0)*VLOOKUP('Données projet'!$B$9,Paramètres!$A$1:$I$89,5,0)</f>
        <v>-1.2710188457276673E-13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255.5374979188561</v>
      </c>
      <c r="T129" s="59">
        <f t="shared" si="88"/>
        <v>343.10418468620901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0.46161716182693724</v>
      </c>
      <c r="AA129" s="21">
        <f>EXP(-LN(2)/25)*AA128+(1-EXP(-LN(2)/25))/(LN(2)/25)*Calculateur!V129*Calculateur!X129*VLOOKUP('Données projet'!$B$9,Paramètres!$A$1:$I$89,3,0)*0.475*44/12</f>
        <v>1.114512015409262</v>
      </c>
      <c r="AB129" s="21">
        <f>EXP(-LN(2)/2)*AB128+(1-EXP(-LN(2)/2))/(LN(2)/2)*V129*Y129*VLOOKUP('Données projet'!$B$9,Paramètres!$A$1:$I$89,3,0)*0.475*44/12</f>
        <v>6.0135081961265728E-15</v>
      </c>
      <c r="AC129" s="22">
        <f t="shared" si="57"/>
        <v>1.5761291772362054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3.4106051316484809E-13</v>
      </c>
      <c r="AJ129" s="13">
        <f>AI129*VLOOKUP('Données projet'!$B$10,Paramètres!$A$1:$I$89,3,0)*VLOOKUP('Données projet'!$B$10,Paramètres!$A$1:$I$89,5,0)</f>
        <v>1.5961632016114892E-13</v>
      </c>
      <c r="AK129" s="13">
        <f t="shared" si="89"/>
        <v>2.2708641912150958E-12</v>
      </c>
      <c r="AL129" s="20">
        <f t="shared" si="58"/>
        <v>4.2330868906469593E-12</v>
      </c>
      <c r="AM129" s="59">
        <f t="shared" si="59"/>
        <v>293.33333333333752</v>
      </c>
      <c r="AN129" s="59">
        <f ca="1">AVERAGE(OFFSET($AM$3,0,0,'Données projet'!$E$10+1,1))-AVERAGE(OFFSET($H$3,0,0,'Données projet'!$E$10+1,1))</f>
        <v>158.58786357608489</v>
      </c>
      <c r="AO129" s="59">
        <f t="shared" si="90"/>
        <v>163.20074068819849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0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-1.7053025658242404E-13</v>
      </c>
      <c r="BE129" s="13">
        <f>BD129*VLOOKUP('Données projet'!$B$11,Paramètres!$A$1:$I$89,3,0)*VLOOKUP('Données projet'!$B$11,Paramètres!$A$1:$I$89,5,0)</f>
        <v>-1.0197709343628959E-13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243.85350804244348</v>
      </c>
      <c r="BJ129" s="59">
        <f t="shared" si="92"/>
        <v>304.60992308960545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0.67610874392667697</v>
      </c>
      <c r="BQ129" s="21">
        <f>EXP(-LN(2)/25)*BQ128+(1-EXP(-LN(2)/25))/(LN(2)/25)*Calculateur!BL129*Calculateur!BN129*VLOOKUP('Données projet'!$B$11,Paramètres!$A$1:$I$89,3,0)*0.475*44/12</f>
        <v>1.2380170492794804</v>
      </c>
      <c r="BR129" s="21">
        <f>EXP(-LN(2)/2)*BR128+(1-EXP(-LN(2)/2))/(LN(2)/2)*BL129*BO129*VLOOKUP('Données projet'!$B$11,Paramètres!$A$1:$I$89,3,0)*0.475*44/12</f>
        <v>1.3280848517893063E-14</v>
      </c>
      <c r="BS129" s="22">
        <f t="shared" si="63"/>
        <v>1.9141257932061708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497</v>
      </c>
      <c r="BZ129" s="13">
        <f>BY129*VLOOKUP('Données projet'!$B$12,Paramètres!$A$1:$I$89,3,0)*VLOOKUP('Données projet'!$B$12,Paramètres!$A$1:$I$89,5,0)</f>
        <v>297.20600000000002</v>
      </c>
      <c r="CA129" s="13">
        <f t="shared" si="93"/>
        <v>70.590415164571112</v>
      </c>
      <c r="CB129" s="20">
        <f t="shared" si="64"/>
        <v>640.57875641162809</v>
      </c>
      <c r="CC129" s="59">
        <f t="shared" si="65"/>
        <v>933.91208974496135</v>
      </c>
      <c r="CD129" s="59">
        <f ca="1">AVERAGE(OFFSET($CC$3,0,0,'Données projet'!$E$12+1,1))-AVERAGE(OFFSET($H$3,0,0,'Données projet'!$E$12+1,1))</f>
        <v>270.30888762640245</v>
      </c>
      <c r="CE129" s="59">
        <f t="shared" si="94"/>
        <v>202.23783851977691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0.31997130366714416</v>
      </c>
      <c r="CL129" s="21">
        <f>EXP(-LN(2)/25)*CL128+(1-EXP(-LN(2)/25))/(LN(2)/25)*Calculateur!CG129*Calculateur!CI129*VLOOKUP('Données projet'!$B$12,Paramètres!$A$1:$I$89,3,0)*0.475*44/12</f>
        <v>0.85857987192281482</v>
      </c>
      <c r="CM129" s="21">
        <f>EXP(-LN(2)/2)*CM128+(1-EXP(-LN(2)/2))/(LN(2)/2)*CG129*CJ129*VLOOKUP('Données projet'!$B$12,Paramètres!$A$1:$I$89,3,0)*0.475*44/12</f>
        <v>6.5698943481829218E-14</v>
      </c>
      <c r="CN129" s="22">
        <f t="shared" si="66"/>
        <v>1.1785511755900246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-5.1159076974727213E-13</v>
      </c>
      <c r="CU129" s="17">
        <f>CT129*VLOOKUP('Données projet'!$B$13,Paramètres!$A$1:$I$89,3,0)*VLOOKUP('Données projet'!$B$13,Paramètres!$A$1:$I$89,5,0)</f>
        <v>-4.0702161641092972E-13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260.20517190557814</v>
      </c>
      <c r="CZ129" s="59">
        <f t="shared" si="96"/>
        <v>307.22009971147133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0.48745386768808679</v>
      </c>
      <c r="DG129" s="21">
        <f>EXP(-LN(2)/25)*DG128+(1-EXP(-LN(2)/25))/(LN(2)/25)*Calculateur!DB129*Calculateur!DD129*VLOOKUP('Données projet'!$B$13,Paramètres!$A$1:$I$89,3,0)*0.475*44/12</f>
        <v>1.4328930126729604</v>
      </c>
      <c r="DH129" s="21">
        <f>EXP(-LN(2)/2)*DH128+(1-EXP(-LN(2)/2))/(LN(2)/2)*DB129*DE129*VLOOKUP('Données projet'!$B$13,Paramètres!$A$1:$I$89,3,0)*0.475*44/12</f>
        <v>8.5403805814924589E-14</v>
      </c>
      <c r="DI129" s="22">
        <f t="shared" si="69"/>
        <v>1.9203468803611328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2.3349358974358978</v>
      </c>
      <c r="DO129" s="12">
        <f>IF('Données projet'!$A$166&gt;35,DO128+DN129-DW128,IF(A129&lt;'Données projet'!$A$166,$DL$205^A129,IF(A129='Données projet'!$A$166,'Données projet'!$B$166,DO128+DN129-DW128)))</f>
        <v>152.46634615384659</v>
      </c>
      <c r="DP129" s="17">
        <f>DO129*VLOOKUP('Données projet'!$B$14,Paramètres!$A$1:$I$89,3,0)*VLOOKUP('Données projet'!$B$14,Paramètres!$A$1:$I$89,5,0)</f>
        <v>154.60087500000046</v>
      </c>
      <c r="DQ129" s="13">
        <f t="shared" si="97"/>
        <v>39.622305459420097</v>
      </c>
      <c r="DR129" s="20">
        <f t="shared" si="70"/>
        <v>338.27203930015747</v>
      </c>
      <c r="DS129" s="59">
        <f t="shared" si="71"/>
        <v>631.60537263349079</v>
      </c>
      <c r="DT129" s="59">
        <f ca="1">AVERAGE(OFFSET($DS$3,0,0,'Données projet'!$E$14+1,1))-AVERAGE(OFFSET($H$3,0,0,'Données projet'!$E$14+1,1))</f>
        <v>263.15518481854753</v>
      </c>
      <c r="DU129" s="59">
        <f t="shared" si="98"/>
        <v>210.80755370263819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0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-5.1159076974727213E-13</v>
      </c>
      <c r="EK129" s="17">
        <f>EJ129*VLOOKUP('Données projet'!$B$15,Paramètres!$A$1:$I$89,3,0)*VLOOKUP('Données projet'!$B$15,Paramètres!$A$1:$I$89,5,0)</f>
        <v>-3.4317508834647017E-13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207.93042467236967</v>
      </c>
      <c r="EP129" s="59">
        <f t="shared" si="100"/>
        <v>250.70954318710835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0.41099051589387664</v>
      </c>
      <c r="EW129" s="21">
        <f>EXP(-LN(2)/25)*EW128+(1-EXP(-LN(2)/25))/(LN(2)/25)*Calculateur!ER129*Calculateur!ET129*VLOOKUP('Données projet'!$B$15,Paramètres!$A$1:$I$89,3,0)*0.475*44/12</f>
        <v>1.208125481273282</v>
      </c>
      <c r="EX129" s="21">
        <f>EXP(-LN(2)/2)*EX128+(1-EXP(-LN(2)/2))/(LN(2)/2)*ER129*EU129*VLOOKUP('Données projet'!$B$15,Paramètres!$A$1:$I$89,3,0)*0.475*44/12</f>
        <v>7.2007130392975629E-14</v>
      </c>
      <c r="EY129" s="22">
        <f t="shared" si="75"/>
        <v>1.6191159971672306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2.3349358974358978</v>
      </c>
      <c r="FE129" s="12">
        <f>IF('Données projet'!$A$218&gt;35,FE128+FD129-FM128,IF(A129&lt;'Données projet'!$A$218,$FB$205^A129,IF(A129='Données projet'!$A$218,'Données projet'!$B$218,FE128+FD129-FM128)))</f>
        <v>152.46634615384659</v>
      </c>
      <c r="FF129" s="17">
        <f>FE129*VLOOKUP('Données projet'!$B$16,Paramètres!$A$1:$I$89,3,0)*VLOOKUP('Données projet'!$B$16,Paramètres!$A$1:$I$89,5,0)</f>
        <v>164.11477500000046</v>
      </c>
      <c r="FG129" s="13">
        <f t="shared" si="101"/>
        <v>41.769238378379242</v>
      </c>
      <c r="FH129" s="20">
        <f t="shared" si="76"/>
        <v>358.58132330067798</v>
      </c>
      <c r="FI129" s="59">
        <f t="shared" si="77"/>
        <v>651.91465663401129</v>
      </c>
      <c r="FJ129" s="59">
        <f ca="1">AVERAGE(OFFSET($FI$3,0,0,'Données projet'!$E$16+1,1))-AVERAGE(OFFSET($H$3,0,0,'Données projet'!$E$16+1,1))</f>
        <v>286.77702855541287</v>
      </c>
      <c r="FK129" s="59">
        <f t="shared" si="102"/>
        <v>227.12211541860779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0</v>
      </c>
      <c r="FR129" s="21">
        <f>EXP(-LN(2)/25)*FR128+(1-EXP(-LN(2)/25))/(LN(2)/25)*Calculateur!FM129*Calculateur!FO129*VLOOKUP('Données projet'!$B$16,Paramètres!$A$1:$I$89,3,0)*0.475*44/12</f>
        <v>0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0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4.9084615384615375</v>
      </c>
      <c r="FZ129" s="12">
        <f>IF('Données projet'!$A$244&gt;35,FZ128+FY129-GH128,IF(A129&lt;'Données projet'!$A$244,$FW$205^A129,IF(A129='Données projet'!$A$244,'Données projet'!$B$244,FZ128+FY129-GH128)))</f>
        <v>235.07307692307739</v>
      </c>
      <c r="GA129" s="17">
        <f>FZ129*VLOOKUP('Données projet'!$B$17,Paramètres!$A$1:$I$89,3,0)*VLOOKUP('Données projet'!$B$17,Paramètres!$A$1:$I$89,5,0)</f>
        <v>110.01420000000023</v>
      </c>
      <c r="GB129" s="13">
        <f t="shared" si="103"/>
        <v>29.334330178180171</v>
      </c>
      <c r="GC129" s="20">
        <f t="shared" si="79"/>
        <v>242.69869006033085</v>
      </c>
      <c r="GD129" s="59">
        <f t="shared" si="80"/>
        <v>536.03202339366419</v>
      </c>
      <c r="GE129" s="59">
        <f ca="1">AVERAGE(OFFSET($GD$3,0,0,'Données projet'!$E$17+1,1))-AVERAGE(OFFSET($H$3,0,0,'Données projet'!$E$17+1,1))</f>
        <v>123.2823358462245</v>
      </c>
      <c r="GF129" s="59">
        <f t="shared" si="104"/>
        <v>92.75115399786057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0</v>
      </c>
      <c r="GM129" s="21">
        <f>EXP(-LN(2)/25)*GM128+(1-EXP(-LN(2)/25))/(LN(2)/25)*Calculateur!GH129*Calculateur!GJ129*VLOOKUP('Données projet'!$B$17,Paramètres!$A$1:$I$89,3,0)*0.475*44/12</f>
        <v>0</v>
      </c>
      <c r="GN129" s="21">
        <f>EXP(-LN(2)/2)*GN128+(1-EXP(-LN(2)/2))/(LN(2)/2)*GH129*GK129*VLOOKUP('Données projet'!$B$17,Paramètres!$A$1:$I$89,3,0)*0.475*44/12</f>
        <v>0</v>
      </c>
      <c r="GO129" s="21">
        <f t="shared" si="81"/>
        <v>0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-2.8421709430404007E-13</v>
      </c>
      <c r="GV129" s="17">
        <f>GU129*VLOOKUP('Données projet'!$B$18,Paramètres!$A$1:$I$89,3,0)*VLOOKUP('Données projet'!$B$18,Paramètres!$A$1:$I$89,5,0)</f>
        <v>-1.69961822393816E-13</v>
      </c>
      <c r="GW129" s="13" t="e">
        <f t="shared" si="105"/>
        <v>#NUM!</v>
      </c>
      <c r="GX129" s="20" t="e">
        <f t="shared" si="82"/>
        <v>#NUM!</v>
      </c>
      <c r="GY129" s="59" t="e">
        <f t="shared" si="83"/>
        <v>#NUM!</v>
      </c>
      <c r="GZ129" s="59">
        <f ca="1">AVERAGE(OFFSET($GY$3,0,0,'Données projet'!$E$18+1,1))-AVERAGE(OFFSET($H$3,0,0,'Données projet'!$E$18+1,1))</f>
        <v>171.96009656745713</v>
      </c>
      <c r="HA129" s="59">
        <f t="shared" si="106"/>
        <v>172.37574906747716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>
        <f>EXP(-LN(2)/35)*HG128+(1-EXP(-LN(2)/35))/(LN(2)/35)*HC129*HD129*VLOOKUP('Données projet'!$B$18,Paramètres!$A$1:$I$89,3,0)*0.475*44/12</f>
        <v>0.24918791721276476</v>
      </c>
      <c r="HH129" s="21">
        <f>EXP(-LN(2)/25)*HH128+(1-EXP(-LN(2)/25))/(LN(2)/25)*Calculateur!HC129*Calculateur!HE129*VLOOKUP('Données projet'!$B$18,Paramètres!$A$1:$I$89,3,0)*0.475*44/12</f>
        <v>1.4355024225302229</v>
      </c>
      <c r="HI129" s="21">
        <f>EXP(-LN(2)/2)*HI128+(1-EXP(-LN(2)/2))/(LN(2)/2)*HC129*HF129*VLOOKUP('Données projet'!$B$18,Paramètres!$A$1:$I$89,3,0)*0.475*44/12</f>
        <v>4.2791090776454767E-14</v>
      </c>
      <c r="HJ129" s="22">
        <f t="shared" si="84"/>
        <v>1.6846903397430304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-2.2737367544323206E-13</v>
      </c>
      <c r="O130" s="13">
        <f>N130*VLOOKUP('Données projet'!$B$9,Paramètres!$A$1:$I$89,3,0)*VLOOKUP('Données projet'!$B$9,Paramètres!$A$1:$I$89,5,0)</f>
        <v>-1.2710188457276673E-13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255.5374979188561</v>
      </c>
      <c r="T130" s="59">
        <f t="shared" si="88"/>
        <v>343.10418468620901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0.45256513084217809</v>
      </c>
      <c r="AA130" s="21">
        <f>EXP(-LN(2)/25)*AA129+(1-EXP(-LN(2)/25))/(LN(2)/25)*Calculateur!V130*Calculateur!X130*VLOOKUP('Données projet'!$B$9,Paramètres!$A$1:$I$89,3,0)*0.475*44/12</f>
        <v>1.0840356257382562</v>
      </c>
      <c r="AB130" s="21">
        <f>EXP(-LN(2)/2)*AB129+(1-EXP(-LN(2)/2))/(LN(2)/2)*V130*Y130*VLOOKUP('Données projet'!$B$9,Paramètres!$A$1:$I$89,3,0)*0.475*44/12</f>
        <v>4.2521924242019825E-15</v>
      </c>
      <c r="AC130" s="22">
        <f t="shared" si="57"/>
        <v>1.5366007565804385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3.4106051316484809E-13</v>
      </c>
      <c r="AJ130" s="13">
        <f>AI130*VLOOKUP('Données projet'!$B$10,Paramètres!$A$1:$I$89,3,0)*VLOOKUP('Données projet'!$B$10,Paramètres!$A$1:$I$89,5,0)</f>
        <v>1.5961632016114892E-13</v>
      </c>
      <c r="AK130" s="13">
        <f t="shared" si="89"/>
        <v>2.2708641912150958E-12</v>
      </c>
      <c r="AL130" s="20">
        <f t="shared" si="58"/>
        <v>4.2330868906469593E-12</v>
      </c>
      <c r="AM130" s="59">
        <f t="shared" si="59"/>
        <v>293.33333333333752</v>
      </c>
      <c r="AN130" s="59">
        <f ca="1">AVERAGE(OFFSET($AM$3,0,0,'Données projet'!$E$10+1,1))-AVERAGE(OFFSET($H$3,0,0,'Données projet'!$E$10+1,1))</f>
        <v>158.58786357608489</v>
      </c>
      <c r="AO130" s="59">
        <f t="shared" si="90"/>
        <v>163.20074068819849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0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-1.7053025658242404E-13</v>
      </c>
      <c r="BE130" s="13">
        <f>BD130*VLOOKUP('Données projet'!$B$11,Paramètres!$A$1:$I$89,3,0)*VLOOKUP('Données projet'!$B$11,Paramètres!$A$1:$I$89,5,0)</f>
        <v>-1.0197709343628959E-13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243.85350804244348</v>
      </c>
      <c r="BJ130" s="59">
        <f t="shared" si="92"/>
        <v>304.60992308960545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0.66285066384388891</v>
      </c>
      <c r="BQ130" s="21">
        <f>EXP(-LN(2)/25)*BQ129+(1-EXP(-LN(2)/25))/(LN(2)/25)*Calculateur!BL130*Calculateur!BN130*VLOOKUP('Données projet'!$B$11,Paramètres!$A$1:$I$89,3,0)*0.475*44/12</f>
        <v>1.2041634079624459</v>
      </c>
      <c r="BR130" s="21">
        <f>EXP(-LN(2)/2)*BR129+(1-EXP(-LN(2)/2))/(LN(2)/2)*BL130*BO130*VLOOKUP('Données projet'!$B$11,Paramètres!$A$1:$I$89,3,0)*0.475*44/12</f>
        <v>9.3909780469134939E-15</v>
      </c>
      <c r="BS130" s="22">
        <f t="shared" si="63"/>
        <v>1.8670140718063442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497</v>
      </c>
      <c r="BZ130" s="13">
        <f>BY130*VLOOKUP('Données projet'!$B$12,Paramètres!$A$1:$I$89,3,0)*VLOOKUP('Données projet'!$B$12,Paramètres!$A$1:$I$89,5,0)</f>
        <v>297.20600000000002</v>
      </c>
      <c r="CA130" s="13">
        <f t="shared" si="93"/>
        <v>70.590415164571112</v>
      </c>
      <c r="CB130" s="20">
        <f t="shared" si="64"/>
        <v>640.57875641162809</v>
      </c>
      <c r="CC130" s="59">
        <f t="shared" si="65"/>
        <v>933.91208974496135</v>
      </c>
      <c r="CD130" s="59">
        <f ca="1">AVERAGE(OFFSET($CC$3,0,0,'Données projet'!$E$12+1,1))-AVERAGE(OFFSET($H$3,0,0,'Données projet'!$E$12+1,1))</f>
        <v>270.30888762640245</v>
      </c>
      <c r="CE130" s="59">
        <f t="shared" si="94"/>
        <v>202.23783851977691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0.31369686156545595</v>
      </c>
      <c r="CL130" s="21">
        <f>EXP(-LN(2)/25)*CL129+(1-EXP(-LN(2)/25))/(LN(2)/25)*Calculateur!CG130*Calculateur!CI130*VLOOKUP('Données projet'!$B$12,Paramètres!$A$1:$I$89,3,0)*0.475*44/12</f>
        <v>0.83510196017433225</v>
      </c>
      <c r="CM130" s="21">
        <f>EXP(-LN(2)/2)*CM129+(1-EXP(-LN(2)/2))/(LN(2)/2)*CG130*CJ130*VLOOKUP('Données projet'!$B$12,Paramètres!$A$1:$I$89,3,0)*0.475*44/12</f>
        <v>4.6456168452793166E-14</v>
      </c>
      <c r="CN130" s="22">
        <f t="shared" si="66"/>
        <v>1.1487988217398346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-5.1159076974727213E-13</v>
      </c>
      <c r="CU130" s="17">
        <f>CT130*VLOOKUP('Données projet'!$B$13,Paramètres!$A$1:$I$89,3,0)*VLOOKUP('Données projet'!$B$13,Paramètres!$A$1:$I$89,5,0)</f>
        <v>-4.0702161641092972E-13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260.20517190557814</v>
      </c>
      <c r="CZ130" s="59">
        <f t="shared" si="96"/>
        <v>307.22009971147133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0.47789519466022506</v>
      </c>
      <c r="DG130" s="21">
        <f>EXP(-LN(2)/25)*DG129+(1-EXP(-LN(2)/25))/(LN(2)/25)*Calculateur!DB130*Calculateur!DD130*VLOOKUP('Données projet'!$B$13,Paramètres!$A$1:$I$89,3,0)*0.475*44/12</f>
        <v>1.3937104778888496</v>
      </c>
      <c r="DH130" s="21">
        <f>EXP(-LN(2)/2)*DH129+(1-EXP(-LN(2)/2))/(LN(2)/2)*DB130*DE130*VLOOKUP('Données projet'!$B$13,Paramètres!$A$1:$I$89,3,0)*0.475*44/12</f>
        <v>6.0389610230872276E-14</v>
      </c>
      <c r="DI130" s="22">
        <f t="shared" si="69"/>
        <v>1.871605672549135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>
        <f>VLOOKUP(A130,'Données projet'!$A$165:$I$185,2,0)</f>
        <v>154.80128205128204</v>
      </c>
      <c r="DM130" s="12">
        <f>VLOOKUP(A130,'Données projet'!$A$165:$I$185,9,0)</f>
        <v>2.3349358974358978</v>
      </c>
      <c r="DN130" s="12">
        <f t="array" ref="DN130">INDEX(DM:DM,MIN(IF(ISNUMBER(DM130:DM326),ROW(DM130:DM326),"")))</f>
        <v>2.3349358974358978</v>
      </c>
      <c r="DO130" s="12">
        <f>IF('Données projet'!$A$166&gt;35,DO129+DN130-DW129,IF(A130&lt;'Données projet'!$A$166,$DL$205^A130,IF(A130='Données projet'!$A$166,'Données projet'!$B$166,DO129+DN130-DW129)))</f>
        <v>154.8012820512825</v>
      </c>
      <c r="DP130" s="17">
        <f>DO130*VLOOKUP('Données projet'!$B$14,Paramètres!$A$1:$I$89,3,0)*VLOOKUP('Données projet'!$B$14,Paramètres!$A$1:$I$89,5,0)</f>
        <v>156.96850000000046</v>
      </c>
      <c r="DQ130" s="13">
        <f t="shared" si="97"/>
        <v>40.157992758290085</v>
      </c>
      <c r="DR130" s="20">
        <f t="shared" si="70"/>
        <v>343.32864155402268</v>
      </c>
      <c r="DS130" s="59">
        <f t="shared" si="71"/>
        <v>636.661974887356</v>
      </c>
      <c r="DT130" s="59">
        <f ca="1">AVERAGE(OFFSET($DS$3,0,0,'Données projet'!$E$14+1,1))-AVERAGE(OFFSET($H$3,0,0,'Données projet'!$E$14+1,1))</f>
        <v>263.15518481854753</v>
      </c>
      <c r="DU130" s="59">
        <f t="shared" si="98"/>
        <v>210.80755370263819</v>
      </c>
      <c r="DV130" s="15">
        <f>IF(ISNA(VLOOKUP(A130,'Données projet'!$A$165:$I$185,3,0)),0,VLOOKUP(A130,'Données projet'!$A$165:$I$185,3,0))</f>
        <v>13</v>
      </c>
      <c r="DW130" s="15">
        <f>IF(ISNA(VLOOKUP(A130,'Données projet'!$A$165:$I$185,4,0)),0,VLOOKUP(A130,'Données projet'!$A$165:$I$185,4,0))</f>
        <v>49.916666666666671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0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-5.1159076974727213E-13</v>
      </c>
      <c r="EK130" s="17">
        <f>EJ130*VLOOKUP('Données projet'!$B$15,Paramètres!$A$1:$I$89,3,0)*VLOOKUP('Données projet'!$B$15,Paramètres!$A$1:$I$89,5,0)</f>
        <v>-3.4317508834647017E-13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207.93042467236967</v>
      </c>
      <c r="EP130" s="59">
        <f t="shared" si="100"/>
        <v>250.70954318710835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0.40293124255665985</v>
      </c>
      <c r="EW130" s="21">
        <f>EXP(-LN(2)/25)*EW129+(1-EXP(-LN(2)/25))/(LN(2)/25)*Calculateur!ER130*Calculateur!ET130*VLOOKUP('Données projet'!$B$15,Paramètres!$A$1:$I$89,3,0)*0.475*44/12</f>
        <v>1.1750892264553063</v>
      </c>
      <c r="EX130" s="21">
        <f>EXP(-LN(2)/2)*EX129+(1-EXP(-LN(2)/2))/(LN(2)/2)*ER130*EU130*VLOOKUP('Données projet'!$B$15,Paramètres!$A$1:$I$89,3,0)*0.475*44/12</f>
        <v>5.0916730194657014E-14</v>
      </c>
      <c r="EY130" s="22">
        <f t="shared" si="75"/>
        <v>1.578020469012017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>
        <f>VLOOKUP(A130,'Données projet'!$A$217:$I$237,2,0)</f>
        <v>154.80128205128204</v>
      </c>
      <c r="FC130" s="12">
        <f>VLOOKUP(A130,'Données projet'!$A$217:$I$237,9,0)</f>
        <v>2.3349358974358978</v>
      </c>
      <c r="FD130" s="12">
        <f t="array" ref="FD130">INDEX(FC:FC,MIN(IF(ISNUMBER(FC130:FC326),ROW(FC130:FC326),"")))</f>
        <v>2.3349358974358978</v>
      </c>
      <c r="FE130" s="12">
        <f>IF('Données projet'!$A$218&gt;35,FE129+FD130-FM129,IF(A130&lt;'Données projet'!$A$218,$FB$205^A130,IF(A130='Données projet'!$A$218,'Données projet'!$B$218,FE129+FD130-FM129)))</f>
        <v>154.8012820512825</v>
      </c>
      <c r="FF130" s="17">
        <f>FE130*VLOOKUP('Données projet'!$B$16,Paramètres!$A$1:$I$89,3,0)*VLOOKUP('Données projet'!$B$16,Paramètres!$A$1:$I$89,5,0)</f>
        <v>166.62810000000047</v>
      </c>
      <c r="FG130" s="13">
        <f t="shared" si="101"/>
        <v>42.333951870522903</v>
      </c>
      <c r="FH130" s="20">
        <f t="shared" si="76"/>
        <v>363.94224034116149</v>
      </c>
      <c r="FI130" s="59">
        <f t="shared" si="77"/>
        <v>657.27557367449481</v>
      </c>
      <c r="FJ130" s="59">
        <f ca="1">AVERAGE(OFFSET($FI$3,0,0,'Données projet'!$E$16+1,1))-AVERAGE(OFFSET($H$3,0,0,'Données projet'!$E$16+1,1))</f>
        <v>286.77702855541287</v>
      </c>
      <c r="FK130" s="59">
        <f t="shared" si="102"/>
        <v>227.12211541860779</v>
      </c>
      <c r="FL130" s="15">
        <f>IF(ISNA(VLOOKUP(A130,'Données projet'!$A$217:$I$237,3,0)),0,VLOOKUP(A130,'Données projet'!$A$217:$I$237,3,0))</f>
        <v>13</v>
      </c>
      <c r="FM130" s="15">
        <f>IF(ISNA(VLOOKUP(A130,'Données projet'!$A$217:$I$237,4,0)),0,VLOOKUP(A130,'Données projet'!$A$217:$I$237,4,0))</f>
        <v>49.916666666666671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0</v>
      </c>
      <c r="FR130" s="21">
        <f>EXP(-LN(2)/25)*FR129+(1-EXP(-LN(2)/25))/(LN(2)/25)*Calculateur!FM130*Calculateur!FO130*VLOOKUP('Données projet'!$B$16,Paramètres!$A$1:$I$89,3,0)*0.475*44/12</f>
        <v>0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0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4.9084615384615375</v>
      </c>
      <c r="FZ130" s="12">
        <f>IF('Données projet'!$A$244&gt;35,FZ129+FY130-GH129,IF(A130&lt;'Données projet'!$A$244,$FW$205^A130,IF(A130='Données projet'!$A$244,'Données projet'!$B$244,FZ129+FY130-GH129)))</f>
        <v>239.98153846153895</v>
      </c>
      <c r="GA130" s="17">
        <f>FZ130*VLOOKUP('Données projet'!$B$17,Paramètres!$A$1:$I$89,3,0)*VLOOKUP('Données projet'!$B$17,Paramètres!$A$1:$I$89,5,0)</f>
        <v>112.31136000000022</v>
      </c>
      <c r="GB130" s="13">
        <f t="shared" si="103"/>
        <v>29.874898196104585</v>
      </c>
      <c r="GC130" s="20">
        <f t="shared" si="79"/>
        <v>247.64106635821585</v>
      </c>
      <c r="GD130" s="59">
        <f t="shared" si="80"/>
        <v>540.97439969154914</v>
      </c>
      <c r="GE130" s="59">
        <f ca="1">AVERAGE(OFFSET($GD$3,0,0,'Données projet'!$E$17+1,1))-AVERAGE(OFFSET($H$3,0,0,'Données projet'!$E$17+1,1))</f>
        <v>123.2823358462245</v>
      </c>
      <c r="GF130" s="59">
        <f t="shared" si="104"/>
        <v>92.75115399786057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0</v>
      </c>
      <c r="GM130" s="21">
        <f>EXP(-LN(2)/25)*GM129+(1-EXP(-LN(2)/25))/(LN(2)/25)*Calculateur!GH130*Calculateur!GJ130*VLOOKUP('Données projet'!$B$17,Paramètres!$A$1:$I$89,3,0)*0.475*44/12</f>
        <v>0</v>
      </c>
      <c r="GN130" s="21">
        <f>EXP(-LN(2)/2)*GN129+(1-EXP(-LN(2)/2))/(LN(2)/2)*GH130*GK130*VLOOKUP('Données projet'!$B$17,Paramètres!$A$1:$I$89,3,0)*0.475*44/12</f>
        <v>0</v>
      </c>
      <c r="GO130" s="21">
        <f t="shared" si="81"/>
        <v>0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-2.8421709430404007E-13</v>
      </c>
      <c r="GV130" s="17">
        <f>GU130*VLOOKUP('Données projet'!$B$18,Paramètres!$A$1:$I$89,3,0)*VLOOKUP('Données projet'!$B$18,Paramètres!$A$1:$I$89,5,0)</f>
        <v>-1.69961822393816E-13</v>
      </c>
      <c r="GW130" s="13" t="e">
        <f t="shared" si="105"/>
        <v>#NUM!</v>
      </c>
      <c r="GX130" s="20" t="e">
        <f t="shared" si="82"/>
        <v>#NUM!</v>
      </c>
      <c r="GY130" s="59" t="e">
        <f t="shared" si="83"/>
        <v>#NUM!</v>
      </c>
      <c r="GZ130" s="59">
        <f ca="1">AVERAGE(OFFSET($GY$3,0,0,'Données projet'!$E$18+1,1))-AVERAGE(OFFSET($H$3,0,0,'Données projet'!$E$18+1,1))</f>
        <v>171.96009656745713</v>
      </c>
      <c r="HA130" s="59">
        <f t="shared" si="106"/>
        <v>172.37574906747716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>
        <f>EXP(-LN(2)/35)*HG129+(1-EXP(-LN(2)/35))/(LN(2)/35)*HC130*HD130*VLOOKUP('Données projet'!$B$18,Paramètres!$A$1:$I$89,3,0)*0.475*44/12</f>
        <v>0.24430149414584421</v>
      </c>
      <c r="HH130" s="21">
        <f>EXP(-LN(2)/25)*HH129+(1-EXP(-LN(2)/25))/(LN(2)/25)*Calculateur!HC130*Calculateur!HE130*VLOOKUP('Données projet'!$B$18,Paramètres!$A$1:$I$89,3,0)*0.475*44/12</f>
        <v>1.3962485332963424</v>
      </c>
      <c r="HI130" s="21">
        <f>EXP(-LN(2)/2)*HI129+(1-EXP(-LN(2)/2))/(LN(2)/2)*HC130*HF130*VLOOKUP('Données projet'!$B$18,Paramètres!$A$1:$I$89,3,0)*0.475*44/12</f>
        <v>3.0257870462400293E-14</v>
      </c>
      <c r="HJ130" s="22">
        <f t="shared" si="84"/>
        <v>1.6405500274422167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-2.2737367544323206E-13</v>
      </c>
      <c r="O131" s="13">
        <f>N131*VLOOKUP('Données projet'!$B$9,Paramètres!$A$1:$I$89,3,0)*VLOOKUP('Données projet'!$B$9,Paramètres!$A$1:$I$89,5,0)</f>
        <v>-1.2710188457276673E-13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255.5374979188561</v>
      </c>
      <c r="T131" s="59">
        <f t="shared" si="88"/>
        <v>343.10418468620901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0.44369060466383636</v>
      </c>
      <c r="AA131" s="21">
        <f>EXP(-LN(2)/25)*AA130+(1-EXP(-LN(2)/25))/(LN(2)/25)*Calculateur!V131*Calculateur!X131*VLOOKUP('Données projet'!$B$9,Paramètres!$A$1:$I$89,3,0)*0.475*44/12</f>
        <v>1.0543926145454876</v>
      </c>
      <c r="AB131" s="21">
        <f>EXP(-LN(2)/2)*AB130+(1-EXP(-LN(2)/2))/(LN(2)/2)*V131*Y131*VLOOKUP('Données projet'!$B$9,Paramètres!$A$1:$I$89,3,0)*0.475*44/12</f>
        <v>3.0067540980632864E-15</v>
      </c>
      <c r="AC131" s="22">
        <f t="shared" si="57"/>
        <v>1.498083219209327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3.4106051316484809E-13</v>
      </c>
      <c r="AJ131" s="13">
        <f>AI131*VLOOKUP('Données projet'!$B$10,Paramètres!$A$1:$I$89,3,0)*VLOOKUP('Données projet'!$B$10,Paramètres!$A$1:$I$89,5,0)</f>
        <v>1.5961632016114892E-13</v>
      </c>
      <c r="AK131" s="13">
        <f t="shared" si="89"/>
        <v>2.2708641912150958E-12</v>
      </c>
      <c r="AL131" s="20">
        <f t="shared" si="58"/>
        <v>4.2330868906469593E-12</v>
      </c>
      <c r="AM131" s="59">
        <f t="shared" si="59"/>
        <v>293.33333333333752</v>
      </c>
      <c r="AN131" s="59">
        <f ca="1">AVERAGE(OFFSET($AM$3,0,0,'Données projet'!$E$10+1,1))-AVERAGE(OFFSET($H$3,0,0,'Données projet'!$E$10+1,1))</f>
        <v>158.58786357608489</v>
      </c>
      <c r="AO131" s="59">
        <f t="shared" si="90"/>
        <v>163.20074068819849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0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-1.7053025658242404E-13</v>
      </c>
      <c r="BE131" s="13">
        <f>BD131*VLOOKUP('Données projet'!$B$11,Paramètres!$A$1:$I$89,3,0)*VLOOKUP('Données projet'!$B$11,Paramètres!$A$1:$I$89,5,0)</f>
        <v>-1.0197709343628959E-13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243.85350804244348</v>
      </c>
      <c r="BJ131" s="59">
        <f t="shared" si="92"/>
        <v>304.60992308960545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0.64985256662489399</v>
      </c>
      <c r="BQ131" s="21">
        <f>EXP(-LN(2)/25)*BQ130+(1-EXP(-LN(2)/25))/(LN(2)/25)*Calculateur!BL131*Calculateur!BN131*VLOOKUP('Données projet'!$B$11,Paramètres!$A$1:$I$89,3,0)*0.475*44/12</f>
        <v>1.1712354962475113</v>
      </c>
      <c r="BR131" s="21">
        <f>EXP(-LN(2)/2)*BR130+(1-EXP(-LN(2)/2))/(LN(2)/2)*BL131*BO131*VLOOKUP('Données projet'!$B$11,Paramètres!$A$1:$I$89,3,0)*0.475*44/12</f>
        <v>6.6404242589465314E-15</v>
      </c>
      <c r="BS131" s="22">
        <f t="shared" si="63"/>
        <v>1.821088062872412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497</v>
      </c>
      <c r="BZ131" s="13">
        <f>BY131*VLOOKUP('Données projet'!$B$12,Paramètres!$A$1:$I$89,3,0)*VLOOKUP('Données projet'!$B$12,Paramètres!$A$1:$I$89,5,0)</f>
        <v>297.20600000000002</v>
      </c>
      <c r="CA131" s="13">
        <f t="shared" si="93"/>
        <v>70.590415164571112</v>
      </c>
      <c r="CB131" s="20">
        <f t="shared" si="64"/>
        <v>640.57875641162809</v>
      </c>
      <c r="CC131" s="59">
        <f t="shared" si="65"/>
        <v>933.91208974496135</v>
      </c>
      <c r="CD131" s="59">
        <f ca="1">AVERAGE(OFFSET($CC$3,0,0,'Données projet'!$E$12+1,1))-AVERAGE(OFFSET($H$3,0,0,'Données projet'!$E$12+1,1))</f>
        <v>270.30888762640245</v>
      </c>
      <c r="CE131" s="59">
        <f t="shared" si="94"/>
        <v>202.23783851977691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0.30754545744635003</v>
      </c>
      <c r="CL131" s="21">
        <f>EXP(-LN(2)/25)*CL130+(1-EXP(-LN(2)/25))/(LN(2)/25)*Calculateur!CG131*Calculateur!CI131*VLOOKUP('Données projet'!$B$12,Paramètres!$A$1:$I$89,3,0)*0.475*44/12</f>
        <v>0.81226605315726175</v>
      </c>
      <c r="CM131" s="21">
        <f>EXP(-LN(2)/2)*CM130+(1-EXP(-LN(2)/2))/(LN(2)/2)*CG131*CJ131*VLOOKUP('Données projet'!$B$12,Paramètres!$A$1:$I$89,3,0)*0.475*44/12</f>
        <v>3.2849471740914609E-14</v>
      </c>
      <c r="CN131" s="22">
        <f t="shared" si="66"/>
        <v>1.1198115106036446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-5.1159076974727213E-13</v>
      </c>
      <c r="CU131" s="17">
        <f>CT131*VLOOKUP('Données projet'!$B$13,Paramètres!$A$1:$I$89,3,0)*VLOOKUP('Données projet'!$B$13,Paramètres!$A$1:$I$89,5,0)</f>
        <v>-4.0702161641092972E-13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260.20517190557814</v>
      </c>
      <c r="CZ131" s="59">
        <f t="shared" si="96"/>
        <v>307.22009971147133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0.46852396138022484</v>
      </c>
      <c r="DG131" s="21">
        <f>EXP(-LN(2)/25)*DG130+(1-EXP(-LN(2)/25))/(LN(2)/25)*Calculateur!DB131*Calculateur!DD131*VLOOKUP('Données projet'!$B$13,Paramètres!$A$1:$I$89,3,0)*0.475*44/12</f>
        <v>1.3555993915789304</v>
      </c>
      <c r="DH131" s="21">
        <f>EXP(-LN(2)/2)*DH130+(1-EXP(-LN(2)/2))/(LN(2)/2)*DB131*DE131*VLOOKUP('Données projet'!$B$13,Paramètres!$A$1:$I$89,3,0)*0.475*44/12</f>
        <v>4.2701902907462295E-14</v>
      </c>
      <c r="DI131" s="22">
        <f t="shared" si="69"/>
        <v>1.8241233529591978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1.5064102564102591</v>
      </c>
      <c r="DO131" s="12">
        <f>IF('Données projet'!$A$166&gt;35,DO130+DN131-DW130,IF(A131&lt;'Données projet'!$A$166,$DL$205^A131,IF(A131='Données projet'!$A$166,'Données projet'!$B$166,DO130+DN131-DW130)))</f>
        <v>106.39102564102608</v>
      </c>
      <c r="DP131" s="17">
        <f>DO131*VLOOKUP('Données projet'!$B$14,Paramètres!$A$1:$I$89,3,0)*VLOOKUP('Données projet'!$B$14,Paramètres!$A$1:$I$89,5,0)</f>
        <v>107.88050000000045</v>
      </c>
      <c r="DQ131" s="13">
        <f t="shared" si="97"/>
        <v>28.831049785836466</v>
      </c>
      <c r="DR131" s="20">
        <f t="shared" si="70"/>
        <v>238.1059492103326</v>
      </c>
      <c r="DS131" s="59">
        <f t="shared" si="71"/>
        <v>531.43928254366597</v>
      </c>
      <c r="DT131" s="59">
        <f ca="1">AVERAGE(OFFSET($DS$3,0,0,'Données projet'!$E$14+1,1))-AVERAGE(OFFSET($H$3,0,0,'Données projet'!$E$14+1,1))</f>
        <v>263.15518481854753</v>
      </c>
      <c r="DU131" s="59">
        <f t="shared" si="98"/>
        <v>210.80755370263819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0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-5.1159076974727213E-13</v>
      </c>
      <c r="EK131" s="17">
        <f>EJ131*VLOOKUP('Données projet'!$B$15,Paramètres!$A$1:$I$89,3,0)*VLOOKUP('Données projet'!$B$15,Paramètres!$A$1:$I$89,5,0)</f>
        <v>-3.4317508834647017E-13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207.93042467236967</v>
      </c>
      <c r="EP131" s="59">
        <f t="shared" si="100"/>
        <v>250.70954318710835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0.39503000665391458</v>
      </c>
      <c r="EW131" s="21">
        <f>EXP(-LN(2)/25)*EW130+(1-EXP(-LN(2)/25))/(LN(2)/25)*Calculateur!ER131*Calculateur!ET131*VLOOKUP('Données projet'!$B$15,Paramètres!$A$1:$I$89,3,0)*0.475*44/12</f>
        <v>1.1429563497626292</v>
      </c>
      <c r="EX131" s="21">
        <f>EXP(-LN(2)/2)*EX130+(1-EXP(-LN(2)/2))/(LN(2)/2)*ER131*EU131*VLOOKUP('Données projet'!$B$15,Paramètres!$A$1:$I$89,3,0)*0.475*44/12</f>
        <v>3.6003565196487814E-14</v>
      </c>
      <c r="EY131" s="22">
        <f t="shared" si="75"/>
        <v>1.5379863564165797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1.5064102564102591</v>
      </c>
      <c r="FE131" s="12">
        <f>IF('Données projet'!$A$218&gt;35,FE130+FD131-FM130,IF(A131&lt;'Données projet'!$A$218,$FB$205^A131,IF(A131='Données projet'!$A$218,'Données projet'!$B$218,FE130+FD131-FM130)))</f>
        <v>106.39102564102608</v>
      </c>
      <c r="FF131" s="17">
        <f>FE131*VLOOKUP('Données projet'!$B$16,Paramètres!$A$1:$I$89,3,0)*VLOOKUP('Données projet'!$B$16,Paramètres!$A$1:$I$89,5,0)</f>
        <v>114.51930000000047</v>
      </c>
      <c r="FG131" s="13">
        <f t="shared" si="101"/>
        <v>30.393258979765346</v>
      </c>
      <c r="FH131" s="20">
        <f t="shared" si="76"/>
        <v>252.38937355642543</v>
      </c>
      <c r="FI131" s="59">
        <f t="shared" si="77"/>
        <v>545.72270688975868</v>
      </c>
      <c r="FJ131" s="59">
        <f ca="1">AVERAGE(OFFSET($FI$3,0,0,'Données projet'!$E$16+1,1))-AVERAGE(OFFSET($H$3,0,0,'Données projet'!$E$16+1,1))</f>
        <v>286.77702855541287</v>
      </c>
      <c r="FK131" s="59">
        <f t="shared" si="102"/>
        <v>227.12211541860779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0</v>
      </c>
      <c r="FR131" s="21">
        <f>EXP(-LN(2)/25)*FR130+(1-EXP(-LN(2)/25))/(LN(2)/25)*Calculateur!FM131*Calculateur!FO131*VLOOKUP('Données projet'!$B$16,Paramètres!$A$1:$I$89,3,0)*0.475*44/12</f>
        <v>0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0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4.9084615384615375</v>
      </c>
      <c r="FZ131" s="12">
        <f>IF('Données projet'!$A$244&gt;35,FZ130+FY131-GH130,IF(A131&lt;'Données projet'!$A$244,$FW$205^A131,IF(A131='Données projet'!$A$244,'Données projet'!$B$244,FZ130+FY131-GH130)))</f>
        <v>244.8900000000005</v>
      </c>
      <c r="GA131" s="17">
        <f>FZ131*VLOOKUP('Données projet'!$B$17,Paramètres!$A$1:$I$89,3,0)*VLOOKUP('Données projet'!$B$17,Paramètres!$A$1:$I$89,5,0)</f>
        <v>114.60852000000024</v>
      </c>
      <c r="GB131" s="13">
        <f t="shared" si="103"/>
        <v>30.414180672775675</v>
      </c>
      <c r="GC131" s="20">
        <f t="shared" si="79"/>
        <v>252.58120367175138</v>
      </c>
      <c r="GD131" s="59">
        <f t="shared" si="80"/>
        <v>545.91453700508464</v>
      </c>
      <c r="GE131" s="59">
        <f ca="1">AVERAGE(OFFSET($GD$3,0,0,'Données projet'!$E$17+1,1))-AVERAGE(OFFSET($H$3,0,0,'Données projet'!$E$17+1,1))</f>
        <v>123.2823358462245</v>
      </c>
      <c r="GF131" s="59">
        <f t="shared" si="104"/>
        <v>92.75115399786057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0</v>
      </c>
      <c r="GM131" s="21">
        <f>EXP(-LN(2)/25)*GM130+(1-EXP(-LN(2)/25))/(LN(2)/25)*Calculateur!GH131*Calculateur!GJ131*VLOOKUP('Données projet'!$B$17,Paramètres!$A$1:$I$89,3,0)*0.475*44/12</f>
        <v>0</v>
      </c>
      <c r="GN131" s="21">
        <f>EXP(-LN(2)/2)*GN130+(1-EXP(-LN(2)/2))/(LN(2)/2)*GH131*GK131*VLOOKUP('Données projet'!$B$17,Paramètres!$A$1:$I$89,3,0)*0.475*44/12</f>
        <v>0</v>
      </c>
      <c r="GO131" s="21">
        <f t="shared" si="81"/>
        <v>0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-2.8421709430404007E-13</v>
      </c>
      <c r="GV131" s="17">
        <f>GU131*VLOOKUP('Données projet'!$B$18,Paramètres!$A$1:$I$89,3,0)*VLOOKUP('Données projet'!$B$18,Paramètres!$A$1:$I$89,5,0)</f>
        <v>-1.69961822393816E-13</v>
      </c>
      <c r="GW131" s="13" t="e">
        <f t="shared" si="105"/>
        <v>#NUM!</v>
      </c>
      <c r="GX131" s="20" t="e">
        <f t="shared" si="82"/>
        <v>#NUM!</v>
      </c>
      <c r="GY131" s="59" t="e">
        <f t="shared" si="83"/>
        <v>#NUM!</v>
      </c>
      <c r="GZ131" s="59">
        <f ca="1">AVERAGE(OFFSET($GY$3,0,0,'Données projet'!$E$18+1,1))-AVERAGE(OFFSET($H$3,0,0,'Données projet'!$E$18+1,1))</f>
        <v>171.96009656745713</v>
      </c>
      <c r="HA131" s="59">
        <f t="shared" si="106"/>
        <v>172.37574906747716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>
        <f>EXP(-LN(2)/35)*HG130+(1-EXP(-LN(2)/35))/(LN(2)/35)*HC131*HD131*VLOOKUP('Données projet'!$B$18,Paramètres!$A$1:$I$89,3,0)*0.475*44/12</f>
        <v>0.2395108908548422</v>
      </c>
      <c r="HH131" s="21">
        <f>EXP(-LN(2)/25)*HH130+(1-EXP(-LN(2)/25))/(LN(2)/25)*Calculateur!HC131*Calculateur!HE131*VLOOKUP('Données projet'!$B$18,Paramètres!$A$1:$I$89,3,0)*0.475*44/12</f>
        <v>1.3580680437278347</v>
      </c>
      <c r="HI131" s="21">
        <f>EXP(-LN(2)/2)*HI130+(1-EXP(-LN(2)/2))/(LN(2)/2)*HC131*HF131*VLOOKUP('Données projet'!$B$18,Paramètres!$A$1:$I$89,3,0)*0.475*44/12</f>
        <v>2.1395545388227383E-14</v>
      </c>
      <c r="HJ131" s="22">
        <f t="shared" si="84"/>
        <v>1.5975789345826983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-2.2737367544323206E-13</v>
      </c>
      <c r="O132" s="13">
        <f>N132*VLOOKUP('Données projet'!$B$9,Paramètres!$A$1:$I$89,3,0)*VLOOKUP('Données projet'!$B$9,Paramètres!$A$1:$I$89,5,0)</f>
        <v>-1.2710188457276673E-13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255.5374979188561</v>
      </c>
      <c r="T132" s="59">
        <f t="shared" si="88"/>
        <v>343.10418468620901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0.4349901025309254</v>
      </c>
      <c r="AA132" s="21">
        <f>EXP(-LN(2)/25)*AA131+(1-EXP(-LN(2)/25))/(LN(2)/25)*Calculateur!V132*Calculateur!X132*VLOOKUP('Données projet'!$B$9,Paramètres!$A$1:$I$89,3,0)*0.475*44/12</f>
        <v>1.0255601930526435</v>
      </c>
      <c r="AB132" s="21">
        <f>EXP(-LN(2)/2)*AB131+(1-EXP(-LN(2)/2))/(LN(2)/2)*V132*Y132*VLOOKUP('Données projet'!$B$9,Paramètres!$A$1:$I$89,3,0)*0.475*44/12</f>
        <v>2.1260962121009913E-15</v>
      </c>
      <c r="AC132" s="22">
        <f t="shared" ref="AC132:AC153" si="111">SUM(Z132:AB132)</f>
        <v>1.460550295583571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3.4106051316484809E-13</v>
      </c>
      <c r="AJ132" s="13">
        <f>AI132*VLOOKUP('Données projet'!$B$10,Paramètres!$A$1:$I$89,3,0)*VLOOKUP('Données projet'!$B$10,Paramètres!$A$1:$I$89,5,0)</f>
        <v>1.5961632016114892E-13</v>
      </c>
      <c r="AK132" s="13">
        <f t="shared" si="89"/>
        <v>2.2708641912150958E-12</v>
      </c>
      <c r="AL132" s="20">
        <f t="shared" ref="AL132:AL153" si="112">(AJ132+AK132)*0.475*44/12</f>
        <v>4.2330868906469593E-12</v>
      </c>
      <c r="AM132" s="59">
        <f t="shared" ref="AM132:AM195" si="113">AL132+(AD132+AE132)*44/12</f>
        <v>293.33333333333752</v>
      </c>
      <c r="AN132" s="59">
        <f ca="1">AVERAGE(OFFSET($AM$3,0,0,'Données projet'!$E$10+1,1))-AVERAGE(OFFSET($H$3,0,0,'Données projet'!$E$10+1,1))</f>
        <v>158.58786357608489</v>
      </c>
      <c r="AO132" s="59">
        <f t="shared" si="90"/>
        <v>163.20074068819849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0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-1.7053025658242404E-13</v>
      </c>
      <c r="BE132" s="13">
        <f>BD132*VLOOKUP('Données projet'!$B$11,Paramètres!$A$1:$I$89,3,0)*VLOOKUP('Données projet'!$B$11,Paramètres!$A$1:$I$89,5,0)</f>
        <v>-1.0197709343628959E-13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243.85350804244348</v>
      </c>
      <c r="BJ132" s="59">
        <f t="shared" si="92"/>
        <v>304.60992308960545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0.63710935416430703</v>
      </c>
      <c r="BQ132" s="21">
        <f>EXP(-LN(2)/25)*BQ131+(1-EXP(-LN(2)/25))/(LN(2)/25)*Calculateur!BL132*Calculateur!BN132*VLOOKUP('Données projet'!$B$11,Paramètres!$A$1:$I$89,3,0)*0.475*44/12</f>
        <v>1.1392080000100253</v>
      </c>
      <c r="BR132" s="21">
        <f>EXP(-LN(2)/2)*BR131+(1-EXP(-LN(2)/2))/(LN(2)/2)*BL132*BO132*VLOOKUP('Données projet'!$B$11,Paramètres!$A$1:$I$89,3,0)*0.475*44/12</f>
        <v>4.695489023456747E-15</v>
      </c>
      <c r="BS132" s="22">
        <f t="shared" ref="BS132:BS153" si="117">SUM(BP132:BR132)</f>
        <v>1.7763173541743369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497</v>
      </c>
      <c r="BZ132" s="13">
        <f>BY132*VLOOKUP('Données projet'!$B$12,Paramètres!$A$1:$I$89,3,0)*VLOOKUP('Données projet'!$B$12,Paramètres!$A$1:$I$89,5,0)</f>
        <v>297.20600000000002</v>
      </c>
      <c r="CA132" s="13">
        <f t="shared" si="93"/>
        <v>70.590415164571112</v>
      </c>
      <c r="CB132" s="20">
        <f t="shared" ref="CB132:CB153" si="118">(BZ132+CA132)*0.475*44/12</f>
        <v>640.57875641162809</v>
      </c>
      <c r="CC132" s="59">
        <f t="shared" ref="CC132:CC195" si="119">CB132+(BT132+BU132)*44/12</f>
        <v>933.91208974496135</v>
      </c>
      <c r="CD132" s="59">
        <f ca="1">AVERAGE(OFFSET($CC$3,0,0,'Données projet'!$E$12+1,1))-AVERAGE(OFFSET($H$3,0,0,'Données projet'!$E$12+1,1))</f>
        <v>270.30888762640245</v>
      </c>
      <c r="CE132" s="59">
        <f t="shared" si="94"/>
        <v>202.23783851977691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0.30151467861003373</v>
      </c>
      <c r="CL132" s="21">
        <f>EXP(-LN(2)/25)*CL131+(1-EXP(-LN(2)/25))/(LN(2)/25)*Calculateur!CG132*Calculateur!CI132*VLOOKUP('Données projet'!$B$12,Paramètres!$A$1:$I$89,3,0)*0.475*44/12</f>
        <v>0.79005459521846111</v>
      </c>
      <c r="CM132" s="21">
        <f>EXP(-LN(2)/2)*CM131+(1-EXP(-LN(2)/2))/(LN(2)/2)*CG132*CJ132*VLOOKUP('Données projet'!$B$12,Paramètres!$A$1:$I$89,3,0)*0.475*44/12</f>
        <v>2.3228084226396583E-14</v>
      </c>
      <c r="CN132" s="22">
        <f t="shared" ref="CN132:CN153" si="120">SUM(CK132:CM132)</f>
        <v>1.0915692738285181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-5.1159076974727213E-13</v>
      </c>
      <c r="CU132" s="17">
        <f>CT132*VLOOKUP('Données projet'!$B$13,Paramètres!$A$1:$I$89,3,0)*VLOOKUP('Données projet'!$B$13,Paramètres!$A$1:$I$89,5,0)</f>
        <v>-4.0702161641092972E-13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260.20517190557814</v>
      </c>
      <c r="CZ132" s="59">
        <f t="shared" si="96"/>
        <v>307.22009971147133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0.45933649226895751</v>
      </c>
      <c r="DG132" s="21">
        <f>EXP(-LN(2)/25)*DG131+(1-EXP(-LN(2)/25))/(LN(2)/25)*Calculateur!DB132*Calculateur!DD132*VLOOKUP('Données projet'!$B$13,Paramètres!$A$1:$I$89,3,0)*0.475*44/12</f>
        <v>1.3185304549283308</v>
      </c>
      <c r="DH132" s="21">
        <f>EXP(-LN(2)/2)*DH131+(1-EXP(-LN(2)/2))/(LN(2)/2)*DB132*DE132*VLOOKUP('Données projet'!$B$13,Paramètres!$A$1:$I$89,3,0)*0.475*44/12</f>
        <v>3.0194805115436138E-14</v>
      </c>
      <c r="DI132" s="22">
        <f t="shared" ref="DI132:DI153" si="123">SUM(DF132:DH132)</f>
        <v>1.7778669471973185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1.5064102564102591</v>
      </c>
      <c r="DO132" s="12">
        <f>IF('Données projet'!$A$166&gt;35,DO131+DN132-DW131,IF(A132&lt;'Données projet'!$A$166,$DL$205^A132,IF(A132='Données projet'!$A$166,'Données projet'!$B$166,DO131+DN132-DW131)))</f>
        <v>107.89743589743634</v>
      </c>
      <c r="DP132" s="17">
        <f>DO132*VLOOKUP('Données projet'!$B$14,Paramètres!$A$1:$I$89,3,0)*VLOOKUP('Données projet'!$B$14,Paramètres!$A$1:$I$89,5,0)</f>
        <v>109.40800000000046</v>
      </c>
      <c r="DQ132" s="13">
        <f t="shared" si="97"/>
        <v>29.191460979261116</v>
      </c>
      <c r="DR132" s="20">
        <f t="shared" ref="DR132:DR153" si="124">(DP132+DQ132)*0.475*44/12</f>
        <v>241.39406120554722</v>
      </c>
      <c r="DS132" s="59">
        <f t="shared" ref="DS132:DS195" si="125">DR132+(DJ132+DK132)*44/12</f>
        <v>534.7273945388805</v>
      </c>
      <c r="DT132" s="59">
        <f ca="1">AVERAGE(OFFSET($DS$3,0,0,'Données projet'!$E$14+1,1))-AVERAGE(OFFSET($H$3,0,0,'Données projet'!$E$14+1,1))</f>
        <v>263.15518481854753</v>
      </c>
      <c r="DU132" s="59">
        <f t="shared" si="98"/>
        <v>210.80755370263819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0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-5.1159076974727213E-13</v>
      </c>
      <c r="EK132" s="17">
        <f>EJ132*VLOOKUP('Données projet'!$B$15,Paramètres!$A$1:$I$89,3,0)*VLOOKUP('Données projet'!$B$15,Paramètres!$A$1:$I$89,5,0)</f>
        <v>-3.4317508834647017E-13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207.93042467236967</v>
      </c>
      <c r="EP132" s="59">
        <f t="shared" si="100"/>
        <v>250.70954318710835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0.38728370916794408</v>
      </c>
      <c r="EW132" s="21">
        <f>EXP(-LN(2)/25)*EW131+(1-EXP(-LN(2)/25))/(LN(2)/25)*Calculateur!ER132*Calculateur!ET132*VLOOKUP('Données projet'!$B$15,Paramètres!$A$1:$I$89,3,0)*0.475*44/12</f>
        <v>1.1117021482729079</v>
      </c>
      <c r="EX132" s="21">
        <f>EXP(-LN(2)/2)*EX131+(1-EXP(-LN(2)/2))/(LN(2)/2)*ER132*EU132*VLOOKUP('Données projet'!$B$15,Paramètres!$A$1:$I$89,3,0)*0.475*44/12</f>
        <v>2.5458365097328507E-14</v>
      </c>
      <c r="EY132" s="22">
        <f t="shared" ref="EY132:EY153" si="129">SUM(EV132:EX132)</f>
        <v>1.4989858574408774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1.5064102564102591</v>
      </c>
      <c r="FE132" s="12">
        <f>IF('Données projet'!$A$218&gt;35,FE131+FD132-FM131,IF(A132&lt;'Données projet'!$A$218,$FB$205^A132,IF(A132='Données projet'!$A$218,'Données projet'!$B$218,FE131+FD132-FM131)))</f>
        <v>107.89743589743634</v>
      </c>
      <c r="FF132" s="17">
        <f>FE132*VLOOKUP('Données projet'!$B$16,Paramètres!$A$1:$I$89,3,0)*VLOOKUP('Données projet'!$B$16,Paramètres!$A$1:$I$89,5,0)</f>
        <v>116.14080000000047</v>
      </c>
      <c r="FG132" s="13">
        <f t="shared" si="101"/>
        <v>30.773199038220731</v>
      </c>
      <c r="FH132" s="20">
        <f t="shared" ref="FH132:FH153" si="130">(FF132+FG132)*0.475*44/12</f>
        <v>255.87521499156858</v>
      </c>
      <c r="FI132" s="59">
        <f t="shared" ref="FI132:FI195" si="131">FH132+(EZ132+FA132)*44/12</f>
        <v>549.20854832490193</v>
      </c>
      <c r="FJ132" s="59">
        <f ca="1">AVERAGE(OFFSET($FI$3,0,0,'Données projet'!$E$16+1,1))-AVERAGE(OFFSET($H$3,0,0,'Données projet'!$E$16+1,1))</f>
        <v>286.77702855541287</v>
      </c>
      <c r="FK132" s="59">
        <f t="shared" si="102"/>
        <v>227.12211541860779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0</v>
      </c>
      <c r="FR132" s="21">
        <f>EXP(-LN(2)/25)*FR131+(1-EXP(-LN(2)/25))/(LN(2)/25)*Calculateur!FM132*Calculateur!FO132*VLOOKUP('Données projet'!$B$16,Paramètres!$A$1:$I$89,3,0)*0.475*44/12</f>
        <v>0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0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4.9084615384615375</v>
      </c>
      <c r="FZ132" s="12">
        <f>IF('Données projet'!$A$244&gt;35,FZ131+FY132-GH131,IF(A132&lt;'Données projet'!$A$244,$FW$205^A132,IF(A132='Données projet'!$A$244,'Données projet'!$B$244,FZ131+FY132-GH131)))</f>
        <v>249.79846153846205</v>
      </c>
      <c r="GA132" s="17">
        <f>FZ132*VLOOKUP('Données projet'!$B$17,Paramètres!$A$1:$I$89,3,0)*VLOOKUP('Données projet'!$B$17,Paramètres!$A$1:$I$89,5,0)</f>
        <v>116.90568000000023</v>
      </c>
      <c r="GB132" s="13">
        <f t="shared" si="103"/>
        <v>30.952206344593453</v>
      </c>
      <c r="GC132" s="20">
        <f t="shared" ref="GC132:GC153" si="133">(GA132+GB132)*0.475*44/12</f>
        <v>257.51915205016729</v>
      </c>
      <c r="GD132" s="59">
        <f t="shared" ref="GD132:GD195" si="134">GC132+(FU132+FV132)*44/12</f>
        <v>550.85248538350061</v>
      </c>
      <c r="GE132" s="59">
        <f ca="1">AVERAGE(OFFSET($GD$3,0,0,'Données projet'!$E$17+1,1))-AVERAGE(OFFSET($H$3,0,0,'Données projet'!$E$17+1,1))</f>
        <v>123.2823358462245</v>
      </c>
      <c r="GF132" s="59">
        <f t="shared" si="104"/>
        <v>92.75115399786057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0</v>
      </c>
      <c r="GM132" s="21">
        <f>EXP(-LN(2)/25)*GM131+(1-EXP(-LN(2)/25))/(LN(2)/25)*Calculateur!GH132*Calculateur!GJ132*VLOOKUP('Données projet'!$B$17,Paramètres!$A$1:$I$89,3,0)*0.475*44/12</f>
        <v>0</v>
      </c>
      <c r="GN132" s="21">
        <f>EXP(-LN(2)/2)*GN131+(1-EXP(-LN(2)/2))/(LN(2)/2)*GH132*GK132*VLOOKUP('Données projet'!$B$17,Paramètres!$A$1:$I$89,3,0)*0.475*44/12</f>
        <v>0</v>
      </c>
      <c r="GO132" s="21">
        <f t="shared" ref="GO132:GO153" si="135">SUM(GL132:GN132)</f>
        <v>0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-2.8421709430404007E-13</v>
      </c>
      <c r="GV132" s="17">
        <f>GU132*VLOOKUP('Données projet'!$B$18,Paramètres!$A$1:$I$89,3,0)*VLOOKUP('Données projet'!$B$18,Paramètres!$A$1:$I$89,5,0)</f>
        <v>-1.69961822393816E-13</v>
      </c>
      <c r="GW132" s="13" t="e">
        <f t="shared" si="105"/>
        <v>#NUM!</v>
      </c>
      <c r="GX132" s="20" t="e">
        <f t="shared" ref="GX132:GX153" si="136">(GV132+GW132)*0.475*44/12</f>
        <v>#NUM!</v>
      </c>
      <c r="GY132" s="59" t="e">
        <f t="shared" ref="GY132:GY195" si="137">GX132+(GP132+GQ132)*44/12</f>
        <v>#NUM!</v>
      </c>
      <c r="GZ132" s="59">
        <f ca="1">AVERAGE(OFFSET($GY$3,0,0,'Données projet'!$E$18+1,1))-AVERAGE(OFFSET($H$3,0,0,'Données projet'!$E$18+1,1))</f>
        <v>171.96009656745713</v>
      </c>
      <c r="HA132" s="59">
        <f t="shared" si="106"/>
        <v>172.37574906747716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>
        <f>EXP(-LN(2)/35)*HG131+(1-EXP(-LN(2)/35))/(LN(2)/35)*HC132*HD132*VLOOKUP('Données projet'!$B$18,Paramètres!$A$1:$I$89,3,0)*0.475*44/12</f>
        <v>0.23481422837239727</v>
      </c>
      <c r="HH132" s="21">
        <f>EXP(-LN(2)/25)*HH131+(1-EXP(-LN(2)/25))/(LN(2)/25)*Calculateur!HC132*Calculateur!HE132*VLOOKUP('Données projet'!$B$18,Paramètres!$A$1:$I$89,3,0)*0.475*44/12</f>
        <v>1.3209316016544026</v>
      </c>
      <c r="HI132" s="21">
        <f>EXP(-LN(2)/2)*HI131+(1-EXP(-LN(2)/2))/(LN(2)/2)*HC132*HF132*VLOOKUP('Données projet'!$B$18,Paramètres!$A$1:$I$89,3,0)*0.475*44/12</f>
        <v>1.5128935231200146E-14</v>
      </c>
      <c r="HJ132" s="22">
        <f t="shared" ref="HJ132:HJ153" si="138">SUM(HG132:HI132)</f>
        <v>1.555745830026815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-2.2737367544323206E-13</v>
      </c>
      <c r="O133" s="13">
        <f>N133*VLOOKUP('Données projet'!$B$9,Paramètres!$A$1:$I$89,3,0)*VLOOKUP('Données projet'!$B$9,Paramètres!$A$1:$I$89,5,0)</f>
        <v>-1.2710188457276673E-13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255.5374979188561</v>
      </c>
      <c r="T133" s="59">
        <f t="shared" ref="T133:T196" si="142">$T$3</f>
        <v>343.10418468620901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0.42646021193805855</v>
      </c>
      <c r="AA133" s="21">
        <f>EXP(-LN(2)/25)*AA132+(1-EXP(-LN(2)/25))/(LN(2)/25)*Calculateur!V133*Calculateur!X133*VLOOKUP('Données projet'!$B$9,Paramètres!$A$1:$I$89,3,0)*0.475*44/12</f>
        <v>0.99751619564175231</v>
      </c>
      <c r="AB133" s="21">
        <f>EXP(-LN(2)/2)*AB132+(1-EXP(-LN(2)/2))/(LN(2)/2)*V133*Y133*VLOOKUP('Données projet'!$B$9,Paramètres!$A$1:$I$89,3,0)*0.475*44/12</f>
        <v>1.5033770490316432E-15</v>
      </c>
      <c r="AC133" s="22">
        <f t="shared" si="111"/>
        <v>1.4239764075798125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3.4106051316484809E-13</v>
      </c>
      <c r="AJ133" s="13">
        <f>AI133*VLOOKUP('Données projet'!$B$10,Paramètres!$A$1:$I$89,3,0)*VLOOKUP('Données projet'!$B$10,Paramètres!$A$1:$I$89,5,0)</f>
        <v>1.5961632016114892E-13</v>
      </c>
      <c r="AK133" s="13">
        <f t="shared" ref="AK133:AK153" si="143">EXP(-1.0587+0.8836*LN(AJ133)+0.284)</f>
        <v>2.2708641912150958E-12</v>
      </c>
      <c r="AL133" s="20">
        <f t="shared" si="112"/>
        <v>4.2330868906469593E-12</v>
      </c>
      <c r="AM133" s="59">
        <f t="shared" si="113"/>
        <v>293.33333333333752</v>
      </c>
      <c r="AN133" s="59">
        <f ca="1">AVERAGE(OFFSET($AM$3,0,0,'Données projet'!$E$10+1,1))-AVERAGE(OFFSET($H$3,0,0,'Données projet'!$E$10+1,1))</f>
        <v>158.58786357608489</v>
      </c>
      <c r="AO133" s="59">
        <f t="shared" ref="AO133:AO196" si="144">$AO$3</f>
        <v>163.20074068819849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0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-1.7053025658242404E-13</v>
      </c>
      <c r="BE133" s="13">
        <f>BD133*VLOOKUP('Données projet'!$B$11,Paramètres!$A$1:$I$89,3,0)*VLOOKUP('Données projet'!$B$11,Paramètres!$A$1:$I$89,5,0)</f>
        <v>-1.0197709343628959E-13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243.85350804244348</v>
      </c>
      <c r="BJ133" s="59">
        <f t="shared" ref="BJ133:BJ196" si="146">$BJ$3</f>
        <v>304.60992308960545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0.62461602832748009</v>
      </c>
      <c r="BQ133" s="21">
        <f>EXP(-LN(2)/25)*BQ132+(1-EXP(-LN(2)/25))/(LN(2)/25)*Calculateur!BL133*Calculateur!BN133*VLOOKUP('Données projet'!$B$11,Paramètres!$A$1:$I$89,3,0)*0.475*44/12</f>
        <v>1.1080562973414061</v>
      </c>
      <c r="BR133" s="21">
        <f>EXP(-LN(2)/2)*BR132+(1-EXP(-LN(2)/2))/(LN(2)/2)*BL133*BO133*VLOOKUP('Données projet'!$B$11,Paramètres!$A$1:$I$89,3,0)*0.475*44/12</f>
        <v>3.3202121294732657E-15</v>
      </c>
      <c r="BS133" s="22">
        <f t="shared" si="117"/>
        <v>1.7326723256688894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497</v>
      </c>
      <c r="BZ133" s="13">
        <f>BY133*VLOOKUP('Données projet'!$B$12,Paramètres!$A$1:$I$89,3,0)*VLOOKUP('Données projet'!$B$12,Paramètres!$A$1:$I$89,5,0)</f>
        <v>297.20600000000002</v>
      </c>
      <c r="CA133" s="13">
        <f t="shared" ref="CA133:CA153" si="147">EXP(-1.0587+0.8836*LN(BZ133)+0.284)</f>
        <v>70.590415164571112</v>
      </c>
      <c r="CB133" s="20">
        <f t="shared" si="118"/>
        <v>640.57875641162809</v>
      </c>
      <c r="CC133" s="59">
        <f t="shared" si="119"/>
        <v>933.91208974496135</v>
      </c>
      <c r="CD133" s="59">
        <f ca="1">AVERAGE(OFFSET($CC$3,0,0,'Données projet'!$E$12+1,1))-AVERAGE(OFFSET($H$3,0,0,'Données projet'!$E$12+1,1))</f>
        <v>270.30888762640245</v>
      </c>
      <c r="CE133" s="59">
        <f t="shared" ref="CE133:CE196" si="148">$CE$3</f>
        <v>202.23783851977691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0.29560215966828574</v>
      </c>
      <c r="CL133" s="21">
        <f>EXP(-LN(2)/25)*CL132+(1-EXP(-LN(2)/25))/(LN(2)/25)*Calculateur!CG133*Calculateur!CI133*VLOOKUP('Données projet'!$B$12,Paramètres!$A$1:$I$89,3,0)*0.475*44/12</f>
        <v>0.76845051076504678</v>
      </c>
      <c r="CM133" s="21">
        <f>EXP(-LN(2)/2)*CM132+(1-EXP(-LN(2)/2))/(LN(2)/2)*CG133*CJ133*VLOOKUP('Données projet'!$B$12,Paramètres!$A$1:$I$89,3,0)*0.475*44/12</f>
        <v>1.6424735870457305E-14</v>
      </c>
      <c r="CN133" s="22">
        <f t="shared" si="120"/>
        <v>1.0640526704333491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-5.1159076974727213E-13</v>
      </c>
      <c r="CU133" s="17">
        <f>CT133*VLOOKUP('Données projet'!$B$13,Paramètres!$A$1:$I$89,3,0)*VLOOKUP('Données projet'!$B$13,Paramètres!$A$1:$I$89,5,0)</f>
        <v>-4.0702161641092972E-13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260.20517190557814</v>
      </c>
      <c r="CZ133" s="59">
        <f t="shared" ref="CZ133:CZ196" si="150">$CZ$3</f>
        <v>307.22009971147133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0.45032918382315928</v>
      </c>
      <c r="DG133" s="21">
        <f>EXP(-LN(2)/25)*DG132+(1-EXP(-LN(2)/25))/(LN(2)/25)*Calculateur!DB133*Calculateur!DD133*VLOOKUP('Données projet'!$B$13,Paramètres!$A$1:$I$89,3,0)*0.475*44/12</f>
        <v>1.2824751702998125</v>
      </c>
      <c r="DH133" s="21">
        <f>EXP(-LN(2)/2)*DH132+(1-EXP(-LN(2)/2))/(LN(2)/2)*DB133*DE133*VLOOKUP('Données projet'!$B$13,Paramètres!$A$1:$I$89,3,0)*0.475*44/12</f>
        <v>2.1350951453731147E-14</v>
      </c>
      <c r="DI133" s="22">
        <f t="shared" si="123"/>
        <v>1.7328043541229932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1.5064102564102591</v>
      </c>
      <c r="DO133" s="12">
        <f>IF('Données projet'!$A$166&gt;35,DO132+DN133-DW132,IF(A133&lt;'Données projet'!$A$166,$DL$205^A133,IF(A133='Données projet'!$A$166,'Données projet'!$B$166,DO132+DN133-DW132)))</f>
        <v>109.4038461538466</v>
      </c>
      <c r="DP133" s="17">
        <f>DO133*VLOOKUP('Données projet'!$B$14,Paramètres!$A$1:$I$89,3,0)*VLOOKUP('Données projet'!$B$14,Paramètres!$A$1:$I$89,5,0)</f>
        <v>110.93550000000046</v>
      </c>
      <c r="DQ133" s="13">
        <f t="shared" ref="DQ133:DQ153" si="151">EXP(-1.0587+0.8836*LN(DP133)+0.284)</f>
        <v>29.55128691723468</v>
      </c>
      <c r="DR133" s="20">
        <f t="shared" si="124"/>
        <v>244.68115388085121</v>
      </c>
      <c r="DS133" s="59">
        <f t="shared" si="125"/>
        <v>538.01448721418456</v>
      </c>
      <c r="DT133" s="59">
        <f ca="1">AVERAGE(OFFSET($DS$3,0,0,'Données projet'!$E$14+1,1))-AVERAGE(OFFSET($H$3,0,0,'Données projet'!$E$14+1,1))</f>
        <v>263.15518481854753</v>
      </c>
      <c r="DU133" s="59">
        <f t="shared" ref="DU133:DU196" si="152">$DU$3</f>
        <v>210.80755370263819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0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-5.1159076974727213E-13</v>
      </c>
      <c r="EK133" s="17">
        <f>EJ133*VLOOKUP('Données projet'!$B$15,Paramètres!$A$1:$I$89,3,0)*VLOOKUP('Données projet'!$B$15,Paramètres!$A$1:$I$89,5,0)</f>
        <v>-3.4317508834647017E-13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207.93042467236967</v>
      </c>
      <c r="EP133" s="59">
        <f t="shared" ref="EP133:EP196" si="154">$EP$3</f>
        <v>250.70954318710835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0.37968931185089855</v>
      </c>
      <c r="EW133" s="21">
        <f>EXP(-LN(2)/25)*EW132+(1-EXP(-LN(2)/25))/(LN(2)/25)*Calculateur!ER133*Calculateur!ET133*VLOOKUP('Données projet'!$B$15,Paramètres!$A$1:$I$89,3,0)*0.475*44/12</f>
        <v>1.08130259456651</v>
      </c>
      <c r="EX133" s="21">
        <f>EXP(-LN(2)/2)*EX132+(1-EXP(-LN(2)/2))/(LN(2)/2)*ER133*EU133*VLOOKUP('Données projet'!$B$15,Paramètres!$A$1:$I$89,3,0)*0.475*44/12</f>
        <v>1.8001782598243907E-14</v>
      </c>
      <c r="EY133" s="22">
        <f t="shared" si="129"/>
        <v>1.4609919064174266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1.5064102564102591</v>
      </c>
      <c r="FE133" s="12">
        <f>IF('Données projet'!$A$218&gt;35,FE132+FD133-FM132,IF(A133&lt;'Données projet'!$A$218,$FB$205^A133,IF(A133='Données projet'!$A$218,'Données projet'!$B$218,FE132+FD133-FM132)))</f>
        <v>109.4038461538466</v>
      </c>
      <c r="FF133" s="17">
        <f>FE133*VLOOKUP('Données projet'!$B$16,Paramètres!$A$1:$I$89,3,0)*VLOOKUP('Données projet'!$B$16,Paramètres!$A$1:$I$89,5,0)</f>
        <v>117.76230000000048</v>
      </c>
      <c r="FG133" s="13">
        <f t="shared" ref="FG133:FG153" si="155">EXP(-1.0587+0.8836*LN(FF133)+0.284)</f>
        <v>31.152522129183588</v>
      </c>
      <c r="FH133" s="20">
        <f t="shared" si="130"/>
        <v>259.35998187499553</v>
      </c>
      <c r="FI133" s="59">
        <f t="shared" si="131"/>
        <v>552.69331520832884</v>
      </c>
      <c r="FJ133" s="59">
        <f ca="1">AVERAGE(OFFSET($FI$3,0,0,'Données projet'!$E$16+1,1))-AVERAGE(OFFSET($H$3,0,0,'Données projet'!$E$16+1,1))</f>
        <v>286.77702855541287</v>
      </c>
      <c r="FK133" s="59">
        <f t="shared" ref="FK133:FK196" si="156">$FK$3</f>
        <v>227.12211541860779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0</v>
      </c>
      <c r="FR133" s="21">
        <f>EXP(-LN(2)/25)*FR132+(1-EXP(-LN(2)/25))/(LN(2)/25)*Calculateur!FM133*Calculateur!FO133*VLOOKUP('Données projet'!$B$16,Paramètres!$A$1:$I$89,3,0)*0.475*44/12</f>
        <v>0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0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4.9084615384615375</v>
      </c>
      <c r="FZ133" s="12">
        <f>IF('Données projet'!$A$244&gt;35,FZ132+FY133-GH132,IF(A133&lt;'Données projet'!$A$244,$FW$205^A133,IF(A133='Données projet'!$A$244,'Données projet'!$B$244,FZ132+FY133-GH132)))</f>
        <v>254.7069230769236</v>
      </c>
      <c r="GA133" s="17">
        <f>FZ133*VLOOKUP('Données projet'!$B$17,Paramètres!$A$1:$I$89,3,0)*VLOOKUP('Données projet'!$B$17,Paramètres!$A$1:$I$89,5,0)</f>
        <v>119.20284000000025</v>
      </c>
      <c r="GB133" s="13">
        <f t="shared" ref="GB133:GB153" si="157">EXP(-1.0587+0.8836*LN(GA133)+0.284)</f>
        <v>31.489002754044058</v>
      </c>
      <c r="GC133" s="20">
        <f t="shared" si="133"/>
        <v>262.45495946329385</v>
      </c>
      <c r="GD133" s="59">
        <f t="shared" si="134"/>
        <v>555.78829279662716</v>
      </c>
      <c r="GE133" s="59">
        <f ca="1">AVERAGE(OFFSET($GD$3,0,0,'Données projet'!$E$17+1,1))-AVERAGE(OFFSET($H$3,0,0,'Données projet'!$E$17+1,1))</f>
        <v>123.2823358462245</v>
      </c>
      <c r="GF133" s="59">
        <f t="shared" ref="GF133:GF196" si="158">$GF$3</f>
        <v>92.75115399786057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0</v>
      </c>
      <c r="GM133" s="21">
        <f>EXP(-LN(2)/25)*GM132+(1-EXP(-LN(2)/25))/(LN(2)/25)*Calculateur!GH133*Calculateur!GJ133*VLOOKUP('Données projet'!$B$17,Paramètres!$A$1:$I$89,3,0)*0.475*44/12</f>
        <v>0</v>
      </c>
      <c r="GN133" s="21">
        <f>EXP(-LN(2)/2)*GN132+(1-EXP(-LN(2)/2))/(LN(2)/2)*GH133*GK133*VLOOKUP('Données projet'!$B$17,Paramètres!$A$1:$I$89,3,0)*0.475*44/12</f>
        <v>0</v>
      </c>
      <c r="GO133" s="21">
        <f t="shared" si="135"/>
        <v>0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-2.8421709430404007E-13</v>
      </c>
      <c r="GV133" s="17">
        <f>GU133*VLOOKUP('Données projet'!$B$18,Paramètres!$A$1:$I$89,3,0)*VLOOKUP('Données projet'!$B$18,Paramètres!$A$1:$I$89,5,0)</f>
        <v>-1.69961822393816E-13</v>
      </c>
      <c r="GW133" s="13" t="e">
        <f t="shared" ref="GW133:GW153" si="159">EXP(-1.0587+0.8836*LN(GV133)+0.284)</f>
        <v>#NUM!</v>
      </c>
      <c r="GX133" s="20" t="e">
        <f t="shared" si="136"/>
        <v>#NUM!</v>
      </c>
      <c r="GY133" s="59" t="e">
        <f t="shared" si="137"/>
        <v>#NUM!</v>
      </c>
      <c r="GZ133" s="59">
        <f ca="1">AVERAGE(OFFSET($GY$3,0,0,'Données projet'!$E$18+1,1))-AVERAGE(OFFSET($H$3,0,0,'Données projet'!$E$18+1,1))</f>
        <v>171.96009656745713</v>
      </c>
      <c r="HA133" s="59">
        <f t="shared" ref="HA133:HA196" si="160">$HA$3</f>
        <v>172.37574906747716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>
        <f>EXP(-LN(2)/35)*HG132+(1-EXP(-LN(2)/35))/(LN(2)/35)*HC133*HD133*VLOOKUP('Données projet'!$B$18,Paramètres!$A$1:$I$89,3,0)*0.475*44/12</f>
        <v>0.23020966457655181</v>
      </c>
      <c r="HH133" s="21">
        <f>EXP(-LN(2)/25)*HH132+(1-EXP(-LN(2)/25))/(LN(2)/25)*Calculateur!HC133*Calculateur!HE133*VLOOKUP('Données projet'!$B$18,Paramètres!$A$1:$I$89,3,0)*0.475*44/12</f>
        <v>1.284810657542389</v>
      </c>
      <c r="HI133" s="21">
        <f>EXP(-LN(2)/2)*HI132+(1-EXP(-LN(2)/2))/(LN(2)/2)*HC133*HF133*VLOOKUP('Données projet'!$B$18,Paramètres!$A$1:$I$89,3,0)*0.475*44/12</f>
        <v>1.0697772694113692E-14</v>
      </c>
      <c r="HJ133" s="22">
        <f t="shared" si="138"/>
        <v>1.5150203221189515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-2.2737367544323206E-13</v>
      </c>
      <c r="O134" s="13">
        <f>N134*VLOOKUP('Données projet'!$B$9,Paramètres!$A$1:$I$89,3,0)*VLOOKUP('Données projet'!$B$9,Paramètres!$A$1:$I$89,5,0)</f>
        <v>-1.2710188457276673E-13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255.5374979188561</v>
      </c>
      <c r="T134" s="59">
        <f t="shared" si="142"/>
        <v>343.10418468620901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0.41809758729699825</v>
      </c>
      <c r="AA134" s="21">
        <f>EXP(-LN(2)/25)*AA133+(1-EXP(-LN(2)/25))/(LN(2)/25)*Calculateur!V134*Calculateur!X134*VLOOKUP('Données projet'!$B$9,Paramètres!$A$1:$I$89,3,0)*0.475*44/12</f>
        <v>0.97023906281483174</v>
      </c>
      <c r="AB134" s="21">
        <f>EXP(-LN(2)/2)*AB133+(1-EXP(-LN(2)/2))/(LN(2)/2)*V134*Y134*VLOOKUP('Données projet'!$B$9,Paramètres!$A$1:$I$89,3,0)*0.475*44/12</f>
        <v>1.0630481060504956E-15</v>
      </c>
      <c r="AC134" s="22">
        <f t="shared" si="111"/>
        <v>1.388336650111831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3.4106051316484809E-13</v>
      </c>
      <c r="AJ134" s="13">
        <f>AI134*VLOOKUP('Données projet'!$B$10,Paramètres!$A$1:$I$89,3,0)*VLOOKUP('Données projet'!$B$10,Paramètres!$A$1:$I$89,5,0)</f>
        <v>1.5961632016114892E-13</v>
      </c>
      <c r="AK134" s="13">
        <f t="shared" si="143"/>
        <v>2.2708641912150958E-12</v>
      </c>
      <c r="AL134" s="20">
        <f t="shared" si="112"/>
        <v>4.2330868906469593E-12</v>
      </c>
      <c r="AM134" s="59">
        <f t="shared" si="113"/>
        <v>293.33333333333752</v>
      </c>
      <c r="AN134" s="59">
        <f ca="1">AVERAGE(OFFSET($AM$3,0,0,'Données projet'!$E$10+1,1))-AVERAGE(OFFSET($H$3,0,0,'Données projet'!$E$10+1,1))</f>
        <v>158.58786357608489</v>
      </c>
      <c r="AO134" s="59">
        <f t="shared" si="144"/>
        <v>163.20074068819849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0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-1.7053025658242404E-13</v>
      </c>
      <c r="BE134" s="13">
        <f>BD134*VLOOKUP('Données projet'!$B$11,Paramètres!$A$1:$I$89,3,0)*VLOOKUP('Données projet'!$B$11,Paramètres!$A$1:$I$89,5,0)</f>
        <v>-1.0197709343628959E-13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243.85350804244348</v>
      </c>
      <c r="BJ134" s="59">
        <f t="shared" si="146"/>
        <v>304.60992308960545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0.61236768899013705</v>
      </c>
      <c r="BQ134" s="21">
        <f>EXP(-LN(2)/25)*BQ133+(1-EXP(-LN(2)/25))/(LN(2)/25)*Calculateur!BL134*Calculateur!BN134*VLOOKUP('Données projet'!$B$11,Paramètres!$A$1:$I$89,3,0)*0.475*44/12</f>
        <v>1.0777564396204571</v>
      </c>
      <c r="BR134" s="21">
        <f>EXP(-LN(2)/2)*BR133+(1-EXP(-LN(2)/2))/(LN(2)/2)*BL134*BO134*VLOOKUP('Données projet'!$B$11,Paramètres!$A$1:$I$89,3,0)*0.475*44/12</f>
        <v>2.3477445117283735E-15</v>
      </c>
      <c r="BS134" s="22">
        <f t="shared" si="117"/>
        <v>1.6901241286105966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497</v>
      </c>
      <c r="BZ134" s="13">
        <f>BY134*VLOOKUP('Données projet'!$B$12,Paramètres!$A$1:$I$89,3,0)*VLOOKUP('Données projet'!$B$12,Paramètres!$A$1:$I$89,5,0)</f>
        <v>297.20600000000002</v>
      </c>
      <c r="CA134" s="13">
        <f t="shared" si="147"/>
        <v>70.590415164571112</v>
      </c>
      <c r="CB134" s="20">
        <f t="shared" si="118"/>
        <v>640.57875641162809</v>
      </c>
      <c r="CC134" s="59">
        <f t="shared" si="119"/>
        <v>933.91208974496135</v>
      </c>
      <c r="CD134" s="59">
        <f ca="1">AVERAGE(OFFSET($CC$3,0,0,'Données projet'!$E$12+1,1))-AVERAGE(OFFSET($H$3,0,0,'Données projet'!$E$12+1,1))</f>
        <v>270.30888762640245</v>
      </c>
      <c r="CE134" s="59">
        <f t="shared" si="148"/>
        <v>202.23783851977691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0.28980558161670494</v>
      </c>
      <c r="CL134" s="21">
        <f>EXP(-LN(2)/25)*CL133+(1-EXP(-LN(2)/25))/(LN(2)/25)*Calculateur!CG134*Calculateur!CI134*VLOOKUP('Données projet'!$B$12,Paramètres!$A$1:$I$89,3,0)*0.475*44/12</f>
        <v>0.74743719113712048</v>
      </c>
      <c r="CM134" s="21">
        <f>EXP(-LN(2)/2)*CM133+(1-EXP(-LN(2)/2))/(LN(2)/2)*CG134*CJ134*VLOOKUP('Données projet'!$B$12,Paramètres!$A$1:$I$89,3,0)*0.475*44/12</f>
        <v>1.1614042113198291E-14</v>
      </c>
      <c r="CN134" s="22">
        <f t="shared" si="120"/>
        <v>1.0372427727538369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-5.1159076974727213E-13</v>
      </c>
      <c r="CU134" s="17">
        <f>CT134*VLOOKUP('Données projet'!$B$13,Paramètres!$A$1:$I$89,3,0)*VLOOKUP('Données projet'!$B$13,Paramètres!$A$1:$I$89,5,0)</f>
        <v>-4.0702161641092972E-13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260.20517190557814</v>
      </c>
      <c r="CZ134" s="59">
        <f t="shared" si="150"/>
        <v>307.22009971147133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0.44149850320206752</v>
      </c>
      <c r="DG134" s="21">
        <f>EXP(-LN(2)/25)*DG133+(1-EXP(-LN(2)/25))/(LN(2)/25)*Calculateur!DB134*Calculateur!DD134*VLOOKUP('Données projet'!$B$13,Paramètres!$A$1:$I$89,3,0)*0.475*44/12</f>
        <v>1.247405819325526</v>
      </c>
      <c r="DH134" s="21">
        <f>EXP(-LN(2)/2)*DH133+(1-EXP(-LN(2)/2))/(LN(2)/2)*DB134*DE134*VLOOKUP('Données projet'!$B$13,Paramètres!$A$1:$I$89,3,0)*0.475*44/12</f>
        <v>1.5097402557718069E-14</v>
      </c>
      <c r="DI134" s="22">
        <f t="shared" si="123"/>
        <v>1.6889043225276086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>
        <f>VLOOKUP(A134,'Données projet'!$A$165:$I$185,2,0)</f>
        <v>110.91025641025641</v>
      </c>
      <c r="DM134" s="12">
        <f>VLOOKUP(A134,'Données projet'!$A$165:$I$185,9,0)</f>
        <v>1.5064102564102591</v>
      </c>
      <c r="DN134" s="12">
        <f t="array" ref="DN134">INDEX(DM:DM,MIN(IF(ISNUMBER(DM134:DM330),ROW(DM134:DM330),"")))</f>
        <v>1.5064102564102591</v>
      </c>
      <c r="DO134" s="12">
        <f>IF('Données projet'!$A$166&gt;35,DO133+DN134-DW133,IF(A134&lt;'Données projet'!$A$166,$DL$205^A134,IF(A134='Données projet'!$A$166,'Données projet'!$B$166,DO133+DN134-DW133)))</f>
        <v>110.91025641025686</v>
      </c>
      <c r="DP134" s="17">
        <f>DO134*VLOOKUP('Données projet'!$B$14,Paramètres!$A$1:$I$89,3,0)*VLOOKUP('Données projet'!$B$14,Paramètres!$A$1:$I$89,5,0)</f>
        <v>112.46300000000048</v>
      </c>
      <c r="DQ134" s="13">
        <f t="shared" si="151"/>
        <v>29.910536589672532</v>
      </c>
      <c r="DR134" s="20">
        <f t="shared" si="124"/>
        <v>247.96724289368044</v>
      </c>
      <c r="DS134" s="59">
        <f t="shared" si="125"/>
        <v>541.30057622701372</v>
      </c>
      <c r="DT134" s="59">
        <f ca="1">AVERAGE(OFFSET($DS$3,0,0,'Données projet'!$E$14+1,1))-AVERAGE(OFFSET($H$3,0,0,'Données projet'!$E$14+1,1))</f>
        <v>263.15518481854753</v>
      </c>
      <c r="DU134" s="59">
        <f t="shared" si="152"/>
        <v>210.80755370263819</v>
      </c>
      <c r="DV134" s="15">
        <f>IF(ISNA(VLOOKUP(A134,'Données projet'!$A$165:$I$185,3,0)),0,VLOOKUP(A134,'Données projet'!$A$165:$I$185,3,0))</f>
        <v>14</v>
      </c>
      <c r="DW134" s="15">
        <f>IF(ISNA(VLOOKUP(A134,'Données projet'!$A$165:$I$185,4,0)),0,VLOOKUP(A134,'Données projet'!$A$165:$I$185,4,0))</f>
        <v>110.91025641025641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0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-5.1159076974727213E-13</v>
      </c>
      <c r="EK134" s="17">
        <f>EJ134*VLOOKUP('Données projet'!$B$15,Paramètres!$A$1:$I$89,3,0)*VLOOKUP('Données projet'!$B$15,Paramètres!$A$1:$I$89,5,0)</f>
        <v>-3.4317508834647017E-13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207.93042467236967</v>
      </c>
      <c r="EP134" s="59">
        <f t="shared" si="154"/>
        <v>250.70954318710835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0.37224383603311528</v>
      </c>
      <c r="EW134" s="21">
        <f>EXP(-LN(2)/25)*EW133+(1-EXP(-LN(2)/25))/(LN(2)/25)*Calculateur!ER134*Calculateur!ET134*VLOOKUP('Données projet'!$B$15,Paramètres!$A$1:$I$89,3,0)*0.475*44/12</f>
        <v>1.0517343182548566</v>
      </c>
      <c r="EX134" s="21">
        <f>EXP(-LN(2)/2)*EX133+(1-EXP(-LN(2)/2))/(LN(2)/2)*ER134*EU134*VLOOKUP('Données projet'!$B$15,Paramètres!$A$1:$I$89,3,0)*0.475*44/12</f>
        <v>1.2729182548664254E-14</v>
      </c>
      <c r="EY134" s="22">
        <f t="shared" si="129"/>
        <v>1.4239781542879846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>
        <f>VLOOKUP(A134,'Données projet'!$A$217:$I$237,2,0)</f>
        <v>110.91025641025641</v>
      </c>
      <c r="FC134" s="12">
        <f>VLOOKUP(A134,'Données projet'!$A$217:$I$237,9,0)</f>
        <v>1.5064102564102591</v>
      </c>
      <c r="FD134" s="12">
        <f t="array" ref="FD134">INDEX(FC:FC,MIN(IF(ISNUMBER(FC134:FC330),ROW(FC134:FC330),"")))</f>
        <v>1.5064102564102591</v>
      </c>
      <c r="FE134" s="12">
        <f>IF('Données projet'!$A$218&gt;35,FE133+FD134-FM133,IF(A134&lt;'Données projet'!$A$218,$FB$205^A134,IF(A134='Données projet'!$A$218,'Données projet'!$B$218,FE133+FD134-FM133)))</f>
        <v>110.91025641025686</v>
      </c>
      <c r="FF134" s="17">
        <f>FE134*VLOOKUP('Données projet'!$B$16,Paramètres!$A$1:$I$89,3,0)*VLOOKUP('Données projet'!$B$16,Paramètres!$A$1:$I$89,5,0)</f>
        <v>119.38380000000049</v>
      </c>
      <c r="FG134" s="13">
        <f t="shared" si="155"/>
        <v>31.531237729687437</v>
      </c>
      <c r="FH134" s="20">
        <f t="shared" si="130"/>
        <v>262.8436907125398</v>
      </c>
      <c r="FI134" s="59">
        <f t="shared" si="131"/>
        <v>556.17702404587317</v>
      </c>
      <c r="FJ134" s="59">
        <f ca="1">AVERAGE(OFFSET($FI$3,0,0,'Données projet'!$E$16+1,1))-AVERAGE(OFFSET($H$3,0,0,'Données projet'!$E$16+1,1))</f>
        <v>286.77702855541287</v>
      </c>
      <c r="FK134" s="59">
        <f t="shared" si="156"/>
        <v>227.12211541860779</v>
      </c>
      <c r="FL134" s="15">
        <f>IF(ISNA(VLOOKUP(A134,'Données projet'!$A$217:$I$237,3,0)),0,VLOOKUP(A134,'Données projet'!$A$217:$I$237,3,0))</f>
        <v>14</v>
      </c>
      <c r="FM134" s="15">
        <f>IF(ISNA(VLOOKUP(A134,'Données projet'!$A$217:$I$237,4,0)),0,VLOOKUP(A134,'Données projet'!$A$217:$I$237,4,0))</f>
        <v>110.91025641025641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0</v>
      </c>
      <c r="FR134" s="21">
        <f>EXP(-LN(2)/25)*FR133+(1-EXP(-LN(2)/25))/(LN(2)/25)*Calculateur!FM134*Calculateur!FO134*VLOOKUP('Données projet'!$B$16,Paramètres!$A$1:$I$89,3,0)*0.475*44/12</f>
        <v>0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0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>
        <f>VLOOKUP(A134,'Données projet'!$A$243:$I$263,2,0)</f>
        <v>259.61538461538458</v>
      </c>
      <c r="FX134" s="12">
        <f>VLOOKUP(A134,'Données projet'!$A$243:$I$263,9,0)</f>
        <v>4.9084615384615375</v>
      </c>
      <c r="FY134" s="12">
        <f t="array" ref="FY134">INDEX(FX:FX,MIN(IF(ISNUMBER(FX134:FX330),ROW(FX134:FX330),"")))</f>
        <v>4.9084615384615375</v>
      </c>
      <c r="FZ134" s="12">
        <f>IF('Données projet'!$A$244&gt;35,FZ133+FY134-GH133,IF(A134&lt;'Données projet'!$A$244,$FW$205^A134,IF(A134='Données projet'!$A$244,'Données projet'!$B$244,FZ133+FY134-GH133)))</f>
        <v>259.61538461538515</v>
      </c>
      <c r="GA134" s="17">
        <f>FZ134*VLOOKUP('Données projet'!$B$17,Paramètres!$A$1:$I$89,3,0)*VLOOKUP('Données projet'!$B$17,Paramètres!$A$1:$I$89,5,0)</f>
        <v>121.50000000000026</v>
      </c>
      <c r="GB134" s="13">
        <f t="shared" si="157"/>
        <v>32.024596321339139</v>
      </c>
      <c r="GC134" s="20">
        <f t="shared" si="133"/>
        <v>267.38867192633279</v>
      </c>
      <c r="GD134" s="59">
        <f t="shared" si="134"/>
        <v>560.72200525966605</v>
      </c>
      <c r="GE134" s="59">
        <f ca="1">AVERAGE(OFFSET($GD$3,0,0,'Données projet'!$E$17+1,1))-AVERAGE(OFFSET($H$3,0,0,'Données projet'!$E$17+1,1))</f>
        <v>123.2823358462245</v>
      </c>
      <c r="GF134" s="59">
        <f t="shared" si="158"/>
        <v>92.75115399786057</v>
      </c>
      <c r="GG134" s="15">
        <f>IF(ISNA(VLOOKUP(A134,'Données projet'!$A$243:$I$263,3,0)),0,VLOOKUP(A134,'Données projet'!$A$243:$I$263,3,0))</f>
        <v>8</v>
      </c>
      <c r="GH134" s="15">
        <f>IF(ISNA(VLOOKUP(A134,'Données projet'!$A$243:$I$263,4,0)),0,VLOOKUP(A134,'Données projet'!$A$243:$I$263,4,0))</f>
        <v>259.61538461538458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0</v>
      </c>
      <c r="GM134" s="21">
        <f>EXP(-LN(2)/25)*GM133+(1-EXP(-LN(2)/25))/(LN(2)/25)*Calculateur!GH134*Calculateur!GJ134*VLOOKUP('Données projet'!$B$17,Paramètres!$A$1:$I$89,3,0)*0.475*44/12</f>
        <v>0</v>
      </c>
      <c r="GN134" s="21">
        <f>EXP(-LN(2)/2)*GN133+(1-EXP(-LN(2)/2))/(LN(2)/2)*GH134*GK134*VLOOKUP('Données projet'!$B$17,Paramètres!$A$1:$I$89,3,0)*0.475*44/12</f>
        <v>0</v>
      </c>
      <c r="GO134" s="21">
        <f t="shared" si="135"/>
        <v>0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-2.8421709430404007E-13</v>
      </c>
      <c r="GV134" s="17">
        <f>GU134*VLOOKUP('Données projet'!$B$18,Paramètres!$A$1:$I$89,3,0)*VLOOKUP('Données projet'!$B$18,Paramètres!$A$1:$I$89,5,0)</f>
        <v>-1.69961822393816E-13</v>
      </c>
      <c r="GW134" s="13" t="e">
        <f t="shared" si="159"/>
        <v>#NUM!</v>
      </c>
      <c r="GX134" s="20" t="e">
        <f t="shared" si="136"/>
        <v>#NUM!</v>
      </c>
      <c r="GY134" s="59" t="e">
        <f t="shared" si="137"/>
        <v>#NUM!</v>
      </c>
      <c r="GZ134" s="59">
        <f ca="1">AVERAGE(OFFSET($GY$3,0,0,'Données projet'!$E$18+1,1))-AVERAGE(OFFSET($H$3,0,0,'Données projet'!$E$18+1,1))</f>
        <v>171.96009656745713</v>
      </c>
      <c r="HA134" s="59">
        <f t="shared" si="160"/>
        <v>172.37574906747716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>
        <f>EXP(-LN(2)/35)*HG133+(1-EXP(-LN(2)/35))/(LN(2)/35)*HC134*HD134*VLOOKUP('Données projet'!$B$18,Paramètres!$A$1:$I$89,3,0)*0.475*44/12</f>
        <v>0.2256953934682363</v>
      </c>
      <c r="HH134" s="21">
        <f>EXP(-LN(2)/25)*HH133+(1-EXP(-LN(2)/25))/(LN(2)/25)*Calculateur!HC134*Calculateur!HE134*VLOOKUP('Données projet'!$B$18,Paramètres!$A$1:$I$89,3,0)*0.475*44/12</f>
        <v>1.2496774425466364</v>
      </c>
      <c r="HI134" s="21">
        <f>EXP(-LN(2)/2)*HI133+(1-EXP(-LN(2)/2))/(LN(2)/2)*HC134*HF134*VLOOKUP('Données projet'!$B$18,Paramètres!$A$1:$I$89,3,0)*0.475*44/12</f>
        <v>7.5644676156000731E-15</v>
      </c>
      <c r="HJ134" s="22">
        <f t="shared" si="138"/>
        <v>1.4753728360148801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-2.2737367544323206E-13</v>
      </c>
      <c r="O135" s="13">
        <f>N135*VLOOKUP('Données projet'!$B$9,Paramètres!$A$1:$I$89,3,0)*VLOOKUP('Données projet'!$B$9,Paramètres!$A$1:$I$89,5,0)</f>
        <v>-1.2710188457276673E-13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255.5374979188561</v>
      </c>
      <c r="T135" s="59">
        <f t="shared" si="142"/>
        <v>343.10418468620901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0.40989894862445181</v>
      </c>
      <c r="AA135" s="21">
        <f>EXP(-LN(2)/25)*AA134+(1-EXP(-LN(2)/25))/(LN(2)/25)*Calculateur!V135*Calculateur!X135*VLOOKUP('Données projet'!$B$9,Paramètres!$A$1:$I$89,3,0)*0.475*44/12</f>
        <v>0.94370782461950542</v>
      </c>
      <c r="AB135" s="21">
        <f>EXP(-LN(2)/2)*AB134+(1-EXP(-LN(2)/2))/(LN(2)/2)*V135*Y135*VLOOKUP('Données projet'!$B$9,Paramètres!$A$1:$I$89,3,0)*0.475*44/12</f>
        <v>7.5168852451582159E-16</v>
      </c>
      <c r="AC135" s="22">
        <f t="shared" si="111"/>
        <v>1.3536067732439578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3.4106051316484809E-13</v>
      </c>
      <c r="AJ135" s="13">
        <f>AI135*VLOOKUP('Données projet'!$B$10,Paramètres!$A$1:$I$89,3,0)*VLOOKUP('Données projet'!$B$10,Paramètres!$A$1:$I$89,5,0)</f>
        <v>1.5961632016114892E-13</v>
      </c>
      <c r="AK135" s="13">
        <f t="shared" si="143"/>
        <v>2.2708641912150958E-12</v>
      </c>
      <c r="AL135" s="20">
        <f t="shared" si="112"/>
        <v>4.2330868906469593E-12</v>
      </c>
      <c r="AM135" s="59">
        <f t="shared" si="113"/>
        <v>293.33333333333752</v>
      </c>
      <c r="AN135" s="59">
        <f ca="1">AVERAGE(OFFSET($AM$3,0,0,'Données projet'!$E$10+1,1))-AVERAGE(OFFSET($H$3,0,0,'Données projet'!$E$10+1,1))</f>
        <v>158.58786357608489</v>
      </c>
      <c r="AO135" s="59">
        <f t="shared" si="144"/>
        <v>163.20074068819849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0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-1.7053025658242404E-13</v>
      </c>
      <c r="BE135" s="13">
        <f>BD135*VLOOKUP('Données projet'!$B$11,Paramètres!$A$1:$I$89,3,0)*VLOOKUP('Données projet'!$B$11,Paramètres!$A$1:$I$89,5,0)</f>
        <v>-1.0197709343628959E-13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243.85350804244348</v>
      </c>
      <c r="BJ135" s="59">
        <f t="shared" si="146"/>
        <v>304.60992308960545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0.60035953211644999</v>
      </c>
      <c r="BQ135" s="21">
        <f>EXP(-LN(2)/25)*BQ134+(1-EXP(-LN(2)/25))/(LN(2)/25)*Calculateur!BL135*Calculateur!BN135*VLOOKUP('Données projet'!$B$11,Paramètres!$A$1:$I$89,3,0)*0.475*44/12</f>
        <v>1.0482851331022878</v>
      </c>
      <c r="BR135" s="21">
        <f>EXP(-LN(2)/2)*BR134+(1-EXP(-LN(2)/2))/(LN(2)/2)*BL135*BO135*VLOOKUP('Données projet'!$B$11,Paramètres!$A$1:$I$89,3,0)*0.475*44/12</f>
        <v>1.6601060647366329E-15</v>
      </c>
      <c r="BS135" s="22">
        <f t="shared" si="117"/>
        <v>1.6486446652187394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497</v>
      </c>
      <c r="BZ135" s="13">
        <f>BY135*VLOOKUP('Données projet'!$B$12,Paramètres!$A$1:$I$89,3,0)*VLOOKUP('Données projet'!$B$12,Paramètres!$A$1:$I$89,5,0)</f>
        <v>297.20600000000002</v>
      </c>
      <c r="CA135" s="13">
        <f t="shared" si="147"/>
        <v>70.590415164571112</v>
      </c>
      <c r="CB135" s="20">
        <f t="shared" si="118"/>
        <v>640.57875641162809</v>
      </c>
      <c r="CC135" s="59">
        <f t="shared" si="119"/>
        <v>933.91208974496135</v>
      </c>
      <c r="CD135" s="59">
        <f ca="1">AVERAGE(OFFSET($CC$3,0,0,'Données projet'!$E$12+1,1))-AVERAGE(OFFSET($H$3,0,0,'Données projet'!$E$12+1,1))</f>
        <v>270.30888762640245</v>
      </c>
      <c r="CE135" s="59">
        <f t="shared" si="148"/>
        <v>202.23783851977691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0.28412267092515214</v>
      </c>
      <c r="CL135" s="21">
        <f>EXP(-LN(2)/25)*CL134+(1-EXP(-LN(2)/25))/(LN(2)/25)*Calculateur!CG135*Calculateur!CI135*VLOOKUP('Données projet'!$B$12,Paramètres!$A$1:$I$89,3,0)*0.475*44/12</f>
        <v>0.72699848183946236</v>
      </c>
      <c r="CM135" s="21">
        <f>EXP(-LN(2)/2)*CM134+(1-EXP(-LN(2)/2))/(LN(2)/2)*CG135*CJ135*VLOOKUP('Données projet'!$B$12,Paramètres!$A$1:$I$89,3,0)*0.475*44/12</f>
        <v>8.2123679352286523E-15</v>
      </c>
      <c r="CN135" s="22">
        <f t="shared" si="120"/>
        <v>1.0111211527646227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-5.1159076974727213E-13</v>
      </c>
      <c r="CU135" s="17">
        <f>CT135*VLOOKUP('Données projet'!$B$13,Paramètres!$A$1:$I$89,3,0)*VLOOKUP('Données projet'!$B$13,Paramètres!$A$1:$I$89,5,0)</f>
        <v>-4.0702161641092972E-13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260.20517190557814</v>
      </c>
      <c r="CZ135" s="59">
        <f t="shared" si="150"/>
        <v>307.22009971147133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0.43284098684177197</v>
      </c>
      <c r="DG135" s="21">
        <f>EXP(-LN(2)/25)*DG134+(1-EXP(-LN(2)/25))/(LN(2)/25)*Calculateur!DB135*Calculateur!DD135*VLOOKUP('Données projet'!$B$13,Paramètres!$A$1:$I$89,3,0)*0.475*44/12</f>
        <v>1.2132954415978483</v>
      </c>
      <c r="DH135" s="21">
        <f>EXP(-LN(2)/2)*DH134+(1-EXP(-LN(2)/2))/(LN(2)/2)*DB135*DE135*VLOOKUP('Données projet'!$B$13,Paramètres!$A$1:$I$89,3,0)*0.475*44/12</f>
        <v>1.0675475726865574E-14</v>
      </c>
      <c r="DI135" s="22">
        <f t="shared" si="123"/>
        <v>1.6461364284396309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4.5474735088646412E-13</v>
      </c>
      <c r="DP135" s="17">
        <f>DO135*VLOOKUP('Données projet'!$B$14,Paramètres!$A$1:$I$89,3,0)*VLOOKUP('Données projet'!$B$14,Paramètres!$A$1:$I$89,5,0)</f>
        <v>4.6111381379887462E-13</v>
      </c>
      <c r="DQ135" s="13">
        <f t="shared" si="151"/>
        <v>5.7981965206434308E-12</v>
      </c>
      <c r="DR135" s="20">
        <f t="shared" si="124"/>
        <v>1.0901632165820347E-11</v>
      </c>
      <c r="DS135" s="59">
        <f t="shared" si="125"/>
        <v>293.33333333334423</v>
      </c>
      <c r="DT135" s="59">
        <f ca="1">AVERAGE(OFFSET($DS$3,0,0,'Données projet'!$E$14+1,1))-AVERAGE(OFFSET($H$3,0,0,'Données projet'!$E$14+1,1))</f>
        <v>263.15518481854753</v>
      </c>
      <c r="DU135" s="59">
        <f t="shared" si="152"/>
        <v>210.80755370263819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0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-5.1159076974727213E-13</v>
      </c>
      <c r="EK135" s="17">
        <f>EJ135*VLOOKUP('Données projet'!$B$15,Paramètres!$A$1:$I$89,3,0)*VLOOKUP('Données projet'!$B$15,Paramètres!$A$1:$I$89,5,0)</f>
        <v>-3.4317508834647017E-13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207.93042467236967</v>
      </c>
      <c r="EP135" s="59">
        <f t="shared" si="154"/>
        <v>250.70954318710835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0.36494436145482689</v>
      </c>
      <c r="EW135" s="21">
        <f>EXP(-LN(2)/25)*EW134+(1-EXP(-LN(2)/25))/(LN(2)/25)*Calculateur!ER135*Calculateur!ET135*VLOOKUP('Données projet'!$B$15,Paramètres!$A$1:$I$89,3,0)*0.475*44/12</f>
        <v>1.0229745880138736</v>
      </c>
      <c r="EX135" s="21">
        <f>EXP(-LN(2)/2)*EX134+(1-EXP(-LN(2)/2))/(LN(2)/2)*ER135*EU135*VLOOKUP('Données projet'!$B$15,Paramètres!$A$1:$I$89,3,0)*0.475*44/12</f>
        <v>9.0008912991219536E-15</v>
      </c>
      <c r="EY135" s="22">
        <f t="shared" si="129"/>
        <v>1.3879189494687096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4.5474735088646412E-13</v>
      </c>
      <c r="FF135" s="17">
        <f>FE135*VLOOKUP('Données projet'!$B$16,Paramètres!$A$1:$I$89,3,0)*VLOOKUP('Données projet'!$B$16,Paramètres!$A$1:$I$89,5,0)</f>
        <v>4.8949004849418999E-13</v>
      </c>
      <c r="FG135" s="13">
        <f t="shared" si="155"/>
        <v>6.1123715499968684E-12</v>
      </c>
      <c r="FH135" s="20">
        <f t="shared" si="130"/>
        <v>1.1498242284038591E-11</v>
      </c>
      <c r="FI135" s="59">
        <f t="shared" si="131"/>
        <v>293.3333333333448</v>
      </c>
      <c r="FJ135" s="59">
        <f ca="1">AVERAGE(OFFSET($FI$3,0,0,'Données projet'!$E$16+1,1))-AVERAGE(OFFSET($H$3,0,0,'Données projet'!$E$16+1,1))</f>
        <v>286.77702855541287</v>
      </c>
      <c r="FK135" s="59">
        <f t="shared" si="156"/>
        <v>227.12211541860779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0</v>
      </c>
      <c r="FR135" s="21">
        <f>EXP(-LN(2)/25)*FR134+(1-EXP(-LN(2)/25))/(LN(2)/25)*Calculateur!FM135*Calculateur!FO135*VLOOKUP('Données projet'!$B$16,Paramètres!$A$1:$I$89,3,0)*0.475*44/12</f>
        <v>0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0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5.6843418860808015E-13</v>
      </c>
      <c r="GA135" s="17">
        <f>FZ135*VLOOKUP('Données projet'!$B$17,Paramètres!$A$1:$I$89,3,0)*VLOOKUP('Données projet'!$B$17,Paramètres!$A$1:$I$89,5,0)</f>
        <v>2.6602720026858149E-13</v>
      </c>
      <c r="GB135" s="13">
        <f t="shared" si="157"/>
        <v>3.5662905043956649E-12</v>
      </c>
      <c r="GC135" s="20">
        <f t="shared" si="133"/>
        <v>6.6746200022902298E-12</v>
      </c>
      <c r="GD135" s="59">
        <f t="shared" si="134"/>
        <v>293.33333333333997</v>
      </c>
      <c r="GE135" s="59">
        <f ca="1">AVERAGE(OFFSET($GD$3,0,0,'Données projet'!$E$17+1,1))-AVERAGE(OFFSET($H$3,0,0,'Données projet'!$E$17+1,1))</f>
        <v>123.2823358462245</v>
      </c>
      <c r="GF135" s="59">
        <f t="shared" si="158"/>
        <v>92.75115399786057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0</v>
      </c>
      <c r="GM135" s="21">
        <f>EXP(-LN(2)/25)*GM134+(1-EXP(-LN(2)/25))/(LN(2)/25)*Calculateur!GH135*Calculateur!GJ135*VLOOKUP('Données projet'!$B$17,Paramètres!$A$1:$I$89,3,0)*0.475*44/12</f>
        <v>0</v>
      </c>
      <c r="GN135" s="21">
        <f>EXP(-LN(2)/2)*GN134+(1-EXP(-LN(2)/2))/(LN(2)/2)*GH135*GK135*VLOOKUP('Données projet'!$B$17,Paramètres!$A$1:$I$89,3,0)*0.475*44/12</f>
        <v>0</v>
      </c>
      <c r="GO135" s="21">
        <f t="shared" si="135"/>
        <v>0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-2.8421709430404007E-13</v>
      </c>
      <c r="GV135" s="17">
        <f>GU135*VLOOKUP('Données projet'!$B$18,Paramètres!$A$1:$I$89,3,0)*VLOOKUP('Données projet'!$B$18,Paramètres!$A$1:$I$89,5,0)</f>
        <v>-1.69961822393816E-13</v>
      </c>
      <c r="GW135" s="13" t="e">
        <f t="shared" si="159"/>
        <v>#NUM!</v>
      </c>
      <c r="GX135" s="20" t="e">
        <f t="shared" si="136"/>
        <v>#NUM!</v>
      </c>
      <c r="GY135" s="59" t="e">
        <f t="shared" si="137"/>
        <v>#NUM!</v>
      </c>
      <c r="GZ135" s="59">
        <f ca="1">AVERAGE(OFFSET($GY$3,0,0,'Données projet'!$E$18+1,1))-AVERAGE(OFFSET($H$3,0,0,'Données projet'!$E$18+1,1))</f>
        <v>171.96009656745713</v>
      </c>
      <c r="HA135" s="59">
        <f t="shared" si="160"/>
        <v>172.37574906747716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>
        <f>EXP(-LN(2)/35)*HG134+(1-EXP(-LN(2)/35))/(LN(2)/35)*HC135*HD135*VLOOKUP('Données projet'!$B$18,Paramètres!$A$1:$I$89,3,0)*0.475*44/12</f>
        <v>0.22126964446292136</v>
      </c>
      <c r="HH135" s="21">
        <f>EXP(-LN(2)/25)*HH134+(1-EXP(-LN(2)/25))/(LN(2)/25)*Calculateur!HC135*Calculateur!HE135*VLOOKUP('Données projet'!$B$18,Paramètres!$A$1:$I$89,3,0)*0.475*44/12</f>
        <v>1.2155049471625181</v>
      </c>
      <c r="HI135" s="21">
        <f>EXP(-LN(2)/2)*HI134+(1-EXP(-LN(2)/2))/(LN(2)/2)*HC135*HF135*VLOOKUP('Données projet'!$B$18,Paramètres!$A$1:$I$89,3,0)*0.475*44/12</f>
        <v>5.3488863470568458E-15</v>
      </c>
      <c r="HJ135" s="22">
        <f t="shared" si="138"/>
        <v>1.4367745916254449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-2.2737367544323206E-13</v>
      </c>
      <c r="O136" s="13">
        <f>N136*VLOOKUP('Données projet'!$B$9,Paramètres!$A$1:$I$89,3,0)*VLOOKUP('Données projet'!$B$9,Paramètres!$A$1:$I$89,5,0)</f>
        <v>-1.2710188457276673E-13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255.5374979188561</v>
      </c>
      <c r="T136" s="59">
        <f t="shared" si="142"/>
        <v>343.10418468620901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0.40186108025559819</v>
      </c>
      <c r="AA136" s="21">
        <f>EXP(-LN(2)/25)*AA135+(1-EXP(-LN(2)/25))/(LN(2)/25)*Calculateur!V136*Calculateur!X136*VLOOKUP('Données projet'!$B$9,Paramètres!$A$1:$I$89,3,0)*0.475*44/12</f>
        <v>0.91790208452784738</v>
      </c>
      <c r="AB136" s="21">
        <f>EXP(-LN(2)/2)*AB135+(1-EXP(-LN(2)/2))/(LN(2)/2)*V136*Y136*VLOOKUP('Données projet'!$B$9,Paramètres!$A$1:$I$89,3,0)*0.475*44/12</f>
        <v>5.3152405302524782E-16</v>
      </c>
      <c r="AC136" s="22">
        <f t="shared" si="111"/>
        <v>1.319763164783446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3.4106051316484809E-13</v>
      </c>
      <c r="AJ136" s="13">
        <f>AI136*VLOOKUP('Données projet'!$B$10,Paramètres!$A$1:$I$89,3,0)*VLOOKUP('Données projet'!$B$10,Paramètres!$A$1:$I$89,5,0)</f>
        <v>1.5961632016114892E-13</v>
      </c>
      <c r="AK136" s="13">
        <f t="shared" si="143"/>
        <v>2.2708641912150958E-12</v>
      </c>
      <c r="AL136" s="20">
        <f t="shared" si="112"/>
        <v>4.2330868906469593E-12</v>
      </c>
      <c r="AM136" s="59">
        <f t="shared" si="113"/>
        <v>293.33333333333752</v>
      </c>
      <c r="AN136" s="59">
        <f ca="1">AVERAGE(OFFSET($AM$3,0,0,'Données projet'!$E$10+1,1))-AVERAGE(OFFSET($H$3,0,0,'Données projet'!$E$10+1,1))</f>
        <v>158.58786357608489</v>
      </c>
      <c r="AO136" s="59">
        <f t="shared" si="144"/>
        <v>163.20074068819849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0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-1.7053025658242404E-13</v>
      </c>
      <c r="BE136" s="13">
        <f>BD136*VLOOKUP('Données projet'!$B$11,Paramètres!$A$1:$I$89,3,0)*VLOOKUP('Données projet'!$B$11,Paramètres!$A$1:$I$89,5,0)</f>
        <v>-1.0197709343628959E-13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243.85350804244348</v>
      </c>
      <c r="BJ136" s="59">
        <f t="shared" si="146"/>
        <v>304.60992308960545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0.58858684787480342</v>
      </c>
      <c r="BQ136" s="21">
        <f>EXP(-LN(2)/25)*BQ135+(1-EXP(-LN(2)/25))/(LN(2)/25)*Calculateur!BL136*Calculateur!BN136*VLOOKUP('Données projet'!$B$11,Paramètres!$A$1:$I$89,3,0)*0.475*44/12</f>
        <v>1.0196197210106865</v>
      </c>
      <c r="BR136" s="21">
        <f>EXP(-LN(2)/2)*BR135+(1-EXP(-LN(2)/2))/(LN(2)/2)*BL136*BO136*VLOOKUP('Données projet'!$B$11,Paramètres!$A$1:$I$89,3,0)*0.475*44/12</f>
        <v>1.1738722558641867E-15</v>
      </c>
      <c r="BS136" s="22">
        <f t="shared" si="117"/>
        <v>1.608206568885491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497</v>
      </c>
      <c r="BZ136" s="13">
        <f>BY136*VLOOKUP('Données projet'!$B$12,Paramètres!$A$1:$I$89,3,0)*VLOOKUP('Données projet'!$B$12,Paramètres!$A$1:$I$89,5,0)</f>
        <v>297.20600000000002</v>
      </c>
      <c r="CA136" s="13">
        <f t="shared" si="147"/>
        <v>70.590415164571112</v>
      </c>
      <c r="CB136" s="20">
        <f t="shared" si="118"/>
        <v>640.57875641162809</v>
      </c>
      <c r="CC136" s="59">
        <f t="shared" si="119"/>
        <v>933.91208974496135</v>
      </c>
      <c r="CD136" s="59">
        <f ca="1">AVERAGE(OFFSET($CC$3,0,0,'Données projet'!$E$12+1,1))-AVERAGE(OFFSET($H$3,0,0,'Données projet'!$E$12+1,1))</f>
        <v>270.30888762640245</v>
      </c>
      <c r="CE136" s="59">
        <f t="shared" si="148"/>
        <v>202.23783851977691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0.27855119864602745</v>
      </c>
      <c r="CL136" s="21">
        <f>EXP(-LN(2)/25)*CL135+(1-EXP(-LN(2)/25))/(LN(2)/25)*Calculateur!CG136*Calculateur!CI136*VLOOKUP('Données projet'!$B$12,Paramètres!$A$1:$I$89,3,0)*0.475*44/12</f>
        <v>0.70711867012237373</v>
      </c>
      <c r="CM136" s="21">
        <f>EXP(-LN(2)/2)*CM135+(1-EXP(-LN(2)/2))/(LN(2)/2)*CG136*CJ136*VLOOKUP('Données projet'!$B$12,Paramètres!$A$1:$I$89,3,0)*0.475*44/12</f>
        <v>5.8070210565991457E-15</v>
      </c>
      <c r="CN136" s="22">
        <f t="shared" si="120"/>
        <v>0.9856698687684069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-5.1159076974727213E-13</v>
      </c>
      <c r="CU136" s="17">
        <f>CT136*VLOOKUP('Données projet'!$B$13,Paramètres!$A$1:$I$89,3,0)*VLOOKUP('Données projet'!$B$13,Paramètres!$A$1:$I$89,5,0)</f>
        <v>-4.0702161641092972E-13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260.20517190557814</v>
      </c>
      <c r="CZ136" s="59">
        <f t="shared" si="150"/>
        <v>307.22009971147133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0.42435323909673828</v>
      </c>
      <c r="DG136" s="21">
        <f>EXP(-LN(2)/25)*DG135+(1-EXP(-LN(2)/25))/(LN(2)/25)*Calculateur!DB136*Calculateur!DD136*VLOOKUP('Données projet'!$B$13,Paramètres!$A$1:$I$89,3,0)*0.475*44/12</f>
        <v>1.1801178139429209</v>
      </c>
      <c r="DH136" s="21">
        <f>EXP(-LN(2)/2)*DH135+(1-EXP(-LN(2)/2))/(LN(2)/2)*DB136*DE136*VLOOKUP('Données projet'!$B$13,Paramètres!$A$1:$I$89,3,0)*0.475*44/12</f>
        <v>7.5487012788590345E-15</v>
      </c>
      <c r="DI136" s="22">
        <f t="shared" si="123"/>
        <v>1.6044710530396666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4.5474735088646412E-13</v>
      </c>
      <c r="DP136" s="17">
        <f>DO136*VLOOKUP('Données projet'!$B$14,Paramètres!$A$1:$I$89,3,0)*VLOOKUP('Données projet'!$B$14,Paramètres!$A$1:$I$89,5,0)</f>
        <v>4.6111381379887462E-13</v>
      </c>
      <c r="DQ136" s="13">
        <f t="shared" si="151"/>
        <v>5.7981965206434308E-12</v>
      </c>
      <c r="DR136" s="20">
        <f t="shared" si="124"/>
        <v>1.0901632165820347E-11</v>
      </c>
      <c r="DS136" s="59">
        <f t="shared" si="125"/>
        <v>293.33333333334423</v>
      </c>
      <c r="DT136" s="59">
        <f ca="1">AVERAGE(OFFSET($DS$3,0,0,'Données projet'!$E$14+1,1))-AVERAGE(OFFSET($H$3,0,0,'Données projet'!$E$14+1,1))</f>
        <v>263.15518481854753</v>
      </c>
      <c r="DU136" s="59">
        <f t="shared" si="152"/>
        <v>210.80755370263819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0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-5.1159076974727213E-13</v>
      </c>
      <c r="EK136" s="17">
        <f>EJ136*VLOOKUP('Données projet'!$B$15,Paramètres!$A$1:$I$89,3,0)*VLOOKUP('Données projet'!$B$15,Paramètres!$A$1:$I$89,5,0)</f>
        <v>-3.4317508834647017E-13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207.93042467236967</v>
      </c>
      <c r="EP136" s="59">
        <f t="shared" si="154"/>
        <v>250.70954318710835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0.3577880251207789</v>
      </c>
      <c r="EW136" s="21">
        <f>EXP(-LN(2)/25)*EW135+(1-EXP(-LN(2)/25))/(LN(2)/25)*Calculateur!ER136*Calculateur!ET136*VLOOKUP('Données projet'!$B$15,Paramètres!$A$1:$I$89,3,0)*0.475*44/12</f>
        <v>0.99500129410873872</v>
      </c>
      <c r="EX136" s="21">
        <f>EXP(-LN(2)/2)*EX135+(1-EXP(-LN(2)/2))/(LN(2)/2)*ER136*EU136*VLOOKUP('Données projet'!$B$15,Paramètres!$A$1:$I$89,3,0)*0.475*44/12</f>
        <v>6.3645912743321268E-15</v>
      </c>
      <c r="EY136" s="22">
        <f t="shared" si="129"/>
        <v>1.3527893192295239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4.5474735088646412E-13</v>
      </c>
      <c r="FF136" s="17">
        <f>FE136*VLOOKUP('Données projet'!$B$16,Paramètres!$A$1:$I$89,3,0)*VLOOKUP('Données projet'!$B$16,Paramètres!$A$1:$I$89,5,0)</f>
        <v>4.8949004849418999E-13</v>
      </c>
      <c r="FG136" s="13">
        <f t="shared" si="155"/>
        <v>6.1123715499968684E-12</v>
      </c>
      <c r="FH136" s="20">
        <f t="shared" si="130"/>
        <v>1.1498242284038591E-11</v>
      </c>
      <c r="FI136" s="59">
        <f t="shared" si="131"/>
        <v>293.3333333333448</v>
      </c>
      <c r="FJ136" s="59">
        <f ca="1">AVERAGE(OFFSET($FI$3,0,0,'Données projet'!$E$16+1,1))-AVERAGE(OFFSET($H$3,0,0,'Données projet'!$E$16+1,1))</f>
        <v>286.77702855541287</v>
      </c>
      <c r="FK136" s="59">
        <f t="shared" si="156"/>
        <v>227.12211541860779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0</v>
      </c>
      <c r="FR136" s="21">
        <f>EXP(-LN(2)/25)*FR135+(1-EXP(-LN(2)/25))/(LN(2)/25)*Calculateur!FM136*Calculateur!FO136*VLOOKUP('Données projet'!$B$16,Paramètres!$A$1:$I$89,3,0)*0.475*44/12</f>
        <v>0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0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5.6843418860808015E-13</v>
      </c>
      <c r="GA136" s="17">
        <f>FZ136*VLOOKUP('Données projet'!$B$17,Paramètres!$A$1:$I$89,3,0)*VLOOKUP('Données projet'!$B$17,Paramètres!$A$1:$I$89,5,0)</f>
        <v>2.6602720026858149E-13</v>
      </c>
      <c r="GB136" s="13">
        <f t="shared" si="157"/>
        <v>3.5662905043956649E-12</v>
      </c>
      <c r="GC136" s="20">
        <f t="shared" si="133"/>
        <v>6.6746200022902298E-12</v>
      </c>
      <c r="GD136" s="59">
        <f t="shared" si="134"/>
        <v>293.33333333333997</v>
      </c>
      <c r="GE136" s="59">
        <f ca="1">AVERAGE(OFFSET($GD$3,0,0,'Données projet'!$E$17+1,1))-AVERAGE(OFFSET($H$3,0,0,'Données projet'!$E$17+1,1))</f>
        <v>123.2823358462245</v>
      </c>
      <c r="GF136" s="59">
        <f t="shared" si="158"/>
        <v>92.75115399786057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0</v>
      </c>
      <c r="GM136" s="21">
        <f>EXP(-LN(2)/25)*GM135+(1-EXP(-LN(2)/25))/(LN(2)/25)*Calculateur!GH136*Calculateur!GJ136*VLOOKUP('Données projet'!$B$17,Paramètres!$A$1:$I$89,3,0)*0.475*44/12</f>
        <v>0</v>
      </c>
      <c r="GN136" s="21">
        <f>EXP(-LN(2)/2)*GN135+(1-EXP(-LN(2)/2))/(LN(2)/2)*GH136*GK136*VLOOKUP('Données projet'!$B$17,Paramètres!$A$1:$I$89,3,0)*0.475*44/12</f>
        <v>0</v>
      </c>
      <c r="GO136" s="21">
        <f t="shared" si="135"/>
        <v>0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-2.8421709430404007E-13</v>
      </c>
      <c r="GV136" s="17">
        <f>GU136*VLOOKUP('Données projet'!$B$18,Paramètres!$A$1:$I$89,3,0)*VLOOKUP('Données projet'!$B$18,Paramètres!$A$1:$I$89,5,0)</f>
        <v>-1.69961822393816E-13</v>
      </c>
      <c r="GW136" s="13" t="e">
        <f t="shared" si="159"/>
        <v>#NUM!</v>
      </c>
      <c r="GX136" s="20" t="e">
        <f t="shared" si="136"/>
        <v>#NUM!</v>
      </c>
      <c r="GY136" s="59" t="e">
        <f t="shared" si="137"/>
        <v>#NUM!</v>
      </c>
      <c r="GZ136" s="59">
        <f ca="1">AVERAGE(OFFSET($GY$3,0,0,'Données projet'!$E$18+1,1))-AVERAGE(OFFSET($H$3,0,0,'Données projet'!$E$18+1,1))</f>
        <v>171.96009656745713</v>
      </c>
      <c r="HA136" s="59">
        <f t="shared" si="160"/>
        <v>172.37574906747716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>
        <f>EXP(-LN(2)/35)*HG135+(1-EXP(-LN(2)/35))/(LN(2)/35)*HC136*HD136*VLOOKUP('Données projet'!$B$18,Paramètres!$A$1:$I$89,3,0)*0.475*44/12</f>
        <v>0.21693068169616028</v>
      </c>
      <c r="HH136" s="21">
        <f>EXP(-LN(2)/25)*HH135+(1-EXP(-LN(2)/25))/(LN(2)/25)*Calculateur!HC136*Calculateur!HE136*VLOOKUP('Données projet'!$B$18,Paramètres!$A$1:$I$89,3,0)*0.475*44/12</f>
        <v>1.1822669004617319</v>
      </c>
      <c r="HI136" s="21">
        <f>EXP(-LN(2)/2)*HI135+(1-EXP(-LN(2)/2))/(LN(2)/2)*HC136*HF136*VLOOKUP('Données projet'!$B$18,Paramètres!$A$1:$I$89,3,0)*0.475*44/12</f>
        <v>3.7822338078000366E-15</v>
      </c>
      <c r="HJ136" s="22">
        <f t="shared" si="138"/>
        <v>1.3991975821578959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-2.2737367544323206E-13</v>
      </c>
      <c r="O137" s="13">
        <f>N137*VLOOKUP('Données projet'!$B$9,Paramètres!$A$1:$I$89,3,0)*VLOOKUP('Données projet'!$B$9,Paramètres!$A$1:$I$89,5,0)</f>
        <v>-1.2710188457276673E-13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255.5374979188561</v>
      </c>
      <c r="T137" s="59">
        <f t="shared" si="142"/>
        <v>343.10418468620901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0.39398082958284214</v>
      </c>
      <c r="AA137" s="21">
        <f>EXP(-LN(2)/25)*AA136+(1-EXP(-LN(2)/25))/(LN(2)/25)*Calculateur!V137*Calculateur!X137*VLOOKUP('Données projet'!$B$9,Paramètres!$A$1:$I$89,3,0)*0.475*44/12</f>
        <v>0.89280200375606067</v>
      </c>
      <c r="AB137" s="21">
        <f>EXP(-LN(2)/2)*AB136+(1-EXP(-LN(2)/2))/(LN(2)/2)*V137*Y137*VLOOKUP('Données projet'!$B$9,Paramètres!$A$1:$I$89,3,0)*0.475*44/12</f>
        <v>3.758442622579108E-16</v>
      </c>
      <c r="AC137" s="22">
        <f t="shared" si="111"/>
        <v>1.2867828333389033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3.4106051316484809E-13</v>
      </c>
      <c r="AJ137" s="13">
        <f>AI137*VLOOKUP('Données projet'!$B$10,Paramètres!$A$1:$I$89,3,0)*VLOOKUP('Données projet'!$B$10,Paramètres!$A$1:$I$89,5,0)</f>
        <v>1.5961632016114892E-13</v>
      </c>
      <c r="AK137" s="13">
        <f t="shared" si="143"/>
        <v>2.2708641912150958E-12</v>
      </c>
      <c r="AL137" s="20">
        <f t="shared" si="112"/>
        <v>4.2330868906469593E-12</v>
      </c>
      <c r="AM137" s="59">
        <f t="shared" si="113"/>
        <v>293.33333333333752</v>
      </c>
      <c r="AN137" s="59">
        <f ca="1">AVERAGE(OFFSET($AM$3,0,0,'Données projet'!$E$10+1,1))-AVERAGE(OFFSET($H$3,0,0,'Données projet'!$E$10+1,1))</f>
        <v>158.58786357608489</v>
      </c>
      <c r="AO137" s="59">
        <f t="shared" si="144"/>
        <v>163.20074068819849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0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-1.7053025658242404E-13</v>
      </c>
      <c r="BE137" s="13">
        <f>BD137*VLOOKUP('Données projet'!$B$11,Paramètres!$A$1:$I$89,3,0)*VLOOKUP('Données projet'!$B$11,Paramètres!$A$1:$I$89,5,0)</f>
        <v>-1.0197709343628959E-13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243.85350804244348</v>
      </c>
      <c r="BJ137" s="59">
        <f t="shared" si="146"/>
        <v>304.60992308960545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0.57704501879050718</v>
      </c>
      <c r="BQ137" s="21">
        <f>EXP(-LN(2)/25)*BQ136+(1-EXP(-LN(2)/25))/(LN(2)/25)*Calculateur!BL137*Calculateur!BN137*VLOOKUP('Données projet'!$B$11,Paramètres!$A$1:$I$89,3,0)*0.475*44/12</f>
        <v>0.99173816612017851</v>
      </c>
      <c r="BR137" s="21">
        <f>EXP(-LN(2)/2)*BR136+(1-EXP(-LN(2)/2))/(LN(2)/2)*BL137*BO137*VLOOKUP('Données projet'!$B$11,Paramètres!$A$1:$I$89,3,0)*0.475*44/12</f>
        <v>8.3005303236831643E-16</v>
      </c>
      <c r="BS137" s="22">
        <f t="shared" si="117"/>
        <v>1.5687831849106866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497</v>
      </c>
      <c r="BZ137" s="13">
        <f>BY137*VLOOKUP('Données projet'!$B$12,Paramètres!$A$1:$I$89,3,0)*VLOOKUP('Données projet'!$B$12,Paramètres!$A$1:$I$89,5,0)</f>
        <v>297.20600000000002</v>
      </c>
      <c r="CA137" s="13">
        <f t="shared" si="147"/>
        <v>70.590415164571112</v>
      </c>
      <c r="CB137" s="20">
        <f t="shared" si="118"/>
        <v>640.57875641162809</v>
      </c>
      <c r="CC137" s="59">
        <f t="shared" si="119"/>
        <v>933.91208974496135</v>
      </c>
      <c r="CD137" s="59">
        <f ca="1">AVERAGE(OFFSET($CC$3,0,0,'Données projet'!$E$12+1,1))-AVERAGE(OFFSET($H$3,0,0,'Données projet'!$E$12+1,1))</f>
        <v>270.30888762640245</v>
      </c>
      <c r="CE137" s="59">
        <f t="shared" si="148"/>
        <v>202.23783851977691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0.27308897954003386</v>
      </c>
      <c r="CL137" s="21">
        <f>EXP(-LN(2)/25)*CL136+(1-EXP(-LN(2)/25))/(LN(2)/25)*Calculateur!CG137*Calculateur!CI137*VLOOKUP('Données projet'!$B$12,Paramètres!$A$1:$I$89,3,0)*0.475*44/12</f>
        <v>0.68778247290212269</v>
      </c>
      <c r="CM137" s="21">
        <f>EXP(-LN(2)/2)*CM136+(1-EXP(-LN(2)/2))/(LN(2)/2)*CG137*CJ137*VLOOKUP('Données projet'!$B$12,Paramètres!$A$1:$I$89,3,0)*0.475*44/12</f>
        <v>4.1061839676143261E-15</v>
      </c>
      <c r="CN137" s="22">
        <f t="shared" si="120"/>
        <v>0.96087145244216066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-5.1159076974727213E-13</v>
      </c>
      <c r="CU137" s="17">
        <f>CT137*VLOOKUP('Données projet'!$B$13,Paramètres!$A$1:$I$89,3,0)*VLOOKUP('Données projet'!$B$13,Paramètres!$A$1:$I$89,5,0)</f>
        <v>-4.0702161641092972E-13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260.20517190557814</v>
      </c>
      <c r="CZ137" s="59">
        <f t="shared" si="150"/>
        <v>307.22009971147133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0.41603193090796975</v>
      </c>
      <c r="DG137" s="21">
        <f>EXP(-LN(2)/25)*DG136+(1-EXP(-LN(2)/25))/(LN(2)/25)*Calculateur!DB137*Calculateur!DD137*VLOOKUP('Données projet'!$B$13,Paramètres!$A$1:$I$89,3,0)*0.475*44/12</f>
        <v>1.1478474302609531</v>
      </c>
      <c r="DH137" s="21">
        <f>EXP(-LN(2)/2)*DH136+(1-EXP(-LN(2)/2))/(LN(2)/2)*DB137*DE137*VLOOKUP('Données projet'!$B$13,Paramètres!$A$1:$I$89,3,0)*0.475*44/12</f>
        <v>5.3377378634327868E-15</v>
      </c>
      <c r="DI137" s="22">
        <f t="shared" si="123"/>
        <v>1.5638793611689281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4.5474735088646412E-13</v>
      </c>
      <c r="DP137" s="17">
        <f>DO137*VLOOKUP('Données projet'!$B$14,Paramètres!$A$1:$I$89,3,0)*VLOOKUP('Données projet'!$B$14,Paramètres!$A$1:$I$89,5,0)</f>
        <v>4.6111381379887462E-13</v>
      </c>
      <c r="DQ137" s="13">
        <f t="shared" si="151"/>
        <v>5.7981965206434308E-12</v>
      </c>
      <c r="DR137" s="20">
        <f t="shared" si="124"/>
        <v>1.0901632165820347E-11</v>
      </c>
      <c r="DS137" s="59">
        <f t="shared" si="125"/>
        <v>293.33333333334423</v>
      </c>
      <c r="DT137" s="59">
        <f ca="1">AVERAGE(OFFSET($DS$3,0,0,'Données projet'!$E$14+1,1))-AVERAGE(OFFSET($H$3,0,0,'Données projet'!$E$14+1,1))</f>
        <v>263.15518481854753</v>
      </c>
      <c r="DU137" s="59">
        <f t="shared" si="152"/>
        <v>210.80755370263819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0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-5.1159076974727213E-13</v>
      </c>
      <c r="EK137" s="17">
        <f>EJ137*VLOOKUP('Données projet'!$B$15,Paramètres!$A$1:$I$89,3,0)*VLOOKUP('Données projet'!$B$15,Paramètres!$A$1:$I$89,5,0)</f>
        <v>-3.4317508834647017E-13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207.93042467236967</v>
      </c>
      <c r="EP137" s="59">
        <f t="shared" si="154"/>
        <v>250.70954318710835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0.35077202017730741</v>
      </c>
      <c r="EW137" s="21">
        <f>EXP(-LN(2)/25)*EW136+(1-EXP(-LN(2)/25))/(LN(2)/25)*Calculateur!ER137*Calculateur!ET137*VLOOKUP('Données projet'!$B$15,Paramètres!$A$1:$I$89,3,0)*0.475*44/12</f>
        <v>0.96779293139649136</v>
      </c>
      <c r="EX137" s="21">
        <f>EXP(-LN(2)/2)*EX136+(1-EXP(-LN(2)/2))/(LN(2)/2)*ER137*EU137*VLOOKUP('Données projet'!$B$15,Paramètres!$A$1:$I$89,3,0)*0.475*44/12</f>
        <v>4.5004456495609768E-15</v>
      </c>
      <c r="EY137" s="22">
        <f t="shared" si="129"/>
        <v>1.3185649515738032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4.5474735088646412E-13</v>
      </c>
      <c r="FF137" s="17">
        <f>FE137*VLOOKUP('Données projet'!$B$16,Paramètres!$A$1:$I$89,3,0)*VLOOKUP('Données projet'!$B$16,Paramètres!$A$1:$I$89,5,0)</f>
        <v>4.8949004849418999E-13</v>
      </c>
      <c r="FG137" s="13">
        <f t="shared" si="155"/>
        <v>6.1123715499968684E-12</v>
      </c>
      <c r="FH137" s="20">
        <f t="shared" si="130"/>
        <v>1.1498242284038591E-11</v>
      </c>
      <c r="FI137" s="59">
        <f t="shared" si="131"/>
        <v>293.3333333333448</v>
      </c>
      <c r="FJ137" s="59">
        <f ca="1">AVERAGE(OFFSET($FI$3,0,0,'Données projet'!$E$16+1,1))-AVERAGE(OFFSET($H$3,0,0,'Données projet'!$E$16+1,1))</f>
        <v>286.77702855541287</v>
      </c>
      <c r="FK137" s="59">
        <f t="shared" si="156"/>
        <v>227.12211541860779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0</v>
      </c>
      <c r="FR137" s="21">
        <f>EXP(-LN(2)/25)*FR136+(1-EXP(-LN(2)/25))/(LN(2)/25)*Calculateur!FM137*Calculateur!FO137*VLOOKUP('Données projet'!$B$16,Paramètres!$A$1:$I$89,3,0)*0.475*44/12</f>
        <v>0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0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5.6843418860808015E-13</v>
      </c>
      <c r="GA137" s="17">
        <f>FZ137*VLOOKUP('Données projet'!$B$17,Paramètres!$A$1:$I$89,3,0)*VLOOKUP('Données projet'!$B$17,Paramètres!$A$1:$I$89,5,0)</f>
        <v>2.6602720026858149E-13</v>
      </c>
      <c r="GB137" s="13">
        <f t="shared" si="157"/>
        <v>3.5662905043956649E-12</v>
      </c>
      <c r="GC137" s="20">
        <f t="shared" si="133"/>
        <v>6.6746200022902298E-12</v>
      </c>
      <c r="GD137" s="59">
        <f t="shared" si="134"/>
        <v>293.33333333333997</v>
      </c>
      <c r="GE137" s="59">
        <f ca="1">AVERAGE(OFFSET($GD$3,0,0,'Données projet'!$E$17+1,1))-AVERAGE(OFFSET($H$3,0,0,'Données projet'!$E$17+1,1))</f>
        <v>123.2823358462245</v>
      </c>
      <c r="GF137" s="59">
        <f t="shared" si="158"/>
        <v>92.75115399786057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0</v>
      </c>
      <c r="GM137" s="21">
        <f>EXP(-LN(2)/25)*GM136+(1-EXP(-LN(2)/25))/(LN(2)/25)*Calculateur!GH137*Calculateur!GJ137*VLOOKUP('Données projet'!$B$17,Paramètres!$A$1:$I$89,3,0)*0.475*44/12</f>
        <v>0</v>
      </c>
      <c r="GN137" s="21">
        <f>EXP(-LN(2)/2)*GN136+(1-EXP(-LN(2)/2))/(LN(2)/2)*GH137*GK137*VLOOKUP('Données projet'!$B$17,Paramètres!$A$1:$I$89,3,0)*0.475*44/12</f>
        <v>0</v>
      </c>
      <c r="GO137" s="21">
        <f t="shared" si="135"/>
        <v>0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-2.8421709430404007E-13</v>
      </c>
      <c r="GV137" s="17">
        <f>GU137*VLOOKUP('Données projet'!$B$18,Paramètres!$A$1:$I$89,3,0)*VLOOKUP('Données projet'!$B$18,Paramètres!$A$1:$I$89,5,0)</f>
        <v>-1.69961822393816E-13</v>
      </c>
      <c r="GW137" s="13" t="e">
        <f t="shared" si="159"/>
        <v>#NUM!</v>
      </c>
      <c r="GX137" s="20" t="e">
        <f t="shared" si="136"/>
        <v>#NUM!</v>
      </c>
      <c r="GY137" s="59" t="e">
        <f t="shared" si="137"/>
        <v>#NUM!</v>
      </c>
      <c r="GZ137" s="59">
        <f ca="1">AVERAGE(OFFSET($GY$3,0,0,'Données projet'!$E$18+1,1))-AVERAGE(OFFSET($H$3,0,0,'Données projet'!$E$18+1,1))</f>
        <v>171.96009656745713</v>
      </c>
      <c r="HA137" s="59">
        <f t="shared" si="160"/>
        <v>172.37574906747716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>
        <f>EXP(-LN(2)/35)*HG136+(1-EXP(-LN(2)/35))/(LN(2)/35)*HC137*HD137*VLOOKUP('Données projet'!$B$18,Paramètres!$A$1:$I$89,3,0)*0.475*44/12</f>
        <v>0.21267680334274944</v>
      </c>
      <c r="HH137" s="21">
        <f>EXP(-LN(2)/25)*HH136+(1-EXP(-LN(2)/25))/(LN(2)/25)*Calculateur!HC137*Calculateur!HE137*VLOOKUP('Données projet'!$B$18,Paramètres!$A$1:$I$89,3,0)*0.475*44/12</f>
        <v>1.1499377498958916</v>
      </c>
      <c r="HI137" s="21">
        <f>EXP(-LN(2)/2)*HI136+(1-EXP(-LN(2)/2))/(LN(2)/2)*HC137*HF137*VLOOKUP('Données projet'!$B$18,Paramètres!$A$1:$I$89,3,0)*0.475*44/12</f>
        <v>2.6744431735284229E-15</v>
      </c>
      <c r="HJ137" s="22">
        <f t="shared" si="138"/>
        <v>1.3626145532386438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-2.2737367544323206E-13</v>
      </c>
      <c r="O138" s="13">
        <f>N138*VLOOKUP('Données projet'!$B$9,Paramètres!$A$1:$I$89,3,0)*VLOOKUP('Données projet'!$B$9,Paramètres!$A$1:$I$89,5,0)</f>
        <v>-1.2710188457276673E-13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255.5374979188561</v>
      </c>
      <c r="T138" s="59">
        <f t="shared" si="142"/>
        <v>343.10418468620901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0.38625510581930056</v>
      </c>
      <c r="AA138" s="21">
        <f>EXP(-LN(2)/25)*AA137+(1-EXP(-LN(2)/25))/(LN(2)/25)*Calculateur!V138*Calculateur!X138*VLOOKUP('Données projet'!$B$9,Paramètres!$A$1:$I$89,3,0)*0.475*44/12</f>
        <v>0.86838828601293439</v>
      </c>
      <c r="AB138" s="21">
        <f>EXP(-LN(2)/2)*AB137+(1-EXP(-LN(2)/2))/(LN(2)/2)*V138*Y138*VLOOKUP('Données projet'!$B$9,Paramètres!$A$1:$I$89,3,0)*0.475*44/12</f>
        <v>2.6576202651262391E-16</v>
      </c>
      <c r="AC138" s="22">
        <f t="shared" si="111"/>
        <v>1.2546433918322351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3.4106051316484809E-13</v>
      </c>
      <c r="AJ138" s="13">
        <f>AI138*VLOOKUP('Données projet'!$B$10,Paramètres!$A$1:$I$89,3,0)*VLOOKUP('Données projet'!$B$10,Paramètres!$A$1:$I$89,5,0)</f>
        <v>1.5961632016114892E-13</v>
      </c>
      <c r="AK138" s="13">
        <f t="shared" si="143"/>
        <v>2.2708641912150958E-12</v>
      </c>
      <c r="AL138" s="20">
        <f t="shared" si="112"/>
        <v>4.2330868906469593E-12</v>
      </c>
      <c r="AM138" s="59">
        <f t="shared" si="113"/>
        <v>293.33333333333752</v>
      </c>
      <c r="AN138" s="59">
        <f ca="1">AVERAGE(OFFSET($AM$3,0,0,'Données projet'!$E$10+1,1))-AVERAGE(OFFSET($H$3,0,0,'Données projet'!$E$10+1,1))</f>
        <v>158.58786357608489</v>
      </c>
      <c r="AO138" s="59">
        <f t="shared" si="144"/>
        <v>163.20074068819849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0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-1.7053025658242404E-13</v>
      </c>
      <c r="BE138" s="13">
        <f>BD138*VLOOKUP('Données projet'!$B$11,Paramètres!$A$1:$I$89,3,0)*VLOOKUP('Données projet'!$B$11,Paramètres!$A$1:$I$89,5,0)</f>
        <v>-1.0197709343628959E-13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243.85350804244348</v>
      </c>
      <c r="BJ138" s="59">
        <f t="shared" si="146"/>
        <v>304.60992308960545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0.56572951793473336</v>
      </c>
      <c r="BQ138" s="21">
        <f>EXP(-LN(2)/25)*BQ137+(1-EXP(-LN(2)/25))/(LN(2)/25)*Calculateur!BL138*Calculateur!BN138*VLOOKUP('Données projet'!$B$11,Paramètres!$A$1:$I$89,3,0)*0.475*44/12</f>
        <v>0.96461903381437875</v>
      </c>
      <c r="BR138" s="21">
        <f>EXP(-LN(2)/2)*BR137+(1-EXP(-LN(2)/2))/(LN(2)/2)*BL138*BO138*VLOOKUP('Données projet'!$B$11,Paramètres!$A$1:$I$89,3,0)*0.475*44/12</f>
        <v>5.8693612793209337E-16</v>
      </c>
      <c r="BS138" s="22">
        <f t="shared" si="117"/>
        <v>1.5303485517491129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497</v>
      </c>
      <c r="BZ138" s="13">
        <f>BY138*VLOOKUP('Données projet'!$B$12,Paramètres!$A$1:$I$89,3,0)*VLOOKUP('Données projet'!$B$12,Paramètres!$A$1:$I$89,5,0)</f>
        <v>297.20600000000002</v>
      </c>
      <c r="CA138" s="13">
        <f t="shared" si="147"/>
        <v>70.590415164571112</v>
      </c>
      <c r="CB138" s="20">
        <f t="shared" si="118"/>
        <v>640.57875641162809</v>
      </c>
      <c r="CC138" s="59">
        <f t="shared" si="119"/>
        <v>933.91208974496135</v>
      </c>
      <c r="CD138" s="59">
        <f ca="1">AVERAGE(OFFSET($CC$3,0,0,'Données projet'!$E$12+1,1))-AVERAGE(OFFSET($H$3,0,0,'Données projet'!$E$12+1,1))</f>
        <v>270.30888762640245</v>
      </c>
      <c r="CE138" s="59">
        <f t="shared" si="148"/>
        <v>202.23783851977691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0.2677338712190841</v>
      </c>
      <c r="CL138" s="21">
        <f>EXP(-LN(2)/25)*CL137+(1-EXP(-LN(2)/25))/(LN(2)/25)*Calculateur!CG138*Calculateur!CI138*VLOOKUP('Données projet'!$B$12,Paramètres!$A$1:$I$89,3,0)*0.475*44/12</f>
        <v>0.6689750250117058</v>
      </c>
      <c r="CM138" s="21">
        <f>EXP(-LN(2)/2)*CM137+(1-EXP(-LN(2)/2))/(LN(2)/2)*CG138*CJ138*VLOOKUP('Données projet'!$B$12,Paramètres!$A$1:$I$89,3,0)*0.475*44/12</f>
        <v>2.9035105282995729E-15</v>
      </c>
      <c r="CN138" s="22">
        <f t="shared" si="120"/>
        <v>0.93670889623079279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-5.1159076974727213E-13</v>
      </c>
      <c r="CU138" s="17">
        <f>CT138*VLOOKUP('Données projet'!$B$13,Paramètres!$A$1:$I$89,3,0)*VLOOKUP('Données projet'!$B$13,Paramètres!$A$1:$I$89,5,0)</f>
        <v>-4.0702161641092972E-13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260.20517190557814</v>
      </c>
      <c r="CZ138" s="59">
        <f t="shared" si="150"/>
        <v>307.22009971147133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0.40787379849728617</v>
      </c>
      <c r="DG138" s="21">
        <f>EXP(-LN(2)/25)*DG137+(1-EXP(-LN(2)/25))/(LN(2)/25)*Calculateur!DB138*Calculateur!DD138*VLOOKUP('Données projet'!$B$13,Paramètres!$A$1:$I$89,3,0)*0.475*44/12</f>
        <v>1.1164594819177944</v>
      </c>
      <c r="DH138" s="21">
        <f>EXP(-LN(2)/2)*DH137+(1-EXP(-LN(2)/2))/(LN(2)/2)*DB138*DE138*VLOOKUP('Données projet'!$B$13,Paramètres!$A$1:$I$89,3,0)*0.475*44/12</f>
        <v>3.7743506394295173E-15</v>
      </c>
      <c r="DI138" s="22">
        <f t="shared" si="123"/>
        <v>1.5243332804150844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4.5474735088646412E-13</v>
      </c>
      <c r="DP138" s="17">
        <f>DO138*VLOOKUP('Données projet'!$B$14,Paramètres!$A$1:$I$89,3,0)*VLOOKUP('Données projet'!$B$14,Paramètres!$A$1:$I$89,5,0)</f>
        <v>4.6111381379887462E-13</v>
      </c>
      <c r="DQ138" s="13">
        <f t="shared" si="151"/>
        <v>5.7981965206434308E-12</v>
      </c>
      <c r="DR138" s="20">
        <f t="shared" si="124"/>
        <v>1.0901632165820347E-11</v>
      </c>
      <c r="DS138" s="59">
        <f t="shared" si="125"/>
        <v>293.33333333334423</v>
      </c>
      <c r="DT138" s="59">
        <f ca="1">AVERAGE(OFFSET($DS$3,0,0,'Données projet'!$E$14+1,1))-AVERAGE(OFFSET($H$3,0,0,'Données projet'!$E$14+1,1))</f>
        <v>263.15518481854753</v>
      </c>
      <c r="DU138" s="59">
        <f t="shared" si="152"/>
        <v>210.80755370263819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0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-5.1159076974727213E-13</v>
      </c>
      <c r="EK138" s="17">
        <f>EJ138*VLOOKUP('Données projet'!$B$15,Paramètres!$A$1:$I$89,3,0)*VLOOKUP('Données projet'!$B$15,Paramètres!$A$1:$I$89,5,0)</f>
        <v>-3.4317508834647017E-13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207.93042467236967</v>
      </c>
      <c r="EP138" s="59">
        <f t="shared" si="154"/>
        <v>250.70954318710835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0.34389359481143694</v>
      </c>
      <c r="EW138" s="21">
        <f>EXP(-LN(2)/25)*EW137+(1-EXP(-LN(2)/25))/(LN(2)/25)*Calculateur!ER138*Calculateur!ET138*VLOOKUP('Données projet'!$B$15,Paramètres!$A$1:$I$89,3,0)*0.475*44/12</f>
        <v>0.94132858279343601</v>
      </c>
      <c r="EX138" s="21">
        <f>EXP(-LN(2)/2)*EX137+(1-EXP(-LN(2)/2))/(LN(2)/2)*ER138*EU138*VLOOKUP('Données projet'!$B$15,Paramètres!$A$1:$I$89,3,0)*0.475*44/12</f>
        <v>3.1822956371660634E-15</v>
      </c>
      <c r="EY138" s="22">
        <f t="shared" si="129"/>
        <v>1.285222177604876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4.5474735088646412E-13</v>
      </c>
      <c r="FF138" s="17">
        <f>FE138*VLOOKUP('Données projet'!$B$16,Paramètres!$A$1:$I$89,3,0)*VLOOKUP('Données projet'!$B$16,Paramètres!$A$1:$I$89,5,0)</f>
        <v>4.8949004849418999E-13</v>
      </c>
      <c r="FG138" s="13">
        <f t="shared" si="155"/>
        <v>6.1123715499968684E-12</v>
      </c>
      <c r="FH138" s="20">
        <f t="shared" si="130"/>
        <v>1.1498242284038591E-11</v>
      </c>
      <c r="FI138" s="59">
        <f t="shared" si="131"/>
        <v>293.3333333333448</v>
      </c>
      <c r="FJ138" s="59">
        <f ca="1">AVERAGE(OFFSET($FI$3,0,0,'Données projet'!$E$16+1,1))-AVERAGE(OFFSET($H$3,0,0,'Données projet'!$E$16+1,1))</f>
        <v>286.77702855541287</v>
      </c>
      <c r="FK138" s="59">
        <f t="shared" si="156"/>
        <v>227.12211541860779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0</v>
      </c>
      <c r="FR138" s="21">
        <f>EXP(-LN(2)/25)*FR137+(1-EXP(-LN(2)/25))/(LN(2)/25)*Calculateur!FM138*Calculateur!FO138*VLOOKUP('Données projet'!$B$16,Paramètres!$A$1:$I$89,3,0)*0.475*44/12</f>
        <v>0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0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5.6843418860808015E-13</v>
      </c>
      <c r="GA138" s="17">
        <f>FZ138*VLOOKUP('Données projet'!$B$17,Paramètres!$A$1:$I$89,3,0)*VLOOKUP('Données projet'!$B$17,Paramètres!$A$1:$I$89,5,0)</f>
        <v>2.6602720026858149E-13</v>
      </c>
      <c r="GB138" s="13">
        <f t="shared" si="157"/>
        <v>3.5662905043956649E-12</v>
      </c>
      <c r="GC138" s="20">
        <f t="shared" si="133"/>
        <v>6.6746200022902298E-12</v>
      </c>
      <c r="GD138" s="59">
        <f t="shared" si="134"/>
        <v>293.33333333333997</v>
      </c>
      <c r="GE138" s="59">
        <f ca="1">AVERAGE(OFFSET($GD$3,0,0,'Données projet'!$E$17+1,1))-AVERAGE(OFFSET($H$3,0,0,'Données projet'!$E$17+1,1))</f>
        <v>123.2823358462245</v>
      </c>
      <c r="GF138" s="59">
        <f t="shared" si="158"/>
        <v>92.75115399786057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0</v>
      </c>
      <c r="GM138" s="21">
        <f>EXP(-LN(2)/25)*GM137+(1-EXP(-LN(2)/25))/(LN(2)/25)*Calculateur!GH138*Calculateur!GJ138*VLOOKUP('Données projet'!$B$17,Paramètres!$A$1:$I$89,3,0)*0.475*44/12</f>
        <v>0</v>
      </c>
      <c r="GN138" s="21">
        <f>EXP(-LN(2)/2)*GN137+(1-EXP(-LN(2)/2))/(LN(2)/2)*GH138*GK138*VLOOKUP('Données projet'!$B$17,Paramètres!$A$1:$I$89,3,0)*0.475*44/12</f>
        <v>0</v>
      </c>
      <c r="GO138" s="21">
        <f t="shared" si="135"/>
        <v>0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-2.8421709430404007E-13</v>
      </c>
      <c r="GV138" s="17">
        <f>GU138*VLOOKUP('Données projet'!$B$18,Paramètres!$A$1:$I$89,3,0)*VLOOKUP('Données projet'!$B$18,Paramètres!$A$1:$I$89,5,0)</f>
        <v>-1.69961822393816E-13</v>
      </c>
      <c r="GW138" s="13" t="e">
        <f t="shared" si="159"/>
        <v>#NUM!</v>
      </c>
      <c r="GX138" s="20" t="e">
        <f t="shared" si="136"/>
        <v>#NUM!</v>
      </c>
      <c r="GY138" s="59" t="e">
        <f t="shared" si="137"/>
        <v>#NUM!</v>
      </c>
      <c r="GZ138" s="59">
        <f ca="1">AVERAGE(OFFSET($GY$3,0,0,'Données projet'!$E$18+1,1))-AVERAGE(OFFSET($H$3,0,0,'Données projet'!$E$18+1,1))</f>
        <v>171.96009656745713</v>
      </c>
      <c r="HA138" s="59">
        <f t="shared" si="160"/>
        <v>172.37574906747716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>
        <f>EXP(-LN(2)/35)*HG137+(1-EXP(-LN(2)/35))/(LN(2)/35)*HC138*HD138*VLOOKUP('Données projet'!$B$18,Paramètres!$A$1:$I$89,3,0)*0.475*44/12</f>
        <v>0.20850634094923937</v>
      </c>
      <c r="HH138" s="21">
        <f>EXP(-LN(2)/25)*HH137+(1-EXP(-LN(2)/25))/(LN(2)/25)*Calculateur!HC138*Calculateur!HE138*VLOOKUP('Données projet'!$B$18,Paramètres!$A$1:$I$89,3,0)*0.475*44/12</f>
        <v>1.1184926416523904</v>
      </c>
      <c r="HI138" s="21">
        <f>EXP(-LN(2)/2)*HI137+(1-EXP(-LN(2)/2))/(LN(2)/2)*HC138*HF138*VLOOKUP('Données projet'!$B$18,Paramètres!$A$1:$I$89,3,0)*0.475*44/12</f>
        <v>1.8911169039000183E-15</v>
      </c>
      <c r="HJ138" s="22">
        <f t="shared" si="138"/>
        <v>1.3269989826016317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-2.2737367544323206E-13</v>
      </c>
      <c r="O139" s="13">
        <f>N139*VLOOKUP('Données projet'!$B$9,Paramètres!$A$1:$I$89,3,0)*VLOOKUP('Données projet'!$B$9,Paramètres!$A$1:$I$89,5,0)</f>
        <v>-1.2710188457276673E-13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255.5374979188561</v>
      </c>
      <c r="T139" s="59">
        <f t="shared" si="142"/>
        <v>343.10418468620901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0.37868087878653584</v>
      </c>
      <c r="AA139" s="21">
        <f>EXP(-LN(2)/25)*AA138+(1-EXP(-LN(2)/25))/(LN(2)/25)*Calculateur!V139*Calculateur!X139*VLOOKUP('Données projet'!$B$9,Paramètres!$A$1:$I$89,3,0)*0.475*44/12</f>
        <v>0.84464216266535541</v>
      </c>
      <c r="AB139" s="21">
        <f>EXP(-LN(2)/2)*AB138+(1-EXP(-LN(2)/2))/(LN(2)/2)*V139*Y139*VLOOKUP('Données projet'!$B$9,Paramètres!$A$1:$I$89,3,0)*0.475*44/12</f>
        <v>1.879221311289554E-16</v>
      </c>
      <c r="AC139" s="22">
        <f t="shared" si="111"/>
        <v>1.2233230414518914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3.4106051316484809E-13</v>
      </c>
      <c r="AJ139" s="13">
        <f>AI139*VLOOKUP('Données projet'!$B$10,Paramètres!$A$1:$I$89,3,0)*VLOOKUP('Données projet'!$B$10,Paramètres!$A$1:$I$89,5,0)</f>
        <v>1.5961632016114892E-13</v>
      </c>
      <c r="AK139" s="13">
        <f t="shared" si="143"/>
        <v>2.2708641912150958E-12</v>
      </c>
      <c r="AL139" s="20">
        <f t="shared" si="112"/>
        <v>4.2330868906469593E-12</v>
      </c>
      <c r="AM139" s="59">
        <f t="shared" si="113"/>
        <v>293.33333333333752</v>
      </c>
      <c r="AN139" s="59">
        <f ca="1">AVERAGE(OFFSET($AM$3,0,0,'Données projet'!$E$10+1,1))-AVERAGE(OFFSET($H$3,0,0,'Données projet'!$E$10+1,1))</f>
        <v>158.58786357608489</v>
      </c>
      <c r="AO139" s="59">
        <f t="shared" si="144"/>
        <v>163.20074068819849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0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-1.7053025658242404E-13</v>
      </c>
      <c r="BE139" s="13">
        <f>BD139*VLOOKUP('Données projet'!$B$11,Paramètres!$A$1:$I$89,3,0)*VLOOKUP('Données projet'!$B$11,Paramètres!$A$1:$I$89,5,0)</f>
        <v>-1.0197709343628959E-13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243.85350804244348</v>
      </c>
      <c r="BJ139" s="59">
        <f t="shared" si="146"/>
        <v>304.60992308960545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0.55463590714896727</v>
      </c>
      <c r="BQ139" s="21">
        <f>EXP(-LN(2)/25)*BQ138+(1-EXP(-LN(2)/25))/(LN(2)/25)*Calculateur!BL139*Calculateur!BN139*VLOOKUP('Données projet'!$B$11,Paramètres!$A$1:$I$89,3,0)*0.475*44/12</f>
        <v>0.93824147560761428</v>
      </c>
      <c r="BR139" s="21">
        <f>EXP(-LN(2)/2)*BR138+(1-EXP(-LN(2)/2))/(LN(2)/2)*BL139*BO139*VLOOKUP('Données projet'!$B$11,Paramètres!$A$1:$I$89,3,0)*0.475*44/12</f>
        <v>4.1502651618415821E-16</v>
      </c>
      <c r="BS139" s="22">
        <f t="shared" si="117"/>
        <v>1.492877382756582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497</v>
      </c>
      <c r="BZ139" s="13">
        <f>BY139*VLOOKUP('Données projet'!$B$12,Paramètres!$A$1:$I$89,3,0)*VLOOKUP('Données projet'!$B$12,Paramètres!$A$1:$I$89,5,0)</f>
        <v>297.20600000000002</v>
      </c>
      <c r="CA139" s="13">
        <f t="shared" si="147"/>
        <v>70.590415164571112</v>
      </c>
      <c r="CB139" s="20">
        <f t="shared" si="118"/>
        <v>640.57875641162809</v>
      </c>
      <c r="CC139" s="59">
        <f t="shared" si="119"/>
        <v>933.91208974496135</v>
      </c>
      <c r="CD139" s="59">
        <f ca="1">AVERAGE(OFFSET($CC$3,0,0,'Données projet'!$E$12+1,1))-AVERAGE(OFFSET($H$3,0,0,'Données projet'!$E$12+1,1))</f>
        <v>270.30888762640245</v>
      </c>
      <c r="CE139" s="59">
        <f t="shared" si="148"/>
        <v>202.23783851977691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0.26248377330601463</v>
      </c>
      <c r="CL139" s="21">
        <f>EXP(-LN(2)/25)*CL138+(1-EXP(-LN(2)/25))/(LN(2)/25)*Calculateur!CG139*Calculateur!CI139*VLOOKUP('Données projet'!$B$12,Paramètres!$A$1:$I$89,3,0)*0.475*44/12</f>
        <v>0.65068186777289305</v>
      </c>
      <c r="CM139" s="21">
        <f>EXP(-LN(2)/2)*CM138+(1-EXP(-LN(2)/2))/(LN(2)/2)*CG139*CJ139*VLOOKUP('Données projet'!$B$12,Paramètres!$A$1:$I$89,3,0)*0.475*44/12</f>
        <v>2.0530919838071631E-15</v>
      </c>
      <c r="CN139" s="22">
        <f t="shared" si="120"/>
        <v>0.91316564107890974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-5.1159076974727213E-13</v>
      </c>
      <c r="CU139" s="17">
        <f>CT139*VLOOKUP('Données projet'!$B$13,Paramètres!$A$1:$I$89,3,0)*VLOOKUP('Données projet'!$B$13,Paramètres!$A$1:$I$89,5,0)</f>
        <v>-4.0702161641092972E-13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260.20517190557814</v>
      </c>
      <c r="CZ139" s="59">
        <f t="shared" si="150"/>
        <v>307.22009971147133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0.39987564208720666</v>
      </c>
      <c r="DG139" s="21">
        <f>EXP(-LN(2)/25)*DG138+(1-EXP(-LN(2)/25))/(LN(2)/25)*Calculateur!DB139*Calculateur!DD139*VLOOKUP('Données projet'!$B$13,Paramètres!$A$1:$I$89,3,0)*0.475*44/12</f>
        <v>1.0859298386726999</v>
      </c>
      <c r="DH139" s="21">
        <f>EXP(-LN(2)/2)*DH138+(1-EXP(-LN(2)/2))/(LN(2)/2)*DB139*DE139*VLOOKUP('Données projet'!$B$13,Paramètres!$A$1:$I$89,3,0)*0.475*44/12</f>
        <v>2.6688689317163934E-15</v>
      </c>
      <c r="DI139" s="22">
        <f t="shared" si="123"/>
        <v>1.4858054807599093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4.5474735088646412E-13</v>
      </c>
      <c r="DP139" s="17">
        <f>DO139*VLOOKUP('Données projet'!$B$14,Paramètres!$A$1:$I$89,3,0)*VLOOKUP('Données projet'!$B$14,Paramètres!$A$1:$I$89,5,0)</f>
        <v>4.6111381379887462E-13</v>
      </c>
      <c r="DQ139" s="13">
        <f t="shared" si="151"/>
        <v>5.7981965206434308E-12</v>
      </c>
      <c r="DR139" s="20">
        <f t="shared" si="124"/>
        <v>1.0901632165820347E-11</v>
      </c>
      <c r="DS139" s="59">
        <f t="shared" si="125"/>
        <v>293.33333333334423</v>
      </c>
      <c r="DT139" s="59">
        <f ca="1">AVERAGE(OFFSET($DS$3,0,0,'Données projet'!$E$14+1,1))-AVERAGE(OFFSET($H$3,0,0,'Données projet'!$E$14+1,1))</f>
        <v>263.15518481854753</v>
      </c>
      <c r="DU139" s="59">
        <f t="shared" si="152"/>
        <v>210.80755370263819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0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-5.1159076974727213E-13</v>
      </c>
      <c r="EK139" s="17">
        <f>EJ139*VLOOKUP('Données projet'!$B$15,Paramètres!$A$1:$I$89,3,0)*VLOOKUP('Données projet'!$B$15,Paramètres!$A$1:$I$89,5,0)</f>
        <v>-3.4317508834647017E-13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207.93042467236967</v>
      </c>
      <c r="EP139" s="59">
        <f t="shared" si="154"/>
        <v>250.70954318710835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0.33715005117156599</v>
      </c>
      <c r="EW139" s="21">
        <f>EXP(-LN(2)/25)*EW138+(1-EXP(-LN(2)/25))/(LN(2)/25)*Calculateur!ER139*Calculateur!ET139*VLOOKUP('Données projet'!$B$15,Paramètres!$A$1:$I$89,3,0)*0.475*44/12</f>
        <v>0.91558790319463079</v>
      </c>
      <c r="EX139" s="21">
        <f>EXP(-LN(2)/2)*EX138+(1-EXP(-LN(2)/2))/(LN(2)/2)*ER139*EU139*VLOOKUP('Données projet'!$B$15,Paramètres!$A$1:$I$89,3,0)*0.475*44/12</f>
        <v>2.2502228247804884E-15</v>
      </c>
      <c r="EY139" s="22">
        <f t="shared" si="129"/>
        <v>1.2527379543661989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4.5474735088646412E-13</v>
      </c>
      <c r="FF139" s="17">
        <f>FE139*VLOOKUP('Données projet'!$B$16,Paramètres!$A$1:$I$89,3,0)*VLOOKUP('Données projet'!$B$16,Paramètres!$A$1:$I$89,5,0)</f>
        <v>4.8949004849418999E-13</v>
      </c>
      <c r="FG139" s="13">
        <f t="shared" si="155"/>
        <v>6.1123715499968684E-12</v>
      </c>
      <c r="FH139" s="20">
        <f t="shared" si="130"/>
        <v>1.1498242284038591E-11</v>
      </c>
      <c r="FI139" s="59">
        <f t="shared" si="131"/>
        <v>293.3333333333448</v>
      </c>
      <c r="FJ139" s="59">
        <f ca="1">AVERAGE(OFFSET($FI$3,0,0,'Données projet'!$E$16+1,1))-AVERAGE(OFFSET($H$3,0,0,'Données projet'!$E$16+1,1))</f>
        <v>286.77702855541287</v>
      </c>
      <c r="FK139" s="59">
        <f t="shared" si="156"/>
        <v>227.12211541860779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0</v>
      </c>
      <c r="FR139" s="21">
        <f>EXP(-LN(2)/25)*FR138+(1-EXP(-LN(2)/25))/(LN(2)/25)*Calculateur!FM139*Calculateur!FO139*VLOOKUP('Données projet'!$B$16,Paramètres!$A$1:$I$89,3,0)*0.475*44/12</f>
        <v>0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0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5.6843418860808015E-13</v>
      </c>
      <c r="GA139" s="17">
        <f>FZ139*VLOOKUP('Données projet'!$B$17,Paramètres!$A$1:$I$89,3,0)*VLOOKUP('Données projet'!$B$17,Paramètres!$A$1:$I$89,5,0)</f>
        <v>2.6602720026858149E-13</v>
      </c>
      <c r="GB139" s="13">
        <f t="shared" si="157"/>
        <v>3.5662905043956649E-12</v>
      </c>
      <c r="GC139" s="20">
        <f t="shared" si="133"/>
        <v>6.6746200022902298E-12</v>
      </c>
      <c r="GD139" s="59">
        <f t="shared" si="134"/>
        <v>293.33333333333997</v>
      </c>
      <c r="GE139" s="59">
        <f ca="1">AVERAGE(OFFSET($GD$3,0,0,'Données projet'!$E$17+1,1))-AVERAGE(OFFSET($H$3,0,0,'Données projet'!$E$17+1,1))</f>
        <v>123.2823358462245</v>
      </c>
      <c r="GF139" s="59">
        <f t="shared" si="158"/>
        <v>92.75115399786057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0</v>
      </c>
      <c r="GM139" s="21">
        <f>EXP(-LN(2)/25)*GM138+(1-EXP(-LN(2)/25))/(LN(2)/25)*Calculateur!GH139*Calculateur!GJ139*VLOOKUP('Données projet'!$B$17,Paramètres!$A$1:$I$89,3,0)*0.475*44/12</f>
        <v>0</v>
      </c>
      <c r="GN139" s="21">
        <f>EXP(-LN(2)/2)*GN138+(1-EXP(-LN(2)/2))/(LN(2)/2)*GH139*GK139*VLOOKUP('Données projet'!$B$17,Paramètres!$A$1:$I$89,3,0)*0.475*44/12</f>
        <v>0</v>
      </c>
      <c r="GO139" s="21">
        <f t="shared" si="135"/>
        <v>0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-2.8421709430404007E-13</v>
      </c>
      <c r="GV139" s="17">
        <f>GU139*VLOOKUP('Données projet'!$B$18,Paramètres!$A$1:$I$89,3,0)*VLOOKUP('Données projet'!$B$18,Paramètres!$A$1:$I$89,5,0)</f>
        <v>-1.69961822393816E-13</v>
      </c>
      <c r="GW139" s="13" t="e">
        <f t="shared" si="159"/>
        <v>#NUM!</v>
      </c>
      <c r="GX139" s="20" t="e">
        <f t="shared" si="136"/>
        <v>#NUM!</v>
      </c>
      <c r="GY139" s="59" t="e">
        <f t="shared" si="137"/>
        <v>#NUM!</v>
      </c>
      <c r="GZ139" s="59">
        <f ca="1">AVERAGE(OFFSET($GY$3,0,0,'Données projet'!$E$18+1,1))-AVERAGE(OFFSET($H$3,0,0,'Données projet'!$E$18+1,1))</f>
        <v>171.96009656745713</v>
      </c>
      <c r="HA139" s="59">
        <f t="shared" si="160"/>
        <v>172.37574906747716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>
        <f>EXP(-LN(2)/35)*HG138+(1-EXP(-LN(2)/35))/(LN(2)/35)*HC139*HD139*VLOOKUP('Données projet'!$B$18,Paramètres!$A$1:$I$89,3,0)*0.475*44/12</f>
        <v>0.20441765877953513</v>
      </c>
      <c r="HH139" s="21">
        <f>EXP(-LN(2)/25)*HH138+(1-EXP(-LN(2)/25))/(LN(2)/25)*Calculateur!HC139*Calculateur!HE139*VLOOKUP('Données projet'!$B$18,Paramètres!$A$1:$I$89,3,0)*0.475*44/12</f>
        <v>1.0879074015474341</v>
      </c>
      <c r="HI139" s="21">
        <f>EXP(-LN(2)/2)*HI138+(1-EXP(-LN(2)/2))/(LN(2)/2)*HC139*HF139*VLOOKUP('Données projet'!$B$18,Paramètres!$A$1:$I$89,3,0)*0.475*44/12</f>
        <v>1.3372215867642115E-15</v>
      </c>
      <c r="HJ139" s="22">
        <f t="shared" si="138"/>
        <v>1.2923250603269707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-2.2737367544323206E-13</v>
      </c>
      <c r="O140" s="13">
        <f>N140*VLOOKUP('Données projet'!$B$9,Paramètres!$A$1:$I$89,3,0)*VLOOKUP('Données projet'!$B$9,Paramètres!$A$1:$I$89,5,0)</f>
        <v>-1.2710188457276673E-13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255.5374979188561</v>
      </c>
      <c r="T140" s="59">
        <f t="shared" si="142"/>
        <v>343.10418468620901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0.37125517772606126</v>
      </c>
      <c r="AA140" s="21">
        <f>EXP(-LN(2)/25)*AA139+(1-EXP(-LN(2)/25))/(LN(2)/25)*Calculateur!V140*Calculateur!X140*VLOOKUP('Données projet'!$B$9,Paramètres!$A$1:$I$89,3,0)*0.475*44/12</f>
        <v>0.82154537830947039</v>
      </c>
      <c r="AB140" s="21">
        <f>EXP(-LN(2)/2)*AB139+(1-EXP(-LN(2)/2))/(LN(2)/2)*V140*Y140*VLOOKUP('Données projet'!$B$9,Paramètres!$A$1:$I$89,3,0)*0.475*44/12</f>
        <v>1.3288101325631195E-16</v>
      </c>
      <c r="AC140" s="22">
        <f t="shared" si="111"/>
        <v>1.1928005560355319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3.4106051316484809E-13</v>
      </c>
      <c r="AJ140" s="13">
        <f>AI140*VLOOKUP('Données projet'!$B$10,Paramètres!$A$1:$I$89,3,0)*VLOOKUP('Données projet'!$B$10,Paramètres!$A$1:$I$89,5,0)</f>
        <v>1.5961632016114892E-13</v>
      </c>
      <c r="AK140" s="13">
        <f t="shared" si="143"/>
        <v>2.2708641912150958E-12</v>
      </c>
      <c r="AL140" s="20">
        <f t="shared" si="112"/>
        <v>4.2330868906469593E-12</v>
      </c>
      <c r="AM140" s="59">
        <f t="shared" si="113"/>
        <v>293.33333333333752</v>
      </c>
      <c r="AN140" s="59">
        <f ca="1">AVERAGE(OFFSET($AM$3,0,0,'Données projet'!$E$10+1,1))-AVERAGE(OFFSET($H$3,0,0,'Données projet'!$E$10+1,1))</f>
        <v>158.58786357608489</v>
      </c>
      <c r="AO140" s="59">
        <f t="shared" si="144"/>
        <v>163.20074068819849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0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-1.7053025658242404E-13</v>
      </c>
      <c r="BE140" s="13">
        <f>BD140*VLOOKUP('Données projet'!$B$11,Paramètres!$A$1:$I$89,3,0)*VLOOKUP('Données projet'!$B$11,Paramètres!$A$1:$I$89,5,0)</f>
        <v>-1.0197709343628959E-13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243.85350804244348</v>
      </c>
      <c r="BJ140" s="59">
        <f t="shared" si="146"/>
        <v>304.60992308960545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0.54375983530427552</v>
      </c>
      <c r="BQ140" s="21">
        <f>EXP(-LN(2)/25)*BQ139+(1-EXP(-LN(2)/25))/(LN(2)/25)*Calculateur!BL140*Calculateur!BN140*VLOOKUP('Données projet'!$B$11,Paramètres!$A$1:$I$89,3,0)*0.475*44/12</f>
        <v>0.91258521311714924</v>
      </c>
      <c r="BR140" s="21">
        <f>EXP(-LN(2)/2)*BR139+(1-EXP(-LN(2)/2))/(LN(2)/2)*BL140*BO140*VLOOKUP('Données projet'!$B$11,Paramètres!$A$1:$I$89,3,0)*0.475*44/12</f>
        <v>2.9346806396604668E-16</v>
      </c>
      <c r="BS140" s="22">
        <f t="shared" si="117"/>
        <v>1.4563450484214251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497</v>
      </c>
      <c r="BZ140" s="13">
        <f>BY140*VLOOKUP('Données projet'!$B$12,Paramètres!$A$1:$I$89,3,0)*VLOOKUP('Données projet'!$B$12,Paramètres!$A$1:$I$89,5,0)</f>
        <v>297.20600000000002</v>
      </c>
      <c r="CA140" s="13">
        <f t="shared" si="147"/>
        <v>70.590415164571112</v>
      </c>
      <c r="CB140" s="20">
        <f t="shared" si="118"/>
        <v>640.57875641162809</v>
      </c>
      <c r="CC140" s="59">
        <f t="shared" si="119"/>
        <v>933.91208974496135</v>
      </c>
      <c r="CD140" s="59">
        <f ca="1">AVERAGE(OFFSET($CC$3,0,0,'Données projet'!$E$12+1,1))-AVERAGE(OFFSET($H$3,0,0,'Données projet'!$E$12+1,1))</f>
        <v>270.30888762640245</v>
      </c>
      <c r="CE140" s="59">
        <f t="shared" si="148"/>
        <v>202.23783851977691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0.25733662661077689</v>
      </c>
      <c r="CL140" s="21">
        <f>EXP(-LN(2)/25)*CL139+(1-EXP(-LN(2)/25))/(LN(2)/25)*Calculateur!CG140*Calculateur!CI140*VLOOKUP('Données projet'!$B$12,Paramètres!$A$1:$I$89,3,0)*0.475*44/12</f>
        <v>0.63288893788077105</v>
      </c>
      <c r="CM140" s="21">
        <f>EXP(-LN(2)/2)*CM139+(1-EXP(-LN(2)/2))/(LN(2)/2)*CG140*CJ140*VLOOKUP('Données projet'!$B$12,Paramètres!$A$1:$I$89,3,0)*0.475*44/12</f>
        <v>1.4517552641497864E-15</v>
      </c>
      <c r="CN140" s="22">
        <f t="shared" si="120"/>
        <v>0.89022556449154944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-5.1159076974727213E-13</v>
      </c>
      <c r="CU140" s="17">
        <f>CT140*VLOOKUP('Données projet'!$B$13,Paramètres!$A$1:$I$89,3,0)*VLOOKUP('Données projet'!$B$13,Paramètres!$A$1:$I$89,5,0)</f>
        <v>-4.0702161641092972E-13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260.20517190557814</v>
      </c>
      <c r="CZ140" s="59">
        <f t="shared" si="150"/>
        <v>307.22009971147133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0.39203432464593507</v>
      </c>
      <c r="DG140" s="21">
        <f>EXP(-LN(2)/25)*DG139+(1-EXP(-LN(2)/25))/(LN(2)/25)*Calculateur!DB140*Calculateur!DD140*VLOOKUP('Données projet'!$B$13,Paramètres!$A$1:$I$89,3,0)*0.475*44/12</f>
        <v>1.0562350301276267</v>
      </c>
      <c r="DH140" s="21">
        <f>EXP(-LN(2)/2)*DH139+(1-EXP(-LN(2)/2))/(LN(2)/2)*DB140*DE140*VLOOKUP('Données projet'!$B$13,Paramètres!$A$1:$I$89,3,0)*0.475*44/12</f>
        <v>1.8871753197147586E-15</v>
      </c>
      <c r="DI140" s="22">
        <f t="shared" si="123"/>
        <v>1.4482693547735634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4.5474735088646412E-13</v>
      </c>
      <c r="DP140" s="17">
        <f>DO140*VLOOKUP('Données projet'!$B$14,Paramètres!$A$1:$I$89,3,0)*VLOOKUP('Données projet'!$B$14,Paramètres!$A$1:$I$89,5,0)</f>
        <v>4.6111381379887462E-13</v>
      </c>
      <c r="DQ140" s="13">
        <f t="shared" si="151"/>
        <v>5.7981965206434308E-12</v>
      </c>
      <c r="DR140" s="20">
        <f t="shared" si="124"/>
        <v>1.0901632165820347E-11</v>
      </c>
      <c r="DS140" s="59">
        <f t="shared" si="125"/>
        <v>293.33333333334423</v>
      </c>
      <c r="DT140" s="59">
        <f ca="1">AVERAGE(OFFSET($DS$3,0,0,'Données projet'!$E$14+1,1))-AVERAGE(OFFSET($H$3,0,0,'Données projet'!$E$14+1,1))</f>
        <v>263.15518481854753</v>
      </c>
      <c r="DU140" s="59">
        <f t="shared" si="152"/>
        <v>210.80755370263819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0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-5.1159076974727213E-13</v>
      </c>
      <c r="EK140" s="17">
        <f>EJ140*VLOOKUP('Données projet'!$B$15,Paramètres!$A$1:$I$89,3,0)*VLOOKUP('Données projet'!$B$15,Paramètres!$A$1:$I$89,5,0)</f>
        <v>-3.4317508834647017E-13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207.93042467236967</v>
      </c>
      <c r="EP140" s="59">
        <f t="shared" si="154"/>
        <v>250.70954318710835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0.3305387443093174</v>
      </c>
      <c r="EW140" s="21">
        <f>EXP(-LN(2)/25)*EW139+(1-EXP(-LN(2)/25))/(LN(2)/25)*Calculateur!ER140*Calculateur!ET140*VLOOKUP('Données projet'!$B$15,Paramètres!$A$1:$I$89,3,0)*0.475*44/12</f>
        <v>0.89055110383309843</v>
      </c>
      <c r="EX140" s="21">
        <f>EXP(-LN(2)/2)*EX139+(1-EXP(-LN(2)/2))/(LN(2)/2)*ER140*EU140*VLOOKUP('Données projet'!$B$15,Paramètres!$A$1:$I$89,3,0)*0.475*44/12</f>
        <v>1.5911478185830317E-15</v>
      </c>
      <c r="EY140" s="22">
        <f t="shared" si="129"/>
        <v>1.2210898481424175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4.5474735088646412E-13</v>
      </c>
      <c r="FF140" s="17">
        <f>FE140*VLOOKUP('Données projet'!$B$16,Paramètres!$A$1:$I$89,3,0)*VLOOKUP('Données projet'!$B$16,Paramètres!$A$1:$I$89,5,0)</f>
        <v>4.8949004849418999E-13</v>
      </c>
      <c r="FG140" s="13">
        <f t="shared" si="155"/>
        <v>6.1123715499968684E-12</v>
      </c>
      <c r="FH140" s="20">
        <f t="shared" si="130"/>
        <v>1.1498242284038591E-11</v>
      </c>
      <c r="FI140" s="59">
        <f t="shared" si="131"/>
        <v>293.3333333333448</v>
      </c>
      <c r="FJ140" s="59">
        <f ca="1">AVERAGE(OFFSET($FI$3,0,0,'Données projet'!$E$16+1,1))-AVERAGE(OFFSET($H$3,0,0,'Données projet'!$E$16+1,1))</f>
        <v>286.77702855541287</v>
      </c>
      <c r="FK140" s="59">
        <f t="shared" si="156"/>
        <v>227.12211541860779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0</v>
      </c>
      <c r="FR140" s="21">
        <f>EXP(-LN(2)/25)*FR139+(1-EXP(-LN(2)/25))/(LN(2)/25)*Calculateur!FM140*Calculateur!FO140*VLOOKUP('Données projet'!$B$16,Paramètres!$A$1:$I$89,3,0)*0.475*44/12</f>
        <v>0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0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5.6843418860808015E-13</v>
      </c>
      <c r="GA140" s="17">
        <f>FZ140*VLOOKUP('Données projet'!$B$17,Paramètres!$A$1:$I$89,3,0)*VLOOKUP('Données projet'!$B$17,Paramètres!$A$1:$I$89,5,0)</f>
        <v>2.6602720026858149E-13</v>
      </c>
      <c r="GB140" s="13">
        <f t="shared" si="157"/>
        <v>3.5662905043956649E-12</v>
      </c>
      <c r="GC140" s="20">
        <f t="shared" si="133"/>
        <v>6.6746200022902298E-12</v>
      </c>
      <c r="GD140" s="59">
        <f t="shared" si="134"/>
        <v>293.33333333333997</v>
      </c>
      <c r="GE140" s="59">
        <f ca="1">AVERAGE(OFFSET($GD$3,0,0,'Données projet'!$E$17+1,1))-AVERAGE(OFFSET($H$3,0,0,'Données projet'!$E$17+1,1))</f>
        <v>123.2823358462245</v>
      </c>
      <c r="GF140" s="59">
        <f t="shared" si="158"/>
        <v>92.75115399786057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0</v>
      </c>
      <c r="GM140" s="21">
        <f>EXP(-LN(2)/25)*GM139+(1-EXP(-LN(2)/25))/(LN(2)/25)*Calculateur!GH140*Calculateur!GJ140*VLOOKUP('Données projet'!$B$17,Paramètres!$A$1:$I$89,3,0)*0.475*44/12</f>
        <v>0</v>
      </c>
      <c r="GN140" s="21">
        <f>EXP(-LN(2)/2)*GN139+(1-EXP(-LN(2)/2))/(LN(2)/2)*GH140*GK140*VLOOKUP('Données projet'!$B$17,Paramètres!$A$1:$I$89,3,0)*0.475*44/12</f>
        <v>0</v>
      </c>
      <c r="GO140" s="21">
        <f t="shared" si="135"/>
        <v>0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-2.8421709430404007E-13</v>
      </c>
      <c r="GV140" s="17">
        <f>GU140*VLOOKUP('Données projet'!$B$18,Paramètres!$A$1:$I$89,3,0)*VLOOKUP('Données projet'!$B$18,Paramètres!$A$1:$I$89,5,0)</f>
        <v>-1.69961822393816E-13</v>
      </c>
      <c r="GW140" s="13" t="e">
        <f t="shared" si="159"/>
        <v>#NUM!</v>
      </c>
      <c r="GX140" s="20" t="e">
        <f t="shared" si="136"/>
        <v>#NUM!</v>
      </c>
      <c r="GY140" s="59" t="e">
        <f t="shared" si="137"/>
        <v>#NUM!</v>
      </c>
      <c r="GZ140" s="59">
        <f ca="1">AVERAGE(OFFSET($GY$3,0,0,'Données projet'!$E$18+1,1))-AVERAGE(OFFSET($H$3,0,0,'Données projet'!$E$18+1,1))</f>
        <v>171.96009656745713</v>
      </c>
      <c r="HA140" s="59">
        <f t="shared" si="160"/>
        <v>172.37574906747716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>
        <f>EXP(-LN(2)/35)*HG139+(1-EXP(-LN(2)/35))/(LN(2)/35)*HC140*HD140*VLOOKUP('Données projet'!$B$18,Paramètres!$A$1:$I$89,3,0)*0.475*44/12</f>
        <v>0.20040915317332894</v>
      </c>
      <c r="HH140" s="21">
        <f>EXP(-LN(2)/25)*HH139+(1-EXP(-LN(2)/25))/(LN(2)/25)*Calculateur!HC140*Calculateur!HE140*VLOOKUP('Données projet'!$B$18,Paramètres!$A$1:$I$89,3,0)*0.475*44/12</f>
        <v>1.0581585164415557</v>
      </c>
      <c r="HI140" s="21">
        <f>EXP(-LN(2)/2)*HI139+(1-EXP(-LN(2)/2))/(LN(2)/2)*HC140*HF140*VLOOKUP('Données projet'!$B$18,Paramètres!$A$1:$I$89,3,0)*0.475*44/12</f>
        <v>9.4555845195000914E-16</v>
      </c>
      <c r="HJ140" s="22">
        <f t="shared" si="138"/>
        <v>1.2585676696148855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-2.2737367544323206E-13</v>
      </c>
      <c r="O141" s="13">
        <f>N141*VLOOKUP('Données projet'!$B$9,Paramètres!$A$1:$I$89,3,0)*VLOOKUP('Données projet'!$B$9,Paramètres!$A$1:$I$89,5,0)</f>
        <v>-1.2710188457276673E-13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255.5374979188561</v>
      </c>
      <c r="T141" s="59">
        <f t="shared" si="142"/>
        <v>343.10418468620901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0.36397509013415219</v>
      </c>
      <c r="AA141" s="21">
        <f>EXP(-LN(2)/25)*AA140+(1-EXP(-LN(2)/25))/(LN(2)/25)*Calculateur!V141*Calculateur!X141*VLOOKUP('Données projet'!$B$9,Paramètres!$A$1:$I$89,3,0)*0.475*44/12</f>
        <v>0.79908017673640419</v>
      </c>
      <c r="AB141" s="21">
        <f>EXP(-LN(2)/2)*AB140+(1-EXP(-LN(2)/2))/(LN(2)/2)*V141*Y141*VLOOKUP('Données projet'!$B$9,Paramètres!$A$1:$I$89,3,0)*0.475*44/12</f>
        <v>9.3961065564477699E-17</v>
      </c>
      <c r="AC141" s="22">
        <f t="shared" si="111"/>
        <v>1.1630552668705563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3.4106051316484809E-13</v>
      </c>
      <c r="AJ141" s="13">
        <f>AI141*VLOOKUP('Données projet'!$B$10,Paramètres!$A$1:$I$89,3,0)*VLOOKUP('Données projet'!$B$10,Paramètres!$A$1:$I$89,5,0)</f>
        <v>1.5961632016114892E-13</v>
      </c>
      <c r="AK141" s="13">
        <f t="shared" si="143"/>
        <v>2.2708641912150958E-12</v>
      </c>
      <c r="AL141" s="20">
        <f t="shared" si="112"/>
        <v>4.2330868906469593E-12</v>
      </c>
      <c r="AM141" s="59">
        <f t="shared" si="113"/>
        <v>293.33333333333752</v>
      </c>
      <c r="AN141" s="59">
        <f ca="1">AVERAGE(OFFSET($AM$3,0,0,'Données projet'!$E$10+1,1))-AVERAGE(OFFSET($H$3,0,0,'Données projet'!$E$10+1,1))</f>
        <v>158.58786357608489</v>
      </c>
      <c r="AO141" s="59">
        <f t="shared" si="144"/>
        <v>163.20074068819849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0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-1.7053025658242404E-13</v>
      </c>
      <c r="BE141" s="13">
        <f>BD141*VLOOKUP('Données projet'!$B$11,Paramètres!$A$1:$I$89,3,0)*VLOOKUP('Données projet'!$B$11,Paramètres!$A$1:$I$89,5,0)</f>
        <v>-1.0197709343628959E-13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243.85350804244348</v>
      </c>
      <c r="BJ141" s="59">
        <f t="shared" si="146"/>
        <v>304.60992308960545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0.53309703659470942</v>
      </c>
      <c r="BQ141" s="21">
        <f>EXP(-LN(2)/25)*BQ140+(1-EXP(-LN(2)/25))/(LN(2)/25)*Calculateur!BL141*Calculateur!BN141*VLOOKUP('Données projet'!$B$11,Paramètres!$A$1:$I$89,3,0)*0.475*44/12</f>
        <v>0.88763052247369023</v>
      </c>
      <c r="BR141" s="21">
        <f>EXP(-LN(2)/2)*BR140+(1-EXP(-LN(2)/2))/(LN(2)/2)*BL141*BO141*VLOOKUP('Données projet'!$B$11,Paramètres!$A$1:$I$89,3,0)*0.475*44/12</f>
        <v>2.0751325809207911E-16</v>
      </c>
      <c r="BS141" s="22">
        <f t="shared" si="117"/>
        <v>1.4207275590683999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497</v>
      </c>
      <c r="BZ141" s="13">
        <f>BY141*VLOOKUP('Données projet'!$B$12,Paramètres!$A$1:$I$89,3,0)*VLOOKUP('Données projet'!$B$12,Paramètres!$A$1:$I$89,5,0)</f>
        <v>297.20600000000002</v>
      </c>
      <c r="CA141" s="13">
        <f t="shared" si="147"/>
        <v>70.590415164571112</v>
      </c>
      <c r="CB141" s="20">
        <f t="shared" si="118"/>
        <v>640.57875641162809</v>
      </c>
      <c r="CC141" s="59">
        <f t="shared" si="119"/>
        <v>933.91208974496135</v>
      </c>
      <c r="CD141" s="59">
        <f ca="1">AVERAGE(OFFSET($CC$3,0,0,'Données projet'!$E$12+1,1))-AVERAGE(OFFSET($H$3,0,0,'Données projet'!$E$12+1,1))</f>
        <v>270.30888762640245</v>
      </c>
      <c r="CE141" s="59">
        <f t="shared" si="148"/>
        <v>202.23783851977691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0.25229041232278326</v>
      </c>
      <c r="CL141" s="21">
        <f>EXP(-LN(2)/25)*CL140+(1-EXP(-LN(2)/25))/(LN(2)/25)*Calculateur!CG141*Calculateur!CI141*VLOOKUP('Données projet'!$B$12,Paramètres!$A$1:$I$89,3,0)*0.475*44/12</f>
        <v>0.61558255659223859</v>
      </c>
      <c r="CM141" s="21">
        <f>EXP(-LN(2)/2)*CM140+(1-EXP(-LN(2)/2))/(LN(2)/2)*CG141*CJ141*VLOOKUP('Données projet'!$B$12,Paramètres!$A$1:$I$89,3,0)*0.475*44/12</f>
        <v>1.0265459919035815E-15</v>
      </c>
      <c r="CN141" s="22">
        <f t="shared" si="120"/>
        <v>0.86787296891502286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-5.1159076974727213E-13</v>
      </c>
      <c r="CU141" s="17">
        <f>CT141*VLOOKUP('Données projet'!$B$13,Paramètres!$A$1:$I$89,3,0)*VLOOKUP('Données projet'!$B$13,Paramètres!$A$1:$I$89,5,0)</f>
        <v>-4.0702161641092972E-13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260.20517190557814</v>
      </c>
      <c r="CZ141" s="59">
        <f t="shared" si="150"/>
        <v>307.22009971147133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0.38434677065695544</v>
      </c>
      <c r="DG141" s="21">
        <f>EXP(-LN(2)/25)*DG140+(1-EXP(-LN(2)/25))/(LN(2)/25)*Calculateur!DB141*Calculateur!DD141*VLOOKUP('Données projet'!$B$13,Paramètres!$A$1:$I$89,3,0)*0.475*44/12</f>
        <v>1.0273522276838005</v>
      </c>
      <c r="DH141" s="21">
        <f>EXP(-LN(2)/2)*DH140+(1-EXP(-LN(2)/2))/(LN(2)/2)*DB141*DE141*VLOOKUP('Données projet'!$B$13,Paramètres!$A$1:$I$89,3,0)*0.475*44/12</f>
        <v>1.3344344658581967E-15</v>
      </c>
      <c r="DI141" s="22">
        <f t="shared" si="123"/>
        <v>1.4116989983407573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4.5474735088646412E-13</v>
      </c>
      <c r="DP141" s="17">
        <f>DO141*VLOOKUP('Données projet'!$B$14,Paramètres!$A$1:$I$89,3,0)*VLOOKUP('Données projet'!$B$14,Paramètres!$A$1:$I$89,5,0)</f>
        <v>4.6111381379887462E-13</v>
      </c>
      <c r="DQ141" s="13">
        <f t="shared" si="151"/>
        <v>5.7981965206434308E-12</v>
      </c>
      <c r="DR141" s="20">
        <f t="shared" si="124"/>
        <v>1.0901632165820347E-11</v>
      </c>
      <c r="DS141" s="59">
        <f t="shared" si="125"/>
        <v>293.33333333334423</v>
      </c>
      <c r="DT141" s="59">
        <f ca="1">AVERAGE(OFFSET($DS$3,0,0,'Données projet'!$E$14+1,1))-AVERAGE(OFFSET($H$3,0,0,'Données projet'!$E$14+1,1))</f>
        <v>263.15518481854753</v>
      </c>
      <c r="DU141" s="59">
        <f t="shared" si="152"/>
        <v>210.80755370263819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0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-5.1159076974727213E-13</v>
      </c>
      <c r="EK141" s="17">
        <f>EJ141*VLOOKUP('Données projet'!$B$15,Paramètres!$A$1:$I$89,3,0)*VLOOKUP('Données projet'!$B$15,Paramètres!$A$1:$I$89,5,0)</f>
        <v>-3.4317508834647017E-13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207.93042467236967</v>
      </c>
      <c r="EP141" s="59">
        <f t="shared" si="154"/>
        <v>250.70954318710835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0.32405708114213849</v>
      </c>
      <c r="EW141" s="21">
        <f>EXP(-LN(2)/25)*EW140+(1-EXP(-LN(2)/25))/(LN(2)/25)*Calculateur!ER141*Calculateur!ET141*VLOOKUP('Données projet'!$B$15,Paramètres!$A$1:$I$89,3,0)*0.475*44/12</f>
        <v>0.86619893706673523</v>
      </c>
      <c r="EX141" s="21">
        <f>EXP(-LN(2)/2)*EX140+(1-EXP(-LN(2)/2))/(LN(2)/2)*ER141*EU141*VLOOKUP('Données projet'!$B$15,Paramètres!$A$1:$I$89,3,0)*0.475*44/12</f>
        <v>1.1251114123902442E-15</v>
      </c>
      <c r="EY141" s="22">
        <f t="shared" si="129"/>
        <v>1.1902560182088748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4.5474735088646412E-13</v>
      </c>
      <c r="FF141" s="17">
        <f>FE141*VLOOKUP('Données projet'!$B$16,Paramètres!$A$1:$I$89,3,0)*VLOOKUP('Données projet'!$B$16,Paramètres!$A$1:$I$89,5,0)</f>
        <v>4.8949004849418999E-13</v>
      </c>
      <c r="FG141" s="13">
        <f t="shared" si="155"/>
        <v>6.1123715499968684E-12</v>
      </c>
      <c r="FH141" s="20">
        <f t="shared" si="130"/>
        <v>1.1498242284038591E-11</v>
      </c>
      <c r="FI141" s="59">
        <f t="shared" si="131"/>
        <v>293.3333333333448</v>
      </c>
      <c r="FJ141" s="59">
        <f ca="1">AVERAGE(OFFSET($FI$3,0,0,'Données projet'!$E$16+1,1))-AVERAGE(OFFSET($H$3,0,0,'Données projet'!$E$16+1,1))</f>
        <v>286.77702855541287</v>
      </c>
      <c r="FK141" s="59">
        <f t="shared" si="156"/>
        <v>227.12211541860779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0</v>
      </c>
      <c r="FR141" s="21">
        <f>EXP(-LN(2)/25)*FR140+(1-EXP(-LN(2)/25))/(LN(2)/25)*Calculateur!FM141*Calculateur!FO141*VLOOKUP('Données projet'!$B$16,Paramètres!$A$1:$I$89,3,0)*0.475*44/12</f>
        <v>0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0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5.6843418860808015E-13</v>
      </c>
      <c r="GA141" s="17">
        <f>FZ141*VLOOKUP('Données projet'!$B$17,Paramètres!$A$1:$I$89,3,0)*VLOOKUP('Données projet'!$B$17,Paramètres!$A$1:$I$89,5,0)</f>
        <v>2.6602720026858149E-13</v>
      </c>
      <c r="GB141" s="13">
        <f t="shared" si="157"/>
        <v>3.5662905043956649E-12</v>
      </c>
      <c r="GC141" s="20">
        <f t="shared" si="133"/>
        <v>6.6746200022902298E-12</v>
      </c>
      <c r="GD141" s="59">
        <f t="shared" si="134"/>
        <v>293.33333333333997</v>
      </c>
      <c r="GE141" s="59">
        <f ca="1">AVERAGE(OFFSET($GD$3,0,0,'Données projet'!$E$17+1,1))-AVERAGE(OFFSET($H$3,0,0,'Données projet'!$E$17+1,1))</f>
        <v>123.2823358462245</v>
      </c>
      <c r="GF141" s="59">
        <f t="shared" si="158"/>
        <v>92.75115399786057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0</v>
      </c>
      <c r="GM141" s="21">
        <f>EXP(-LN(2)/25)*GM140+(1-EXP(-LN(2)/25))/(LN(2)/25)*Calculateur!GH141*Calculateur!GJ141*VLOOKUP('Données projet'!$B$17,Paramètres!$A$1:$I$89,3,0)*0.475*44/12</f>
        <v>0</v>
      </c>
      <c r="GN141" s="21">
        <f>EXP(-LN(2)/2)*GN140+(1-EXP(-LN(2)/2))/(LN(2)/2)*GH141*GK141*VLOOKUP('Données projet'!$B$17,Paramètres!$A$1:$I$89,3,0)*0.475*44/12</f>
        <v>0</v>
      </c>
      <c r="GO141" s="21">
        <f t="shared" si="135"/>
        <v>0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-2.8421709430404007E-13</v>
      </c>
      <c r="GV141" s="17">
        <f>GU141*VLOOKUP('Données projet'!$B$18,Paramètres!$A$1:$I$89,3,0)*VLOOKUP('Données projet'!$B$18,Paramètres!$A$1:$I$89,5,0)</f>
        <v>-1.69961822393816E-13</v>
      </c>
      <c r="GW141" s="13" t="e">
        <f t="shared" si="159"/>
        <v>#NUM!</v>
      </c>
      <c r="GX141" s="20" t="e">
        <f t="shared" si="136"/>
        <v>#NUM!</v>
      </c>
      <c r="GY141" s="59" t="e">
        <f t="shared" si="137"/>
        <v>#NUM!</v>
      </c>
      <c r="GZ141" s="59">
        <f ca="1">AVERAGE(OFFSET($GY$3,0,0,'Données projet'!$E$18+1,1))-AVERAGE(OFFSET($H$3,0,0,'Données projet'!$E$18+1,1))</f>
        <v>171.96009656745713</v>
      </c>
      <c r="HA141" s="59">
        <f t="shared" si="160"/>
        <v>172.37574906747716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>
        <f>EXP(-LN(2)/35)*HG140+(1-EXP(-LN(2)/35))/(LN(2)/35)*HC141*HD141*VLOOKUP('Données projet'!$B$18,Paramètres!$A$1:$I$89,3,0)*0.475*44/12</f>
        <v>0.19647925191711343</v>
      </c>
      <c r="HH141" s="21">
        <f>EXP(-LN(2)/25)*HH140+(1-EXP(-LN(2)/25))/(LN(2)/25)*Calculateur!HC141*Calculateur!HE141*VLOOKUP('Données projet'!$B$18,Paramètres!$A$1:$I$89,3,0)*0.475*44/12</f>
        <v>1.0292231161633234</v>
      </c>
      <c r="HI141" s="21">
        <f>EXP(-LN(2)/2)*HI140+(1-EXP(-LN(2)/2))/(LN(2)/2)*HC141*HF141*VLOOKUP('Données projet'!$B$18,Paramètres!$A$1:$I$89,3,0)*0.475*44/12</f>
        <v>6.6861079338210573E-16</v>
      </c>
      <c r="HJ141" s="22">
        <f t="shared" si="138"/>
        <v>1.2257023680804375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-2.2737367544323206E-13</v>
      </c>
      <c r="O142" s="13">
        <f>N142*VLOOKUP('Données projet'!$B$9,Paramètres!$A$1:$I$89,3,0)*VLOOKUP('Données projet'!$B$9,Paramètres!$A$1:$I$89,5,0)</f>
        <v>-1.2710188457276673E-13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255.5374979188561</v>
      </c>
      <c r="T142" s="59">
        <f t="shared" si="142"/>
        <v>343.10418468620901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0.35683776061950551</v>
      </c>
      <c r="AA142" s="21">
        <f>EXP(-LN(2)/25)*AA141+(1-EXP(-LN(2)/25))/(LN(2)/25)*Calculateur!V142*Calculateur!X142*VLOOKUP('Données projet'!$B$9,Paramètres!$A$1:$I$89,3,0)*0.475*44/12</f>
        <v>0.77722928728174701</v>
      </c>
      <c r="AB142" s="21">
        <f>EXP(-LN(2)/2)*AB141+(1-EXP(-LN(2)/2))/(LN(2)/2)*V142*Y142*VLOOKUP('Données projet'!$B$9,Paramètres!$A$1:$I$89,3,0)*0.475*44/12</f>
        <v>6.6440506628155977E-17</v>
      </c>
      <c r="AC142" s="22">
        <f t="shared" si="111"/>
        <v>1.1340670479012525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3.4106051316484809E-13</v>
      </c>
      <c r="AJ142" s="13">
        <f>AI142*VLOOKUP('Données projet'!$B$10,Paramètres!$A$1:$I$89,3,0)*VLOOKUP('Données projet'!$B$10,Paramètres!$A$1:$I$89,5,0)</f>
        <v>1.5961632016114892E-13</v>
      </c>
      <c r="AK142" s="13">
        <f t="shared" si="143"/>
        <v>2.2708641912150958E-12</v>
      </c>
      <c r="AL142" s="20">
        <f t="shared" si="112"/>
        <v>4.2330868906469593E-12</v>
      </c>
      <c r="AM142" s="59">
        <f t="shared" si="113"/>
        <v>293.33333333333752</v>
      </c>
      <c r="AN142" s="59">
        <f ca="1">AVERAGE(OFFSET($AM$3,0,0,'Données projet'!$E$10+1,1))-AVERAGE(OFFSET($H$3,0,0,'Données projet'!$E$10+1,1))</f>
        <v>158.58786357608489</v>
      </c>
      <c r="AO142" s="59">
        <f t="shared" si="144"/>
        <v>163.20074068819849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0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-1.7053025658242404E-13</v>
      </c>
      <c r="BE142" s="13">
        <f>BD142*VLOOKUP('Données projet'!$B$11,Paramètres!$A$1:$I$89,3,0)*VLOOKUP('Données projet'!$B$11,Paramètres!$A$1:$I$89,5,0)</f>
        <v>-1.0197709343628959E-13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243.85350804244348</v>
      </c>
      <c r="BJ142" s="59">
        <f t="shared" si="146"/>
        <v>304.60992308960545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0.52264332886417286</v>
      </c>
      <c r="BQ142" s="21">
        <f>EXP(-LN(2)/25)*BQ141+(1-EXP(-LN(2)/25))/(LN(2)/25)*Calculateur!BL142*Calculateur!BN142*VLOOKUP('Données projet'!$B$11,Paramètres!$A$1:$I$89,3,0)*0.475*44/12</f>
        <v>0.86335821915818667</v>
      </c>
      <c r="BR142" s="21">
        <f>EXP(-LN(2)/2)*BR141+(1-EXP(-LN(2)/2))/(LN(2)/2)*BL142*BO142*VLOOKUP('Données projet'!$B$11,Paramètres!$A$1:$I$89,3,0)*0.475*44/12</f>
        <v>1.4673403198302334E-16</v>
      </c>
      <c r="BS142" s="22">
        <f t="shared" si="117"/>
        <v>1.3860015480223598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497</v>
      </c>
      <c r="BZ142" s="13">
        <f>BY142*VLOOKUP('Données projet'!$B$12,Paramètres!$A$1:$I$89,3,0)*VLOOKUP('Données projet'!$B$12,Paramètres!$A$1:$I$89,5,0)</f>
        <v>297.20600000000002</v>
      </c>
      <c r="CA142" s="13">
        <f t="shared" si="147"/>
        <v>70.590415164571112</v>
      </c>
      <c r="CB142" s="20">
        <f t="shared" si="118"/>
        <v>640.57875641162809</v>
      </c>
      <c r="CC142" s="59">
        <f t="shared" si="119"/>
        <v>933.91208974496135</v>
      </c>
      <c r="CD142" s="59">
        <f ca="1">AVERAGE(OFFSET($CC$3,0,0,'Données projet'!$E$12+1,1))-AVERAGE(OFFSET($H$3,0,0,'Données projet'!$E$12+1,1))</f>
        <v>270.30888762640245</v>
      </c>
      <c r="CE142" s="59">
        <f t="shared" si="148"/>
        <v>202.23783851977691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0.24734315121909042</v>
      </c>
      <c r="CL142" s="21">
        <f>EXP(-LN(2)/25)*CL141+(1-EXP(-LN(2)/25))/(LN(2)/25)*Calculateur!CG142*Calculateur!CI142*VLOOKUP('Données projet'!$B$12,Paramètres!$A$1:$I$89,3,0)*0.475*44/12</f>
        <v>0.59874941921014413</v>
      </c>
      <c r="CM142" s="21">
        <f>EXP(-LN(2)/2)*CM141+(1-EXP(-LN(2)/2))/(LN(2)/2)*CG142*CJ142*VLOOKUP('Données projet'!$B$12,Paramètres!$A$1:$I$89,3,0)*0.475*44/12</f>
        <v>7.2587763207489322E-16</v>
      </c>
      <c r="CN142" s="22">
        <f t="shared" si="120"/>
        <v>0.84609257042923536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-5.1159076974727213E-13</v>
      </c>
      <c r="CU142" s="17">
        <f>CT142*VLOOKUP('Données projet'!$B$13,Paramètres!$A$1:$I$89,3,0)*VLOOKUP('Données projet'!$B$13,Paramètres!$A$1:$I$89,5,0)</f>
        <v>-4.0702161641092972E-13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260.20517190557814</v>
      </c>
      <c r="CZ142" s="59">
        <f t="shared" si="150"/>
        <v>307.22009971147133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0.37680996491275476</v>
      </c>
      <c r="DG142" s="21">
        <f>EXP(-LN(2)/25)*DG141+(1-EXP(-LN(2)/25))/(LN(2)/25)*Calculateur!DB142*Calculateur!DD142*VLOOKUP('Données projet'!$B$13,Paramètres!$A$1:$I$89,3,0)*0.475*44/12</f>
        <v>0.99925922699168135</v>
      </c>
      <c r="DH142" s="21">
        <f>EXP(-LN(2)/2)*DH141+(1-EXP(-LN(2)/2))/(LN(2)/2)*DB142*DE142*VLOOKUP('Données projet'!$B$13,Paramètres!$A$1:$I$89,3,0)*0.475*44/12</f>
        <v>9.4358765985737932E-16</v>
      </c>
      <c r="DI142" s="22">
        <f t="shared" si="123"/>
        <v>1.376069191904437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4.5474735088646412E-13</v>
      </c>
      <c r="DP142" s="17">
        <f>DO142*VLOOKUP('Données projet'!$B$14,Paramètres!$A$1:$I$89,3,0)*VLOOKUP('Données projet'!$B$14,Paramètres!$A$1:$I$89,5,0)</f>
        <v>4.6111381379887462E-13</v>
      </c>
      <c r="DQ142" s="13">
        <f t="shared" si="151"/>
        <v>5.7981965206434308E-12</v>
      </c>
      <c r="DR142" s="20">
        <f t="shared" si="124"/>
        <v>1.0901632165820347E-11</v>
      </c>
      <c r="DS142" s="59">
        <f t="shared" si="125"/>
        <v>293.33333333334423</v>
      </c>
      <c r="DT142" s="59">
        <f ca="1">AVERAGE(OFFSET($DS$3,0,0,'Données projet'!$E$14+1,1))-AVERAGE(OFFSET($H$3,0,0,'Données projet'!$E$14+1,1))</f>
        <v>263.15518481854753</v>
      </c>
      <c r="DU142" s="59">
        <f t="shared" si="152"/>
        <v>210.80755370263819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0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-5.1159076974727213E-13</v>
      </c>
      <c r="EK142" s="17">
        <f>EJ142*VLOOKUP('Données projet'!$B$15,Paramètres!$A$1:$I$89,3,0)*VLOOKUP('Données projet'!$B$15,Paramètres!$A$1:$I$89,5,0)</f>
        <v>-3.4317508834647017E-13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207.93042467236967</v>
      </c>
      <c r="EP142" s="59">
        <f t="shared" si="154"/>
        <v>250.70954318710835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0.31770251943624384</v>
      </c>
      <c r="EW142" s="21">
        <f>EXP(-LN(2)/25)*EW141+(1-EXP(-LN(2)/25))/(LN(2)/25)*Calculateur!ER142*Calculateur!ET142*VLOOKUP('Données projet'!$B$15,Paramètres!$A$1:$I$89,3,0)*0.475*44/12</f>
        <v>0.84251268158122294</v>
      </c>
      <c r="EX142" s="21">
        <f>EXP(-LN(2)/2)*EX141+(1-EXP(-LN(2)/2))/(LN(2)/2)*ER142*EU142*VLOOKUP('Données projet'!$B$15,Paramètres!$A$1:$I$89,3,0)*0.475*44/12</f>
        <v>7.9557390929151585E-16</v>
      </c>
      <c r="EY142" s="22">
        <f t="shared" si="129"/>
        <v>1.1602152010174676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4.5474735088646412E-13</v>
      </c>
      <c r="FF142" s="17">
        <f>FE142*VLOOKUP('Données projet'!$B$16,Paramètres!$A$1:$I$89,3,0)*VLOOKUP('Données projet'!$B$16,Paramètres!$A$1:$I$89,5,0)</f>
        <v>4.8949004849418999E-13</v>
      </c>
      <c r="FG142" s="13">
        <f t="shared" si="155"/>
        <v>6.1123715499968684E-12</v>
      </c>
      <c r="FH142" s="20">
        <f t="shared" si="130"/>
        <v>1.1498242284038591E-11</v>
      </c>
      <c r="FI142" s="59">
        <f t="shared" si="131"/>
        <v>293.3333333333448</v>
      </c>
      <c r="FJ142" s="59">
        <f ca="1">AVERAGE(OFFSET($FI$3,0,0,'Données projet'!$E$16+1,1))-AVERAGE(OFFSET($H$3,0,0,'Données projet'!$E$16+1,1))</f>
        <v>286.77702855541287</v>
      </c>
      <c r="FK142" s="59">
        <f t="shared" si="156"/>
        <v>227.12211541860779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0</v>
      </c>
      <c r="FR142" s="21">
        <f>EXP(-LN(2)/25)*FR141+(1-EXP(-LN(2)/25))/(LN(2)/25)*Calculateur!FM142*Calculateur!FO142*VLOOKUP('Données projet'!$B$16,Paramètres!$A$1:$I$89,3,0)*0.475*44/12</f>
        <v>0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0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5.6843418860808015E-13</v>
      </c>
      <c r="GA142" s="17">
        <f>FZ142*VLOOKUP('Données projet'!$B$17,Paramètres!$A$1:$I$89,3,0)*VLOOKUP('Données projet'!$B$17,Paramètres!$A$1:$I$89,5,0)</f>
        <v>2.6602720026858149E-13</v>
      </c>
      <c r="GB142" s="13">
        <f t="shared" si="157"/>
        <v>3.5662905043956649E-12</v>
      </c>
      <c r="GC142" s="20">
        <f t="shared" si="133"/>
        <v>6.6746200022902298E-12</v>
      </c>
      <c r="GD142" s="59">
        <f t="shared" si="134"/>
        <v>293.33333333333997</v>
      </c>
      <c r="GE142" s="59">
        <f ca="1">AVERAGE(OFFSET($GD$3,0,0,'Données projet'!$E$17+1,1))-AVERAGE(OFFSET($H$3,0,0,'Données projet'!$E$17+1,1))</f>
        <v>123.2823358462245</v>
      </c>
      <c r="GF142" s="59">
        <f t="shared" si="158"/>
        <v>92.75115399786057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0</v>
      </c>
      <c r="GM142" s="21">
        <f>EXP(-LN(2)/25)*GM141+(1-EXP(-LN(2)/25))/(LN(2)/25)*Calculateur!GH142*Calculateur!GJ142*VLOOKUP('Données projet'!$B$17,Paramètres!$A$1:$I$89,3,0)*0.475*44/12</f>
        <v>0</v>
      </c>
      <c r="GN142" s="21">
        <f>EXP(-LN(2)/2)*GN141+(1-EXP(-LN(2)/2))/(LN(2)/2)*GH142*GK142*VLOOKUP('Données projet'!$B$17,Paramètres!$A$1:$I$89,3,0)*0.475*44/12</f>
        <v>0</v>
      </c>
      <c r="GO142" s="21">
        <f t="shared" si="135"/>
        <v>0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-2.8421709430404007E-13</v>
      </c>
      <c r="GV142" s="17">
        <f>GU142*VLOOKUP('Données projet'!$B$18,Paramètres!$A$1:$I$89,3,0)*VLOOKUP('Données projet'!$B$18,Paramètres!$A$1:$I$89,5,0)</f>
        <v>-1.69961822393816E-13</v>
      </c>
      <c r="GW142" s="13" t="e">
        <f t="shared" si="159"/>
        <v>#NUM!</v>
      </c>
      <c r="GX142" s="20" t="e">
        <f t="shared" si="136"/>
        <v>#NUM!</v>
      </c>
      <c r="GY142" s="59" t="e">
        <f t="shared" si="137"/>
        <v>#NUM!</v>
      </c>
      <c r="GZ142" s="59">
        <f ca="1">AVERAGE(OFFSET($GY$3,0,0,'Données projet'!$E$18+1,1))-AVERAGE(OFFSET($H$3,0,0,'Données projet'!$E$18+1,1))</f>
        <v>171.96009656745713</v>
      </c>
      <c r="HA142" s="59">
        <f t="shared" si="160"/>
        <v>172.37574906747716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>
        <f>EXP(-LN(2)/35)*HG141+(1-EXP(-LN(2)/35))/(LN(2)/35)*HC142*HD142*VLOOKUP('Données projet'!$B$18,Paramètres!$A$1:$I$89,3,0)*0.475*44/12</f>
        <v>0.19262641362752925</v>
      </c>
      <c r="HH142" s="21">
        <f>EXP(-LN(2)/25)*HH141+(1-EXP(-LN(2)/25))/(LN(2)/25)*Calculateur!HC142*Calculateur!HE142*VLOOKUP('Données projet'!$B$18,Paramètres!$A$1:$I$89,3,0)*0.475*44/12</f>
        <v>1.0010789559273459</v>
      </c>
      <c r="HI142" s="21">
        <f>EXP(-LN(2)/2)*HI141+(1-EXP(-LN(2)/2))/(LN(2)/2)*HC142*HF142*VLOOKUP('Données projet'!$B$18,Paramètres!$A$1:$I$89,3,0)*0.475*44/12</f>
        <v>4.7277922597500457E-16</v>
      </c>
      <c r="HJ142" s="22">
        <f t="shared" si="138"/>
        <v>1.1937053695548756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-2.2737367544323206E-13</v>
      </c>
      <c r="O143" s="13">
        <f>N143*VLOOKUP('Données projet'!$B$9,Paramètres!$A$1:$I$89,3,0)*VLOOKUP('Données projet'!$B$9,Paramètres!$A$1:$I$89,5,0)</f>
        <v>-1.2710188457276673E-13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255.5374979188561</v>
      </c>
      <c r="T143" s="59">
        <f t="shared" si="142"/>
        <v>343.10418468620901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0.3498403897832999</v>
      </c>
      <c r="AA143" s="21">
        <f>EXP(-LN(2)/25)*AA142+(1-EXP(-LN(2)/25))/(LN(2)/25)*Calculateur!V143*Calculateur!X143*VLOOKUP('Données projet'!$B$9,Paramètres!$A$1:$I$89,3,0)*0.475*44/12</f>
        <v>0.75597591154831578</v>
      </c>
      <c r="AB143" s="21">
        <f>EXP(-LN(2)/2)*AB142+(1-EXP(-LN(2)/2))/(LN(2)/2)*V143*Y143*VLOOKUP('Données projet'!$B$9,Paramètres!$A$1:$I$89,3,0)*0.475*44/12</f>
        <v>4.698053278223885E-17</v>
      </c>
      <c r="AC143" s="22">
        <f t="shared" si="111"/>
        <v>1.1058163013316156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3.4106051316484809E-13</v>
      </c>
      <c r="AJ143" s="13">
        <f>AI143*VLOOKUP('Données projet'!$B$10,Paramètres!$A$1:$I$89,3,0)*VLOOKUP('Données projet'!$B$10,Paramètres!$A$1:$I$89,5,0)</f>
        <v>1.5961632016114892E-13</v>
      </c>
      <c r="AK143" s="13">
        <f t="shared" si="143"/>
        <v>2.2708641912150958E-12</v>
      </c>
      <c r="AL143" s="20">
        <f t="shared" si="112"/>
        <v>4.2330868906469593E-12</v>
      </c>
      <c r="AM143" s="59">
        <f t="shared" si="113"/>
        <v>293.33333333333752</v>
      </c>
      <c r="AN143" s="59">
        <f ca="1">AVERAGE(OFFSET($AM$3,0,0,'Données projet'!$E$10+1,1))-AVERAGE(OFFSET($H$3,0,0,'Données projet'!$E$10+1,1))</f>
        <v>158.58786357608489</v>
      </c>
      <c r="AO143" s="59">
        <f t="shared" si="144"/>
        <v>163.20074068819849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0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-1.7053025658242404E-13</v>
      </c>
      <c r="BE143" s="13">
        <f>BD143*VLOOKUP('Données projet'!$B$11,Paramètres!$A$1:$I$89,3,0)*VLOOKUP('Données projet'!$B$11,Paramètres!$A$1:$I$89,5,0)</f>
        <v>-1.0197709343628959E-13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243.85350804244348</v>
      </c>
      <c r="BJ143" s="59">
        <f t="shared" si="146"/>
        <v>304.60992308960545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0.51239461196610003</v>
      </c>
      <c r="BQ143" s="21">
        <f>EXP(-LN(2)/25)*BQ142+(1-EXP(-LN(2)/25))/(LN(2)/25)*Calculateur!BL143*Calculateur!BN143*VLOOKUP('Données projet'!$B$11,Paramètres!$A$1:$I$89,3,0)*0.475*44/12</f>
        <v>0.83974964325327051</v>
      </c>
      <c r="BR143" s="21">
        <f>EXP(-LN(2)/2)*BR142+(1-EXP(-LN(2)/2))/(LN(2)/2)*BL143*BO143*VLOOKUP('Données projet'!$B$11,Paramètres!$A$1:$I$89,3,0)*0.475*44/12</f>
        <v>1.0375662904603955E-16</v>
      </c>
      <c r="BS143" s="22">
        <f t="shared" si="117"/>
        <v>1.3521442552193705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497</v>
      </c>
      <c r="BZ143" s="13">
        <f>BY143*VLOOKUP('Données projet'!$B$12,Paramètres!$A$1:$I$89,3,0)*VLOOKUP('Données projet'!$B$12,Paramètres!$A$1:$I$89,5,0)</f>
        <v>297.20600000000002</v>
      </c>
      <c r="CA143" s="13">
        <f t="shared" si="147"/>
        <v>70.590415164571112</v>
      </c>
      <c r="CB143" s="20">
        <f t="shared" si="118"/>
        <v>640.57875641162809</v>
      </c>
      <c r="CC143" s="59">
        <f t="shared" si="119"/>
        <v>933.91208974496135</v>
      </c>
      <c r="CD143" s="59">
        <f ca="1">AVERAGE(OFFSET($CC$3,0,0,'Données projet'!$E$12+1,1))-AVERAGE(OFFSET($H$3,0,0,'Données projet'!$E$12+1,1))</f>
        <v>270.30888762640245</v>
      </c>
      <c r="CE143" s="59">
        <f t="shared" si="148"/>
        <v>202.23783851977691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0.24249290288810968</v>
      </c>
      <c r="CL143" s="21">
        <f>EXP(-LN(2)/25)*CL142+(1-EXP(-LN(2)/25))/(LN(2)/25)*Calculateur!CG143*Calculateur!CI143*VLOOKUP('Données projet'!$B$12,Paramètres!$A$1:$I$89,3,0)*0.475*44/12</f>
        <v>0.58237658485497923</v>
      </c>
      <c r="CM143" s="21">
        <f>EXP(-LN(2)/2)*CM142+(1-EXP(-LN(2)/2))/(LN(2)/2)*CG143*CJ143*VLOOKUP('Données projet'!$B$12,Paramètres!$A$1:$I$89,3,0)*0.475*44/12</f>
        <v>5.1327299595179077E-16</v>
      </c>
      <c r="CN143" s="22">
        <f t="shared" si="120"/>
        <v>0.82486948774308944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-5.1159076974727213E-13</v>
      </c>
      <c r="CU143" s="17">
        <f>CT143*VLOOKUP('Données projet'!$B$13,Paramètres!$A$1:$I$89,3,0)*VLOOKUP('Données projet'!$B$13,Paramètres!$A$1:$I$89,5,0)</f>
        <v>-4.0702161641092972E-13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260.20517190557814</v>
      </c>
      <c r="CZ143" s="59">
        <f t="shared" si="150"/>
        <v>307.22009971147133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0.36942095133220026</v>
      </c>
      <c r="DG143" s="21">
        <f>EXP(-LN(2)/25)*DG142+(1-EXP(-LN(2)/25))/(LN(2)/25)*Calculateur!DB143*Calculateur!DD143*VLOOKUP('Données projet'!$B$13,Paramètres!$A$1:$I$89,3,0)*0.475*44/12</f>
        <v>0.97193443088083487</v>
      </c>
      <c r="DH143" s="21">
        <f>EXP(-LN(2)/2)*DH142+(1-EXP(-LN(2)/2))/(LN(2)/2)*DB143*DE143*VLOOKUP('Données projet'!$B$13,Paramètres!$A$1:$I$89,3,0)*0.475*44/12</f>
        <v>6.6721723292909835E-16</v>
      </c>
      <c r="DI143" s="22">
        <f t="shared" si="123"/>
        <v>1.3413553822130357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4.5474735088646412E-13</v>
      </c>
      <c r="DP143" s="17">
        <f>DO143*VLOOKUP('Données projet'!$B$14,Paramètres!$A$1:$I$89,3,0)*VLOOKUP('Données projet'!$B$14,Paramètres!$A$1:$I$89,5,0)</f>
        <v>4.6111381379887462E-13</v>
      </c>
      <c r="DQ143" s="13">
        <f t="shared" si="151"/>
        <v>5.7981965206434308E-12</v>
      </c>
      <c r="DR143" s="20">
        <f t="shared" si="124"/>
        <v>1.0901632165820347E-11</v>
      </c>
      <c r="DS143" s="59">
        <f t="shared" si="125"/>
        <v>293.33333333334423</v>
      </c>
      <c r="DT143" s="59">
        <f ca="1">AVERAGE(OFFSET($DS$3,0,0,'Données projet'!$E$14+1,1))-AVERAGE(OFFSET($H$3,0,0,'Données projet'!$E$14+1,1))</f>
        <v>263.15518481854753</v>
      </c>
      <c r="DU143" s="59">
        <f t="shared" si="152"/>
        <v>210.80755370263819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0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-5.1159076974727213E-13</v>
      </c>
      <c r="EK143" s="17">
        <f>EJ143*VLOOKUP('Données projet'!$B$15,Paramètres!$A$1:$I$89,3,0)*VLOOKUP('Données projet'!$B$15,Paramètres!$A$1:$I$89,5,0)</f>
        <v>-3.4317508834647017E-13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207.93042467236967</v>
      </c>
      <c r="EP143" s="59">
        <f t="shared" si="154"/>
        <v>250.70954318710835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0.31147256680950181</v>
      </c>
      <c r="EW143" s="21">
        <f>EXP(-LN(2)/25)*EW142+(1-EXP(-LN(2)/25))/(LN(2)/25)*Calculateur!ER143*Calculateur!ET143*VLOOKUP('Données projet'!$B$15,Paramètres!$A$1:$I$89,3,0)*0.475*44/12</f>
        <v>0.81947412799756802</v>
      </c>
      <c r="EX143" s="21">
        <f>EXP(-LN(2)/2)*EX142+(1-EXP(-LN(2)/2))/(LN(2)/2)*ER143*EU143*VLOOKUP('Données projet'!$B$15,Paramètres!$A$1:$I$89,3,0)*0.475*44/12</f>
        <v>5.625557061951221E-16</v>
      </c>
      <c r="EY143" s="22">
        <f t="shared" si="129"/>
        <v>1.1309466948070706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4.5474735088646412E-13</v>
      </c>
      <c r="FF143" s="17">
        <f>FE143*VLOOKUP('Données projet'!$B$16,Paramètres!$A$1:$I$89,3,0)*VLOOKUP('Données projet'!$B$16,Paramètres!$A$1:$I$89,5,0)</f>
        <v>4.8949004849418999E-13</v>
      </c>
      <c r="FG143" s="13">
        <f t="shared" si="155"/>
        <v>6.1123715499968684E-12</v>
      </c>
      <c r="FH143" s="20">
        <f t="shared" si="130"/>
        <v>1.1498242284038591E-11</v>
      </c>
      <c r="FI143" s="59">
        <f t="shared" si="131"/>
        <v>293.3333333333448</v>
      </c>
      <c r="FJ143" s="59">
        <f ca="1">AVERAGE(OFFSET($FI$3,0,0,'Données projet'!$E$16+1,1))-AVERAGE(OFFSET($H$3,0,0,'Données projet'!$E$16+1,1))</f>
        <v>286.77702855541287</v>
      </c>
      <c r="FK143" s="59">
        <f t="shared" si="156"/>
        <v>227.12211541860779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0</v>
      </c>
      <c r="FR143" s="21">
        <f>EXP(-LN(2)/25)*FR142+(1-EXP(-LN(2)/25))/(LN(2)/25)*Calculateur!FM143*Calculateur!FO143*VLOOKUP('Données projet'!$B$16,Paramètres!$A$1:$I$89,3,0)*0.475*44/12</f>
        <v>0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0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5.6843418860808015E-13</v>
      </c>
      <c r="GA143" s="17">
        <f>FZ143*VLOOKUP('Données projet'!$B$17,Paramètres!$A$1:$I$89,3,0)*VLOOKUP('Données projet'!$B$17,Paramètres!$A$1:$I$89,5,0)</f>
        <v>2.6602720026858149E-13</v>
      </c>
      <c r="GB143" s="13">
        <f t="shared" si="157"/>
        <v>3.5662905043956649E-12</v>
      </c>
      <c r="GC143" s="20">
        <f t="shared" si="133"/>
        <v>6.6746200022902298E-12</v>
      </c>
      <c r="GD143" s="59">
        <f t="shared" si="134"/>
        <v>293.33333333333997</v>
      </c>
      <c r="GE143" s="59">
        <f ca="1">AVERAGE(OFFSET($GD$3,0,0,'Données projet'!$E$17+1,1))-AVERAGE(OFFSET($H$3,0,0,'Données projet'!$E$17+1,1))</f>
        <v>123.2823358462245</v>
      </c>
      <c r="GF143" s="59">
        <f t="shared" si="158"/>
        <v>92.75115399786057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0</v>
      </c>
      <c r="GM143" s="21">
        <f>EXP(-LN(2)/25)*GM142+(1-EXP(-LN(2)/25))/(LN(2)/25)*Calculateur!GH143*Calculateur!GJ143*VLOOKUP('Données projet'!$B$17,Paramètres!$A$1:$I$89,3,0)*0.475*44/12</f>
        <v>0</v>
      </c>
      <c r="GN143" s="21">
        <f>EXP(-LN(2)/2)*GN142+(1-EXP(-LN(2)/2))/(LN(2)/2)*GH143*GK143*VLOOKUP('Données projet'!$B$17,Paramètres!$A$1:$I$89,3,0)*0.475*44/12</f>
        <v>0</v>
      </c>
      <c r="GO143" s="21">
        <f t="shared" si="135"/>
        <v>0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-2.8421709430404007E-13</v>
      </c>
      <c r="GV143" s="17">
        <f>GU143*VLOOKUP('Données projet'!$B$18,Paramètres!$A$1:$I$89,3,0)*VLOOKUP('Données projet'!$B$18,Paramètres!$A$1:$I$89,5,0)</f>
        <v>-1.69961822393816E-13</v>
      </c>
      <c r="GW143" s="13" t="e">
        <f t="shared" si="159"/>
        <v>#NUM!</v>
      </c>
      <c r="GX143" s="20" t="e">
        <f t="shared" si="136"/>
        <v>#NUM!</v>
      </c>
      <c r="GY143" s="59" t="e">
        <f t="shared" si="137"/>
        <v>#NUM!</v>
      </c>
      <c r="GZ143" s="59">
        <f ca="1">AVERAGE(OFFSET($GY$3,0,0,'Données projet'!$E$18+1,1))-AVERAGE(OFFSET($H$3,0,0,'Données projet'!$E$18+1,1))</f>
        <v>171.96009656745713</v>
      </c>
      <c r="HA143" s="59">
        <f t="shared" si="160"/>
        <v>172.37574906747716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>
        <f>EXP(-LN(2)/35)*HG142+(1-EXP(-LN(2)/35))/(LN(2)/35)*HC143*HD143*VLOOKUP('Données projet'!$B$18,Paramètres!$A$1:$I$89,3,0)*0.475*44/12</f>
        <v>0.18884912714680449</v>
      </c>
      <c r="HH143" s="21">
        <f>EXP(-LN(2)/25)*HH142+(1-EXP(-LN(2)/25))/(LN(2)/25)*Calculateur!HC143*Calculateur!HE143*VLOOKUP('Données projet'!$B$18,Paramètres!$A$1:$I$89,3,0)*0.475*44/12</f>
        <v>0.97370439923305829</v>
      </c>
      <c r="HI143" s="21">
        <f>EXP(-LN(2)/2)*HI142+(1-EXP(-LN(2)/2))/(LN(2)/2)*HC143*HF143*VLOOKUP('Données projet'!$B$18,Paramètres!$A$1:$I$89,3,0)*0.475*44/12</f>
        <v>3.3430539669105287E-16</v>
      </c>
      <c r="HJ143" s="22">
        <f t="shared" si="138"/>
        <v>1.1625535263798632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-2.2737367544323206E-13</v>
      </c>
      <c r="O144" s="13">
        <f>N144*VLOOKUP('Données projet'!$B$9,Paramètres!$A$1:$I$89,3,0)*VLOOKUP('Données projet'!$B$9,Paramètres!$A$1:$I$89,5,0)</f>
        <v>-1.2710188457276673E-13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255.5374979188561</v>
      </c>
      <c r="T144" s="59">
        <f t="shared" si="142"/>
        <v>343.10418468620901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0.34298023312121745</v>
      </c>
      <c r="AA144" s="21">
        <f>EXP(-LN(2)/25)*AA143+(1-EXP(-LN(2)/25))/(LN(2)/25)*Calculateur!V144*Calculateur!X144*VLOOKUP('Données projet'!$B$9,Paramètres!$A$1:$I$89,3,0)*0.475*44/12</f>
        <v>0.73530371049198173</v>
      </c>
      <c r="AB144" s="21">
        <f>EXP(-LN(2)/2)*AB143+(1-EXP(-LN(2)/2))/(LN(2)/2)*V144*Y144*VLOOKUP('Données projet'!$B$9,Paramètres!$A$1:$I$89,3,0)*0.475*44/12</f>
        <v>3.3220253314077988E-17</v>
      </c>
      <c r="AC144" s="22">
        <f t="shared" si="111"/>
        <v>1.0782839436131992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3.4106051316484809E-13</v>
      </c>
      <c r="AJ144" s="13">
        <f>AI144*VLOOKUP('Données projet'!$B$10,Paramètres!$A$1:$I$89,3,0)*VLOOKUP('Données projet'!$B$10,Paramètres!$A$1:$I$89,5,0)</f>
        <v>1.5961632016114892E-13</v>
      </c>
      <c r="AK144" s="13">
        <f t="shared" si="143"/>
        <v>2.2708641912150958E-12</v>
      </c>
      <c r="AL144" s="20">
        <f t="shared" si="112"/>
        <v>4.2330868906469593E-12</v>
      </c>
      <c r="AM144" s="59">
        <f t="shared" si="113"/>
        <v>293.33333333333752</v>
      </c>
      <c r="AN144" s="59">
        <f ca="1">AVERAGE(OFFSET($AM$3,0,0,'Données projet'!$E$10+1,1))-AVERAGE(OFFSET($H$3,0,0,'Données projet'!$E$10+1,1))</f>
        <v>158.58786357608489</v>
      </c>
      <c r="AO144" s="59">
        <f t="shared" si="144"/>
        <v>163.20074068819849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0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-1.7053025658242404E-13</v>
      </c>
      <c r="BE144" s="13">
        <f>BD144*VLOOKUP('Données projet'!$B$11,Paramètres!$A$1:$I$89,3,0)*VLOOKUP('Données projet'!$B$11,Paramètres!$A$1:$I$89,5,0)</f>
        <v>-1.0197709343628959E-13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243.85350804244348</v>
      </c>
      <c r="BJ144" s="59">
        <f t="shared" si="146"/>
        <v>304.60992308960545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0.50234686615529833</v>
      </c>
      <c r="BQ144" s="21">
        <f>EXP(-LN(2)/25)*BQ143+(1-EXP(-LN(2)/25))/(LN(2)/25)*Calculateur!BL144*Calculateur!BN144*VLOOKUP('Données projet'!$B$11,Paramètres!$A$1:$I$89,3,0)*0.475*44/12</f>
        <v>0.81678664509799537</v>
      </c>
      <c r="BR144" s="21">
        <f>EXP(-LN(2)/2)*BR143+(1-EXP(-LN(2)/2))/(LN(2)/2)*BL144*BO144*VLOOKUP('Données projet'!$B$11,Paramètres!$A$1:$I$89,3,0)*0.475*44/12</f>
        <v>7.3367015991511671E-17</v>
      </c>
      <c r="BS144" s="22">
        <f t="shared" si="117"/>
        <v>1.3191335112532938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497</v>
      </c>
      <c r="BZ144" s="13">
        <f>BY144*VLOOKUP('Données projet'!$B$12,Paramètres!$A$1:$I$89,3,0)*VLOOKUP('Données projet'!$B$12,Paramètres!$A$1:$I$89,5,0)</f>
        <v>297.20600000000002</v>
      </c>
      <c r="CA144" s="13">
        <f t="shared" si="147"/>
        <v>70.590415164571112</v>
      </c>
      <c r="CB144" s="20">
        <f t="shared" si="118"/>
        <v>640.57875641162809</v>
      </c>
      <c r="CC144" s="59">
        <f t="shared" si="119"/>
        <v>933.91208974496135</v>
      </c>
      <c r="CD144" s="59">
        <f ca="1">AVERAGE(OFFSET($CC$3,0,0,'Données projet'!$E$12+1,1))-AVERAGE(OFFSET($H$3,0,0,'Données projet'!$E$12+1,1))</f>
        <v>270.30888762640245</v>
      </c>
      <c r="CE144" s="59">
        <f t="shared" si="148"/>
        <v>202.23783851977691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0.2377377649685401</v>
      </c>
      <c r="CL144" s="21">
        <f>EXP(-LN(2)/25)*CL143+(1-EXP(-LN(2)/25))/(LN(2)/25)*Calculateur!CG144*Calculateur!CI144*VLOOKUP('Données projet'!$B$12,Paramètres!$A$1:$I$89,3,0)*0.475*44/12</f>
        <v>0.56645146651626621</v>
      </c>
      <c r="CM144" s="21">
        <f>EXP(-LN(2)/2)*CM143+(1-EXP(-LN(2)/2))/(LN(2)/2)*CG144*CJ144*VLOOKUP('Données projet'!$B$12,Paramètres!$A$1:$I$89,3,0)*0.475*44/12</f>
        <v>3.6293881603744661E-16</v>
      </c>
      <c r="CN144" s="22">
        <f t="shared" si="120"/>
        <v>0.80418923148480659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-5.1159076974727213E-13</v>
      </c>
      <c r="CU144" s="17">
        <f>CT144*VLOOKUP('Données projet'!$B$13,Paramètres!$A$1:$I$89,3,0)*VLOOKUP('Données projet'!$B$13,Paramètres!$A$1:$I$89,5,0)</f>
        <v>-4.0702161641092972E-13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260.20517190557814</v>
      </c>
      <c r="CZ144" s="59">
        <f t="shared" si="150"/>
        <v>307.22009971147133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0.36217683180110716</v>
      </c>
      <c r="DG144" s="21">
        <f>EXP(-LN(2)/25)*DG143+(1-EXP(-LN(2)/25))/(LN(2)/25)*Calculateur!DB144*Calculateur!DD144*VLOOKUP('Données projet'!$B$13,Paramètres!$A$1:$I$89,3,0)*0.475*44/12</f>
        <v>0.94535683275658811</v>
      </c>
      <c r="DH144" s="21">
        <f>EXP(-LN(2)/2)*DH143+(1-EXP(-LN(2)/2))/(LN(2)/2)*DB144*DE144*VLOOKUP('Données projet'!$B$13,Paramètres!$A$1:$I$89,3,0)*0.475*44/12</f>
        <v>4.7179382992868966E-16</v>
      </c>
      <c r="DI144" s="22">
        <f t="shared" si="123"/>
        <v>1.3075336645576958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4.5474735088646412E-13</v>
      </c>
      <c r="DP144" s="17">
        <f>DO144*VLOOKUP('Données projet'!$B$14,Paramètres!$A$1:$I$89,3,0)*VLOOKUP('Données projet'!$B$14,Paramètres!$A$1:$I$89,5,0)</f>
        <v>4.6111381379887462E-13</v>
      </c>
      <c r="DQ144" s="13">
        <f t="shared" si="151"/>
        <v>5.7981965206434308E-12</v>
      </c>
      <c r="DR144" s="20">
        <f t="shared" si="124"/>
        <v>1.0901632165820347E-11</v>
      </c>
      <c r="DS144" s="59">
        <f t="shared" si="125"/>
        <v>293.33333333334423</v>
      </c>
      <c r="DT144" s="59">
        <f ca="1">AVERAGE(OFFSET($DS$3,0,0,'Données projet'!$E$14+1,1))-AVERAGE(OFFSET($H$3,0,0,'Données projet'!$E$14+1,1))</f>
        <v>263.15518481854753</v>
      </c>
      <c r="DU144" s="59">
        <f t="shared" si="152"/>
        <v>210.80755370263819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0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-5.1159076974727213E-13</v>
      </c>
      <c r="EK144" s="17">
        <f>EJ144*VLOOKUP('Données projet'!$B$15,Paramètres!$A$1:$I$89,3,0)*VLOOKUP('Données projet'!$B$15,Paramètres!$A$1:$I$89,5,0)</f>
        <v>-3.4317508834647017E-13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207.93042467236967</v>
      </c>
      <c r="EP144" s="59">
        <f t="shared" si="154"/>
        <v>250.70954318710835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0.30536477975387433</v>
      </c>
      <c r="EW144" s="21">
        <f>EXP(-LN(2)/25)*EW143+(1-EXP(-LN(2)/25))/(LN(2)/25)*Calculateur!ER144*Calculateur!ET144*VLOOKUP('Données projet'!$B$15,Paramètres!$A$1:$I$89,3,0)*0.475*44/12</f>
        <v>0.79706556487320301</v>
      </c>
      <c r="EX144" s="21">
        <f>EXP(-LN(2)/2)*EX143+(1-EXP(-LN(2)/2))/(LN(2)/2)*ER144*EU144*VLOOKUP('Données projet'!$B$15,Paramètres!$A$1:$I$89,3,0)*0.475*44/12</f>
        <v>3.9778695464575793E-16</v>
      </c>
      <c r="EY144" s="22">
        <f t="shared" si="129"/>
        <v>1.1024303446270778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4.5474735088646412E-13</v>
      </c>
      <c r="FF144" s="17">
        <f>FE144*VLOOKUP('Données projet'!$B$16,Paramètres!$A$1:$I$89,3,0)*VLOOKUP('Données projet'!$B$16,Paramètres!$A$1:$I$89,5,0)</f>
        <v>4.8949004849418999E-13</v>
      </c>
      <c r="FG144" s="13">
        <f t="shared" si="155"/>
        <v>6.1123715499968684E-12</v>
      </c>
      <c r="FH144" s="20">
        <f t="shared" si="130"/>
        <v>1.1498242284038591E-11</v>
      </c>
      <c r="FI144" s="59">
        <f t="shared" si="131"/>
        <v>293.3333333333448</v>
      </c>
      <c r="FJ144" s="59">
        <f ca="1">AVERAGE(OFFSET($FI$3,0,0,'Données projet'!$E$16+1,1))-AVERAGE(OFFSET($H$3,0,0,'Données projet'!$E$16+1,1))</f>
        <v>286.77702855541287</v>
      </c>
      <c r="FK144" s="59">
        <f t="shared" si="156"/>
        <v>227.12211541860779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0</v>
      </c>
      <c r="FR144" s="21">
        <f>EXP(-LN(2)/25)*FR143+(1-EXP(-LN(2)/25))/(LN(2)/25)*Calculateur!FM144*Calculateur!FO144*VLOOKUP('Données projet'!$B$16,Paramètres!$A$1:$I$89,3,0)*0.475*44/12</f>
        <v>0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0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5.6843418860808015E-13</v>
      </c>
      <c r="GA144" s="17">
        <f>FZ144*VLOOKUP('Données projet'!$B$17,Paramètres!$A$1:$I$89,3,0)*VLOOKUP('Données projet'!$B$17,Paramètres!$A$1:$I$89,5,0)</f>
        <v>2.6602720026858149E-13</v>
      </c>
      <c r="GB144" s="13">
        <f t="shared" si="157"/>
        <v>3.5662905043956649E-12</v>
      </c>
      <c r="GC144" s="20">
        <f t="shared" si="133"/>
        <v>6.6746200022902298E-12</v>
      </c>
      <c r="GD144" s="59">
        <f t="shared" si="134"/>
        <v>293.33333333333997</v>
      </c>
      <c r="GE144" s="59">
        <f ca="1">AVERAGE(OFFSET($GD$3,0,0,'Données projet'!$E$17+1,1))-AVERAGE(OFFSET($H$3,0,0,'Données projet'!$E$17+1,1))</f>
        <v>123.2823358462245</v>
      </c>
      <c r="GF144" s="59">
        <f t="shared" si="158"/>
        <v>92.75115399786057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0</v>
      </c>
      <c r="GM144" s="21">
        <f>EXP(-LN(2)/25)*GM143+(1-EXP(-LN(2)/25))/(LN(2)/25)*Calculateur!GH144*Calculateur!GJ144*VLOOKUP('Données projet'!$B$17,Paramètres!$A$1:$I$89,3,0)*0.475*44/12</f>
        <v>0</v>
      </c>
      <c r="GN144" s="21">
        <f>EXP(-LN(2)/2)*GN143+(1-EXP(-LN(2)/2))/(LN(2)/2)*GH144*GK144*VLOOKUP('Données projet'!$B$17,Paramètres!$A$1:$I$89,3,0)*0.475*44/12</f>
        <v>0</v>
      </c>
      <c r="GO144" s="21">
        <f t="shared" si="135"/>
        <v>0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-2.8421709430404007E-13</v>
      </c>
      <c r="GV144" s="17">
        <f>GU144*VLOOKUP('Données projet'!$B$18,Paramètres!$A$1:$I$89,3,0)*VLOOKUP('Données projet'!$B$18,Paramètres!$A$1:$I$89,5,0)</f>
        <v>-1.69961822393816E-13</v>
      </c>
      <c r="GW144" s="13" t="e">
        <f t="shared" si="159"/>
        <v>#NUM!</v>
      </c>
      <c r="GX144" s="20" t="e">
        <f t="shared" si="136"/>
        <v>#NUM!</v>
      </c>
      <c r="GY144" s="59" t="e">
        <f t="shared" si="137"/>
        <v>#NUM!</v>
      </c>
      <c r="GZ144" s="59">
        <f ca="1">AVERAGE(OFFSET($GY$3,0,0,'Données projet'!$E$18+1,1))-AVERAGE(OFFSET($H$3,0,0,'Données projet'!$E$18+1,1))</f>
        <v>171.96009656745713</v>
      </c>
      <c r="HA144" s="59">
        <f t="shared" si="160"/>
        <v>172.37574906747716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>
        <f>EXP(-LN(2)/35)*HG143+(1-EXP(-LN(2)/35))/(LN(2)/35)*HC144*HD144*VLOOKUP('Données projet'!$B$18,Paramètres!$A$1:$I$89,3,0)*0.475*44/12</f>
        <v>0.18514591095004948</v>
      </c>
      <c r="HH144" s="21">
        <f>EXP(-LN(2)/25)*HH143+(1-EXP(-LN(2)/25))/(LN(2)/25)*Calculateur!HC144*Calculateur!HE144*VLOOKUP('Données projet'!$B$18,Paramètres!$A$1:$I$89,3,0)*0.475*44/12</f>
        <v>0.9470784012311414</v>
      </c>
      <c r="HI144" s="21">
        <f>EXP(-LN(2)/2)*HI143+(1-EXP(-LN(2)/2))/(LN(2)/2)*HC144*HF144*VLOOKUP('Données projet'!$B$18,Paramètres!$A$1:$I$89,3,0)*0.475*44/12</f>
        <v>2.3638961298750229E-16</v>
      </c>
      <c r="HJ144" s="22">
        <f t="shared" si="138"/>
        <v>1.132224312181191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-2.2737367544323206E-13</v>
      </c>
      <c r="O145" s="13">
        <f>N145*VLOOKUP('Données projet'!$B$9,Paramètres!$A$1:$I$89,3,0)*VLOOKUP('Données projet'!$B$9,Paramètres!$A$1:$I$89,5,0)</f>
        <v>-1.2710188457276673E-13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255.5374979188561</v>
      </c>
      <c r="T145" s="59">
        <f t="shared" si="142"/>
        <v>343.10418468620901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0.33625459994699608</v>
      </c>
      <c r="AA145" s="21">
        <f>EXP(-LN(2)/25)*AA144+(1-EXP(-LN(2)/25))/(LN(2)/25)*Calculateur!V145*Calculateur!X145*VLOOKUP('Données projet'!$B$9,Paramètres!$A$1:$I$89,3,0)*0.475*44/12</f>
        <v>0.71519679186063689</v>
      </c>
      <c r="AB145" s="21">
        <f>EXP(-LN(2)/2)*AB144+(1-EXP(-LN(2)/2))/(LN(2)/2)*V145*Y145*VLOOKUP('Données projet'!$B$9,Paramètres!$A$1:$I$89,3,0)*0.475*44/12</f>
        <v>2.3490266391119425E-17</v>
      </c>
      <c r="AC145" s="22">
        <f t="shared" si="111"/>
        <v>1.0514513918076329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3.4106051316484809E-13</v>
      </c>
      <c r="AJ145" s="13">
        <f>AI145*VLOOKUP('Données projet'!$B$10,Paramètres!$A$1:$I$89,3,0)*VLOOKUP('Données projet'!$B$10,Paramètres!$A$1:$I$89,5,0)</f>
        <v>1.5961632016114892E-13</v>
      </c>
      <c r="AK145" s="13">
        <f t="shared" si="143"/>
        <v>2.2708641912150958E-12</v>
      </c>
      <c r="AL145" s="20">
        <f t="shared" si="112"/>
        <v>4.2330868906469593E-12</v>
      </c>
      <c r="AM145" s="59">
        <f t="shared" si="113"/>
        <v>293.33333333333752</v>
      </c>
      <c r="AN145" s="59">
        <f ca="1">AVERAGE(OFFSET($AM$3,0,0,'Données projet'!$E$10+1,1))-AVERAGE(OFFSET($H$3,0,0,'Données projet'!$E$10+1,1))</f>
        <v>158.58786357608489</v>
      </c>
      <c r="AO145" s="59">
        <f t="shared" si="144"/>
        <v>163.20074068819849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0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-1.7053025658242404E-13</v>
      </c>
      <c r="BE145" s="13">
        <f>BD145*VLOOKUP('Données projet'!$B$11,Paramètres!$A$1:$I$89,3,0)*VLOOKUP('Données projet'!$B$11,Paramètres!$A$1:$I$89,5,0)</f>
        <v>-1.0197709343628959E-13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243.85350804244348</v>
      </c>
      <c r="BJ145" s="59">
        <f t="shared" si="146"/>
        <v>304.60992308960545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0.49249615051132667</v>
      </c>
      <c r="BQ145" s="21">
        <f>EXP(-LN(2)/25)*BQ144+(1-EXP(-LN(2)/25))/(LN(2)/25)*Calculateur!BL145*Calculateur!BN145*VLOOKUP('Données projet'!$B$11,Paramètres!$A$1:$I$89,3,0)*0.475*44/12</f>
        <v>0.79445157133484778</v>
      </c>
      <c r="BR145" s="21">
        <f>EXP(-LN(2)/2)*BR144+(1-EXP(-LN(2)/2))/(LN(2)/2)*BL145*BO145*VLOOKUP('Données projet'!$B$11,Paramètres!$A$1:$I$89,3,0)*0.475*44/12</f>
        <v>5.1878314523019777E-17</v>
      </c>
      <c r="BS145" s="22">
        <f t="shared" si="117"/>
        <v>1.2869477218461745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497</v>
      </c>
      <c r="BZ145" s="13">
        <f>BY145*VLOOKUP('Données projet'!$B$12,Paramètres!$A$1:$I$89,3,0)*VLOOKUP('Données projet'!$B$12,Paramètres!$A$1:$I$89,5,0)</f>
        <v>297.20600000000002</v>
      </c>
      <c r="CA145" s="13">
        <f t="shared" si="147"/>
        <v>70.590415164571112</v>
      </c>
      <c r="CB145" s="20">
        <f t="shared" si="118"/>
        <v>640.57875641162809</v>
      </c>
      <c r="CC145" s="59">
        <f t="shared" si="119"/>
        <v>933.91208974496135</v>
      </c>
      <c r="CD145" s="59">
        <f ca="1">AVERAGE(OFFSET($CC$3,0,0,'Données projet'!$E$12+1,1))-AVERAGE(OFFSET($H$3,0,0,'Données projet'!$E$12+1,1))</f>
        <v>270.30888762640245</v>
      </c>
      <c r="CE145" s="59">
        <f t="shared" si="148"/>
        <v>202.23783851977691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0.23307587240322553</v>
      </c>
      <c r="CL145" s="21">
        <f>EXP(-LN(2)/25)*CL144+(1-EXP(-LN(2)/25))/(LN(2)/25)*Calculateur!CG145*Calculateur!CI145*VLOOKUP('Données projet'!$B$12,Paramètres!$A$1:$I$89,3,0)*0.475*44/12</f>
        <v>0.55096182137599092</v>
      </c>
      <c r="CM145" s="21">
        <f>EXP(-LN(2)/2)*CM144+(1-EXP(-LN(2)/2))/(LN(2)/2)*CG145*CJ145*VLOOKUP('Données projet'!$B$12,Paramètres!$A$1:$I$89,3,0)*0.475*44/12</f>
        <v>2.5663649797589538E-16</v>
      </c>
      <c r="CN145" s="22">
        <f t="shared" si="120"/>
        <v>0.78403769377921662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-5.1159076974727213E-13</v>
      </c>
      <c r="CU145" s="17">
        <f>CT145*VLOOKUP('Données projet'!$B$13,Paramètres!$A$1:$I$89,3,0)*VLOOKUP('Données projet'!$B$13,Paramètres!$A$1:$I$89,5,0)</f>
        <v>-4.0702161641092972E-13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260.20517190557814</v>
      </c>
      <c r="CZ145" s="59">
        <f t="shared" si="150"/>
        <v>307.22009971147133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0.35507476503554219</v>
      </c>
      <c r="DG145" s="21">
        <f>EXP(-LN(2)/25)*DG144+(1-EXP(-LN(2)/25))/(LN(2)/25)*Calculateur!DB145*Calculateur!DD145*VLOOKUP('Données projet'!$B$13,Paramètres!$A$1:$I$89,3,0)*0.475*44/12</f>
        <v>0.91950600045070396</v>
      </c>
      <c r="DH145" s="21">
        <f>EXP(-LN(2)/2)*DH144+(1-EXP(-LN(2)/2))/(LN(2)/2)*DB145*DE145*VLOOKUP('Données projet'!$B$13,Paramètres!$A$1:$I$89,3,0)*0.475*44/12</f>
        <v>3.3360861646454918E-16</v>
      </c>
      <c r="DI145" s="22">
        <f t="shared" si="123"/>
        <v>1.2745807654862467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4.5474735088646412E-13</v>
      </c>
      <c r="DP145" s="17">
        <f>DO145*VLOOKUP('Données projet'!$B$14,Paramètres!$A$1:$I$89,3,0)*VLOOKUP('Données projet'!$B$14,Paramètres!$A$1:$I$89,5,0)</f>
        <v>4.6111381379887462E-13</v>
      </c>
      <c r="DQ145" s="13">
        <f t="shared" si="151"/>
        <v>5.7981965206434308E-12</v>
      </c>
      <c r="DR145" s="20">
        <f t="shared" si="124"/>
        <v>1.0901632165820347E-11</v>
      </c>
      <c r="DS145" s="59">
        <f t="shared" si="125"/>
        <v>293.33333333334423</v>
      </c>
      <c r="DT145" s="59">
        <f ca="1">AVERAGE(OFFSET($DS$3,0,0,'Données projet'!$E$14+1,1))-AVERAGE(OFFSET($H$3,0,0,'Données projet'!$E$14+1,1))</f>
        <v>263.15518481854753</v>
      </c>
      <c r="DU145" s="59">
        <f t="shared" si="152"/>
        <v>210.80755370263819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0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-5.1159076974727213E-13</v>
      </c>
      <c r="EK145" s="17">
        <f>EJ145*VLOOKUP('Données projet'!$B$15,Paramètres!$A$1:$I$89,3,0)*VLOOKUP('Données projet'!$B$15,Paramètres!$A$1:$I$89,5,0)</f>
        <v>-3.4317508834647017E-13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207.93042467236967</v>
      </c>
      <c r="EP145" s="59">
        <f t="shared" si="154"/>
        <v>250.70954318710835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0.29937676267702545</v>
      </c>
      <c r="EW145" s="21">
        <f>EXP(-LN(2)/25)*EW144+(1-EXP(-LN(2)/25))/(LN(2)/25)*Calculateur!ER145*Calculateur!ET145*VLOOKUP('Données projet'!$B$15,Paramètres!$A$1:$I$89,3,0)*0.475*44/12</f>
        <v>0.77526976508588896</v>
      </c>
      <c r="EX145" s="21">
        <f>EXP(-LN(2)/2)*EX144+(1-EXP(-LN(2)/2))/(LN(2)/2)*ER145*EU145*VLOOKUP('Données projet'!$B$15,Paramètres!$A$1:$I$89,3,0)*0.475*44/12</f>
        <v>2.8127785309756105E-16</v>
      </c>
      <c r="EY145" s="22">
        <f t="shared" si="129"/>
        <v>1.0746465277629147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4.5474735088646412E-13</v>
      </c>
      <c r="FF145" s="17">
        <f>FE145*VLOOKUP('Données projet'!$B$16,Paramètres!$A$1:$I$89,3,0)*VLOOKUP('Données projet'!$B$16,Paramètres!$A$1:$I$89,5,0)</f>
        <v>4.8949004849418999E-13</v>
      </c>
      <c r="FG145" s="13">
        <f t="shared" si="155"/>
        <v>6.1123715499968684E-12</v>
      </c>
      <c r="FH145" s="20">
        <f t="shared" si="130"/>
        <v>1.1498242284038591E-11</v>
      </c>
      <c r="FI145" s="59">
        <f t="shared" si="131"/>
        <v>293.3333333333448</v>
      </c>
      <c r="FJ145" s="59">
        <f ca="1">AVERAGE(OFFSET($FI$3,0,0,'Données projet'!$E$16+1,1))-AVERAGE(OFFSET($H$3,0,0,'Données projet'!$E$16+1,1))</f>
        <v>286.77702855541287</v>
      </c>
      <c r="FK145" s="59">
        <f t="shared" si="156"/>
        <v>227.12211541860779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0</v>
      </c>
      <c r="FR145" s="21">
        <f>EXP(-LN(2)/25)*FR144+(1-EXP(-LN(2)/25))/(LN(2)/25)*Calculateur!FM145*Calculateur!FO145*VLOOKUP('Données projet'!$B$16,Paramètres!$A$1:$I$89,3,0)*0.475*44/12</f>
        <v>0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0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5.6843418860808015E-13</v>
      </c>
      <c r="GA145" s="17">
        <f>FZ145*VLOOKUP('Données projet'!$B$17,Paramètres!$A$1:$I$89,3,0)*VLOOKUP('Données projet'!$B$17,Paramètres!$A$1:$I$89,5,0)</f>
        <v>2.6602720026858149E-13</v>
      </c>
      <c r="GB145" s="13">
        <f t="shared" si="157"/>
        <v>3.5662905043956649E-12</v>
      </c>
      <c r="GC145" s="20">
        <f t="shared" si="133"/>
        <v>6.6746200022902298E-12</v>
      </c>
      <c r="GD145" s="59">
        <f t="shared" si="134"/>
        <v>293.33333333333997</v>
      </c>
      <c r="GE145" s="59">
        <f ca="1">AVERAGE(OFFSET($GD$3,0,0,'Données projet'!$E$17+1,1))-AVERAGE(OFFSET($H$3,0,0,'Données projet'!$E$17+1,1))</f>
        <v>123.2823358462245</v>
      </c>
      <c r="GF145" s="59">
        <f t="shared" si="158"/>
        <v>92.75115399786057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0</v>
      </c>
      <c r="GM145" s="21">
        <f>EXP(-LN(2)/25)*GM144+(1-EXP(-LN(2)/25))/(LN(2)/25)*Calculateur!GH145*Calculateur!GJ145*VLOOKUP('Données projet'!$B$17,Paramètres!$A$1:$I$89,3,0)*0.475*44/12</f>
        <v>0</v>
      </c>
      <c r="GN145" s="21">
        <f>EXP(-LN(2)/2)*GN144+(1-EXP(-LN(2)/2))/(LN(2)/2)*GH145*GK145*VLOOKUP('Données projet'!$B$17,Paramètres!$A$1:$I$89,3,0)*0.475*44/12</f>
        <v>0</v>
      </c>
      <c r="GO145" s="21">
        <f t="shared" si="135"/>
        <v>0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-2.8421709430404007E-13</v>
      </c>
      <c r="GV145" s="17">
        <f>GU145*VLOOKUP('Données projet'!$B$18,Paramètres!$A$1:$I$89,3,0)*VLOOKUP('Données projet'!$B$18,Paramètres!$A$1:$I$89,5,0)</f>
        <v>-1.69961822393816E-13</v>
      </c>
      <c r="GW145" s="13" t="e">
        <f t="shared" si="159"/>
        <v>#NUM!</v>
      </c>
      <c r="GX145" s="20" t="e">
        <f t="shared" si="136"/>
        <v>#NUM!</v>
      </c>
      <c r="GY145" s="59" t="e">
        <f t="shared" si="137"/>
        <v>#NUM!</v>
      </c>
      <c r="GZ145" s="59">
        <f ca="1">AVERAGE(OFFSET($GY$3,0,0,'Données projet'!$E$18+1,1))-AVERAGE(OFFSET($H$3,0,0,'Données projet'!$E$18+1,1))</f>
        <v>171.96009656745713</v>
      </c>
      <c r="HA145" s="59">
        <f t="shared" si="160"/>
        <v>172.37574906747716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>
        <f>EXP(-LN(2)/35)*HG144+(1-EXP(-LN(2)/35))/(LN(2)/35)*HC145*HD145*VLOOKUP('Données projet'!$B$18,Paramètres!$A$1:$I$89,3,0)*0.475*44/12</f>
        <v>0.181515312564174</v>
      </c>
      <c r="HH145" s="21">
        <f>EXP(-LN(2)/25)*HH144+(1-EXP(-LN(2)/25))/(LN(2)/25)*Calculateur!HC145*Calculateur!HE145*VLOOKUP('Données projet'!$B$18,Paramètres!$A$1:$I$89,3,0)*0.475*44/12</f>
        <v>0.92118049254478729</v>
      </c>
      <c r="HI145" s="21">
        <f>EXP(-LN(2)/2)*HI144+(1-EXP(-LN(2)/2))/(LN(2)/2)*HC145*HF145*VLOOKUP('Données projet'!$B$18,Paramètres!$A$1:$I$89,3,0)*0.475*44/12</f>
        <v>1.6715269834552643E-16</v>
      </c>
      <c r="HJ145" s="22">
        <f t="shared" si="138"/>
        <v>1.1026958051089615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-2.2737367544323206E-13</v>
      </c>
      <c r="O146" s="13">
        <f>N146*VLOOKUP('Données projet'!$B$9,Paramètres!$A$1:$I$89,3,0)*VLOOKUP('Données projet'!$B$9,Paramètres!$A$1:$I$89,5,0)</f>
        <v>-1.2710188457276673E-13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255.5374979188561</v>
      </c>
      <c r="T146" s="59">
        <f t="shared" si="142"/>
        <v>343.10418468620901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0.32966085233709003</v>
      </c>
      <c r="AA146" s="21">
        <f>EXP(-LN(2)/25)*AA145+(1-EXP(-LN(2)/25))/(LN(2)/25)*Calculateur!V146*Calculateur!X146*VLOOKUP('Données projet'!$B$9,Paramètres!$A$1:$I$89,3,0)*0.475*44/12</f>
        <v>0.69563969797664305</v>
      </c>
      <c r="AB146" s="21">
        <f>EXP(-LN(2)/2)*AB145+(1-EXP(-LN(2)/2))/(LN(2)/2)*V146*Y146*VLOOKUP('Données projet'!$B$9,Paramètres!$A$1:$I$89,3,0)*0.475*44/12</f>
        <v>1.6610126657038994E-17</v>
      </c>
      <c r="AC146" s="22">
        <f t="shared" si="111"/>
        <v>1.0253005503137331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3.4106051316484809E-13</v>
      </c>
      <c r="AJ146" s="13">
        <f>AI146*VLOOKUP('Données projet'!$B$10,Paramètres!$A$1:$I$89,3,0)*VLOOKUP('Données projet'!$B$10,Paramètres!$A$1:$I$89,5,0)</f>
        <v>1.5961632016114892E-13</v>
      </c>
      <c r="AK146" s="13">
        <f t="shared" si="143"/>
        <v>2.2708641912150958E-12</v>
      </c>
      <c r="AL146" s="20">
        <f t="shared" si="112"/>
        <v>4.2330868906469593E-12</v>
      </c>
      <c r="AM146" s="59">
        <f t="shared" si="113"/>
        <v>293.33333333333752</v>
      </c>
      <c r="AN146" s="59">
        <f ca="1">AVERAGE(OFFSET($AM$3,0,0,'Données projet'!$E$10+1,1))-AVERAGE(OFFSET($H$3,0,0,'Données projet'!$E$10+1,1))</f>
        <v>158.58786357608489</v>
      </c>
      <c r="AO146" s="59">
        <f t="shared" si="144"/>
        <v>163.20074068819849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0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-1.7053025658242404E-13</v>
      </c>
      <c r="BE146" s="13">
        <f>BD146*VLOOKUP('Données projet'!$B$11,Paramètres!$A$1:$I$89,3,0)*VLOOKUP('Données projet'!$B$11,Paramètres!$A$1:$I$89,5,0)</f>
        <v>-1.0197709343628959E-13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243.85350804244348</v>
      </c>
      <c r="BJ146" s="59">
        <f t="shared" si="146"/>
        <v>304.60992308960545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0.48283860139279</v>
      </c>
      <c r="BQ146" s="21">
        <f>EXP(-LN(2)/25)*BQ145+(1-EXP(-LN(2)/25))/(LN(2)/25)*Calculateur!BL146*Calculateur!BN146*VLOOKUP('Données projet'!$B$11,Paramètres!$A$1:$I$89,3,0)*0.475*44/12</f>
        <v>0.772727251338304</v>
      </c>
      <c r="BR146" s="21">
        <f>EXP(-LN(2)/2)*BR145+(1-EXP(-LN(2)/2))/(LN(2)/2)*BL146*BO146*VLOOKUP('Données projet'!$B$11,Paramètres!$A$1:$I$89,3,0)*0.475*44/12</f>
        <v>3.6683507995755836E-17</v>
      </c>
      <c r="BS146" s="22">
        <f t="shared" si="117"/>
        <v>1.255565852731094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497</v>
      </c>
      <c r="BZ146" s="13">
        <f>BY146*VLOOKUP('Données projet'!$B$12,Paramètres!$A$1:$I$89,3,0)*VLOOKUP('Données projet'!$B$12,Paramètres!$A$1:$I$89,5,0)</f>
        <v>297.20600000000002</v>
      </c>
      <c r="CA146" s="13">
        <f t="shared" si="147"/>
        <v>70.590415164571112</v>
      </c>
      <c r="CB146" s="20">
        <f t="shared" si="118"/>
        <v>640.57875641162809</v>
      </c>
      <c r="CC146" s="59">
        <f t="shared" si="119"/>
        <v>933.91208974496135</v>
      </c>
      <c r="CD146" s="59">
        <f ca="1">AVERAGE(OFFSET($CC$3,0,0,'Données projet'!$E$12+1,1))-AVERAGE(OFFSET($H$3,0,0,'Données projet'!$E$12+1,1))</f>
        <v>270.30888762640245</v>
      </c>
      <c r="CE146" s="59">
        <f t="shared" si="148"/>
        <v>202.23783851977691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0.22850539670764308</v>
      </c>
      <c r="CL146" s="21">
        <f>EXP(-LN(2)/25)*CL145+(1-EXP(-LN(2)/25))/(LN(2)/25)*Calculateur!CG146*Calculateur!CI146*VLOOKUP('Données projet'!$B$12,Paramètres!$A$1:$I$89,3,0)*0.475*44/12</f>
        <v>0.53589574139664153</v>
      </c>
      <c r="CM146" s="21">
        <f>EXP(-LN(2)/2)*CM145+(1-EXP(-LN(2)/2))/(LN(2)/2)*CG146*CJ146*VLOOKUP('Données projet'!$B$12,Paramètres!$A$1:$I$89,3,0)*0.475*44/12</f>
        <v>1.814694080187233E-16</v>
      </c>
      <c r="CN146" s="22">
        <f t="shared" si="120"/>
        <v>0.76440113810428478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-5.1159076974727213E-13</v>
      </c>
      <c r="CU146" s="17">
        <f>CT146*VLOOKUP('Données projet'!$B$13,Paramètres!$A$1:$I$89,3,0)*VLOOKUP('Données projet'!$B$13,Paramètres!$A$1:$I$89,5,0)</f>
        <v>-4.0702161641092972E-13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260.20517190557814</v>
      </c>
      <c r="CZ146" s="59">
        <f t="shared" si="150"/>
        <v>307.22009971147133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0.34811196546741696</v>
      </c>
      <c r="DG146" s="21">
        <f>EXP(-LN(2)/25)*DG145+(1-EXP(-LN(2)/25))/(LN(2)/25)*Calculateur!DB146*Calculateur!DD146*VLOOKUP('Données projet'!$B$13,Paramètres!$A$1:$I$89,3,0)*0.475*44/12</f>
        <v>0.89436206051366041</v>
      </c>
      <c r="DH146" s="21">
        <f>EXP(-LN(2)/2)*DH145+(1-EXP(-LN(2)/2))/(LN(2)/2)*DB146*DE146*VLOOKUP('Données projet'!$B$13,Paramètres!$A$1:$I$89,3,0)*0.475*44/12</f>
        <v>2.3589691496434483E-16</v>
      </c>
      <c r="DI146" s="22">
        <f t="shared" si="123"/>
        <v>1.2424740259810776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4.5474735088646412E-13</v>
      </c>
      <c r="DP146" s="17">
        <f>DO146*VLOOKUP('Données projet'!$B$14,Paramètres!$A$1:$I$89,3,0)*VLOOKUP('Données projet'!$B$14,Paramètres!$A$1:$I$89,5,0)</f>
        <v>4.6111381379887462E-13</v>
      </c>
      <c r="DQ146" s="13">
        <f t="shared" si="151"/>
        <v>5.7981965206434308E-12</v>
      </c>
      <c r="DR146" s="20">
        <f t="shared" si="124"/>
        <v>1.0901632165820347E-11</v>
      </c>
      <c r="DS146" s="59">
        <f t="shared" si="125"/>
        <v>293.33333333334423</v>
      </c>
      <c r="DT146" s="59">
        <f ca="1">AVERAGE(OFFSET($DS$3,0,0,'Données projet'!$E$14+1,1))-AVERAGE(OFFSET($H$3,0,0,'Données projet'!$E$14+1,1))</f>
        <v>263.15518481854753</v>
      </c>
      <c r="DU146" s="59">
        <f t="shared" si="152"/>
        <v>210.80755370263819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0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-5.1159076974727213E-13</v>
      </c>
      <c r="EK146" s="17">
        <f>EJ146*VLOOKUP('Données projet'!$B$15,Paramètres!$A$1:$I$89,3,0)*VLOOKUP('Données projet'!$B$15,Paramètres!$A$1:$I$89,5,0)</f>
        <v>-3.4317508834647017E-13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207.93042467236967</v>
      </c>
      <c r="EP146" s="59">
        <f t="shared" si="154"/>
        <v>250.70954318710835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0.2935061669627238</v>
      </c>
      <c r="EW146" s="21">
        <f>EXP(-LN(2)/25)*EW145+(1-EXP(-LN(2)/25))/(LN(2)/25)*Calculateur!ER146*Calculateur!ET146*VLOOKUP('Données projet'!$B$15,Paramètres!$A$1:$I$89,3,0)*0.475*44/12</f>
        <v>0.75406997258995023</v>
      </c>
      <c r="EX146" s="21">
        <f>EXP(-LN(2)/2)*EX145+(1-EXP(-LN(2)/2))/(LN(2)/2)*ER146*EU146*VLOOKUP('Données projet'!$B$15,Paramètres!$A$1:$I$89,3,0)*0.475*44/12</f>
        <v>1.9889347732287896E-16</v>
      </c>
      <c r="EY146" s="22">
        <f t="shared" si="129"/>
        <v>1.0475761395526744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4.5474735088646412E-13</v>
      </c>
      <c r="FF146" s="17">
        <f>FE146*VLOOKUP('Données projet'!$B$16,Paramètres!$A$1:$I$89,3,0)*VLOOKUP('Données projet'!$B$16,Paramètres!$A$1:$I$89,5,0)</f>
        <v>4.8949004849418999E-13</v>
      </c>
      <c r="FG146" s="13">
        <f t="shared" si="155"/>
        <v>6.1123715499968684E-12</v>
      </c>
      <c r="FH146" s="20">
        <f t="shared" si="130"/>
        <v>1.1498242284038591E-11</v>
      </c>
      <c r="FI146" s="59">
        <f t="shared" si="131"/>
        <v>293.3333333333448</v>
      </c>
      <c r="FJ146" s="59">
        <f ca="1">AVERAGE(OFFSET($FI$3,0,0,'Données projet'!$E$16+1,1))-AVERAGE(OFFSET($H$3,0,0,'Données projet'!$E$16+1,1))</f>
        <v>286.77702855541287</v>
      </c>
      <c r="FK146" s="59">
        <f t="shared" si="156"/>
        <v>227.12211541860779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0</v>
      </c>
      <c r="FR146" s="21">
        <f>EXP(-LN(2)/25)*FR145+(1-EXP(-LN(2)/25))/(LN(2)/25)*Calculateur!FM146*Calculateur!FO146*VLOOKUP('Données projet'!$B$16,Paramètres!$A$1:$I$89,3,0)*0.475*44/12</f>
        <v>0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0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5.6843418860808015E-13</v>
      </c>
      <c r="GA146" s="17">
        <f>FZ146*VLOOKUP('Données projet'!$B$17,Paramètres!$A$1:$I$89,3,0)*VLOOKUP('Données projet'!$B$17,Paramètres!$A$1:$I$89,5,0)</f>
        <v>2.6602720026858149E-13</v>
      </c>
      <c r="GB146" s="13">
        <f t="shared" si="157"/>
        <v>3.5662905043956649E-12</v>
      </c>
      <c r="GC146" s="20">
        <f t="shared" si="133"/>
        <v>6.6746200022902298E-12</v>
      </c>
      <c r="GD146" s="59">
        <f t="shared" si="134"/>
        <v>293.33333333333997</v>
      </c>
      <c r="GE146" s="59">
        <f ca="1">AVERAGE(OFFSET($GD$3,0,0,'Données projet'!$E$17+1,1))-AVERAGE(OFFSET($H$3,0,0,'Données projet'!$E$17+1,1))</f>
        <v>123.2823358462245</v>
      </c>
      <c r="GF146" s="59">
        <f t="shared" si="158"/>
        <v>92.75115399786057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0</v>
      </c>
      <c r="GM146" s="21">
        <f>EXP(-LN(2)/25)*GM145+(1-EXP(-LN(2)/25))/(LN(2)/25)*Calculateur!GH146*Calculateur!GJ146*VLOOKUP('Données projet'!$B$17,Paramètres!$A$1:$I$89,3,0)*0.475*44/12</f>
        <v>0</v>
      </c>
      <c r="GN146" s="21">
        <f>EXP(-LN(2)/2)*GN145+(1-EXP(-LN(2)/2))/(LN(2)/2)*GH146*GK146*VLOOKUP('Données projet'!$B$17,Paramètres!$A$1:$I$89,3,0)*0.475*44/12</f>
        <v>0</v>
      </c>
      <c r="GO146" s="21">
        <f t="shared" si="135"/>
        <v>0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-2.8421709430404007E-13</v>
      </c>
      <c r="GV146" s="17">
        <f>GU146*VLOOKUP('Données projet'!$B$18,Paramètres!$A$1:$I$89,3,0)*VLOOKUP('Données projet'!$B$18,Paramètres!$A$1:$I$89,5,0)</f>
        <v>-1.69961822393816E-13</v>
      </c>
      <c r="GW146" s="13" t="e">
        <f t="shared" si="159"/>
        <v>#NUM!</v>
      </c>
      <c r="GX146" s="20" t="e">
        <f t="shared" si="136"/>
        <v>#NUM!</v>
      </c>
      <c r="GY146" s="59" t="e">
        <f t="shared" si="137"/>
        <v>#NUM!</v>
      </c>
      <c r="GZ146" s="59">
        <f ca="1">AVERAGE(OFFSET($GY$3,0,0,'Données projet'!$E$18+1,1))-AVERAGE(OFFSET($H$3,0,0,'Données projet'!$E$18+1,1))</f>
        <v>171.96009656745713</v>
      </c>
      <c r="HA146" s="59">
        <f t="shared" si="160"/>
        <v>172.37574906747716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>
        <f>EXP(-LN(2)/35)*HG145+(1-EXP(-LN(2)/35))/(LN(2)/35)*HC146*HD146*VLOOKUP('Données projet'!$B$18,Paramètres!$A$1:$I$89,3,0)*0.475*44/12</f>
        <v>0.17795590799819916</v>
      </c>
      <c r="HH146" s="21">
        <f>EXP(-LN(2)/25)*HH145+(1-EXP(-LN(2)/25))/(LN(2)/25)*Calculateur!HC146*Calculateur!HE146*VLOOKUP('Données projet'!$B$18,Paramètres!$A$1:$I$89,3,0)*0.475*44/12</f>
        <v>0.89599076353337337</v>
      </c>
      <c r="HI146" s="21">
        <f>EXP(-LN(2)/2)*HI145+(1-EXP(-LN(2)/2))/(LN(2)/2)*HC146*HF146*VLOOKUP('Données projet'!$B$18,Paramètres!$A$1:$I$89,3,0)*0.475*44/12</f>
        <v>1.1819480649375114E-16</v>
      </c>
      <c r="HJ146" s="22">
        <f t="shared" si="138"/>
        <v>1.0739466715315726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-2.2737367544323206E-13</v>
      </c>
      <c r="O147" s="13">
        <f>N147*VLOOKUP('Données projet'!$B$9,Paramètres!$A$1:$I$89,3,0)*VLOOKUP('Données projet'!$B$9,Paramètres!$A$1:$I$89,5,0)</f>
        <v>-1.2710188457276673E-13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255.5374979188561</v>
      </c>
      <c r="T147" s="59">
        <f t="shared" si="142"/>
        <v>343.10418468620901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0.32319640409602529</v>
      </c>
      <c r="AA147" s="21">
        <f>EXP(-LN(2)/25)*AA146+(1-EXP(-LN(2)/25))/(LN(2)/25)*Calculateur!V147*Calculateur!X147*VLOOKUP('Données projet'!$B$9,Paramètres!$A$1:$I$89,3,0)*0.475*44/12</f>
        <v>0.67661739385336994</v>
      </c>
      <c r="AB147" s="21">
        <f>EXP(-LN(2)/2)*AB146+(1-EXP(-LN(2)/2))/(LN(2)/2)*V147*Y147*VLOOKUP('Données projet'!$B$9,Paramètres!$A$1:$I$89,3,0)*0.475*44/12</f>
        <v>1.1745133195559712E-17</v>
      </c>
      <c r="AC147" s="22">
        <f t="shared" si="111"/>
        <v>0.99981379794939529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3.4106051316484809E-13</v>
      </c>
      <c r="AJ147" s="13">
        <f>AI147*VLOOKUP('Données projet'!$B$10,Paramètres!$A$1:$I$89,3,0)*VLOOKUP('Données projet'!$B$10,Paramètres!$A$1:$I$89,5,0)</f>
        <v>1.5961632016114892E-13</v>
      </c>
      <c r="AK147" s="13">
        <f t="shared" si="143"/>
        <v>2.2708641912150958E-12</v>
      </c>
      <c r="AL147" s="20">
        <f t="shared" si="112"/>
        <v>4.2330868906469593E-12</v>
      </c>
      <c r="AM147" s="59">
        <f t="shared" si="113"/>
        <v>293.33333333333752</v>
      </c>
      <c r="AN147" s="59">
        <f ca="1">AVERAGE(OFFSET($AM$3,0,0,'Données projet'!$E$10+1,1))-AVERAGE(OFFSET($H$3,0,0,'Données projet'!$E$10+1,1))</f>
        <v>158.58786357608489</v>
      </c>
      <c r="AO147" s="59">
        <f t="shared" si="144"/>
        <v>163.20074068819849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0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-1.7053025658242404E-13</v>
      </c>
      <c r="BE147" s="13">
        <f>BD147*VLOOKUP('Données projet'!$B$11,Paramètres!$A$1:$I$89,3,0)*VLOOKUP('Données projet'!$B$11,Paramètres!$A$1:$I$89,5,0)</f>
        <v>-1.0197709343628959E-13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243.85350804244348</v>
      </c>
      <c r="BJ147" s="59">
        <f t="shared" si="146"/>
        <v>304.60992308960545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0.47337043092194453</v>
      </c>
      <c r="BQ147" s="21">
        <f>EXP(-LN(2)/25)*BQ146+(1-EXP(-LN(2)/25))/(LN(2)/25)*Calculateur!BL147*Calculateur!BN147*VLOOKUP('Données projet'!$B$11,Paramètres!$A$1:$I$89,3,0)*0.475*44/12</f>
        <v>0.75159698401449804</v>
      </c>
      <c r="BR147" s="21">
        <f>EXP(-LN(2)/2)*BR146+(1-EXP(-LN(2)/2))/(LN(2)/2)*BL147*BO147*VLOOKUP('Données projet'!$B$11,Paramètres!$A$1:$I$89,3,0)*0.475*44/12</f>
        <v>2.5939157261509888E-17</v>
      </c>
      <c r="BS147" s="22">
        <f t="shared" si="117"/>
        <v>1.2249674149364425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497</v>
      </c>
      <c r="BZ147" s="13">
        <f>BY147*VLOOKUP('Données projet'!$B$12,Paramètres!$A$1:$I$89,3,0)*VLOOKUP('Données projet'!$B$12,Paramètres!$A$1:$I$89,5,0)</f>
        <v>297.20600000000002</v>
      </c>
      <c r="CA147" s="13">
        <f t="shared" si="147"/>
        <v>70.590415164571112</v>
      </c>
      <c r="CB147" s="20">
        <f t="shared" si="118"/>
        <v>640.57875641162809</v>
      </c>
      <c r="CC147" s="59">
        <f t="shared" si="119"/>
        <v>933.91208974496135</v>
      </c>
      <c r="CD147" s="59">
        <f ca="1">AVERAGE(OFFSET($CC$3,0,0,'Données projet'!$E$12+1,1))-AVERAGE(OFFSET($H$3,0,0,'Données projet'!$E$12+1,1))</f>
        <v>270.30888762640245</v>
      </c>
      <c r="CE147" s="59">
        <f t="shared" si="148"/>
        <v>202.23783851977691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0.2240245452527361</v>
      </c>
      <c r="CL147" s="21">
        <f>EXP(-LN(2)/25)*CL146+(1-EXP(-LN(2)/25))/(LN(2)/25)*Calculateur!CG147*Calculateur!CI147*VLOOKUP('Données projet'!$B$12,Paramètres!$A$1:$I$89,3,0)*0.475*44/12</f>
        <v>0.52124164416661811</v>
      </c>
      <c r="CM147" s="21">
        <f>EXP(-LN(2)/2)*CM146+(1-EXP(-LN(2)/2))/(LN(2)/2)*CG147*CJ147*VLOOKUP('Données projet'!$B$12,Paramètres!$A$1:$I$89,3,0)*0.475*44/12</f>
        <v>1.2831824898794769E-16</v>
      </c>
      <c r="CN147" s="22">
        <f t="shared" si="120"/>
        <v>0.7452661894193543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-5.1159076974727213E-13</v>
      </c>
      <c r="CU147" s="17">
        <f>CT147*VLOOKUP('Données projet'!$B$13,Paramètres!$A$1:$I$89,3,0)*VLOOKUP('Données projet'!$B$13,Paramètres!$A$1:$I$89,5,0)</f>
        <v>-4.0702161641092972E-13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260.20517190557814</v>
      </c>
      <c r="CZ147" s="59">
        <f t="shared" si="150"/>
        <v>307.22009971147133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0.34128570215193427</v>
      </c>
      <c r="DG147" s="21">
        <f>EXP(-LN(2)/25)*DG146+(1-EXP(-LN(2)/25))/(LN(2)/25)*Calculateur!DB147*Calculateur!DD147*VLOOKUP('Données projet'!$B$13,Paramètres!$A$1:$I$89,3,0)*0.475*44/12</f>
        <v>0.86990568293645765</v>
      </c>
      <c r="DH147" s="21">
        <f>EXP(-LN(2)/2)*DH146+(1-EXP(-LN(2)/2))/(LN(2)/2)*DB147*DE147*VLOOKUP('Données projet'!$B$13,Paramètres!$A$1:$I$89,3,0)*0.475*44/12</f>
        <v>1.6680430823227459E-16</v>
      </c>
      <c r="DI147" s="22">
        <f t="shared" si="123"/>
        <v>1.2111913850883922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4.5474735088646412E-13</v>
      </c>
      <c r="DP147" s="17">
        <f>DO147*VLOOKUP('Données projet'!$B$14,Paramètres!$A$1:$I$89,3,0)*VLOOKUP('Données projet'!$B$14,Paramètres!$A$1:$I$89,5,0)</f>
        <v>4.6111381379887462E-13</v>
      </c>
      <c r="DQ147" s="13">
        <f t="shared" si="151"/>
        <v>5.7981965206434308E-12</v>
      </c>
      <c r="DR147" s="20">
        <f t="shared" si="124"/>
        <v>1.0901632165820347E-11</v>
      </c>
      <c r="DS147" s="59">
        <f t="shared" si="125"/>
        <v>293.33333333334423</v>
      </c>
      <c r="DT147" s="59">
        <f ca="1">AVERAGE(OFFSET($DS$3,0,0,'Données projet'!$E$14+1,1))-AVERAGE(OFFSET($H$3,0,0,'Données projet'!$E$14+1,1))</f>
        <v>263.15518481854753</v>
      </c>
      <c r="DU147" s="59">
        <f t="shared" si="152"/>
        <v>210.80755370263819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0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-5.1159076974727213E-13</v>
      </c>
      <c r="EK147" s="17">
        <f>EJ147*VLOOKUP('Données projet'!$B$15,Paramètres!$A$1:$I$89,3,0)*VLOOKUP('Données projet'!$B$15,Paramètres!$A$1:$I$89,5,0)</f>
        <v>-3.4317508834647017E-13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207.93042467236967</v>
      </c>
      <c r="EP147" s="59">
        <f t="shared" si="154"/>
        <v>250.70954318710835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0.2877506900496698</v>
      </c>
      <c r="EW147" s="21">
        <f>EXP(-LN(2)/25)*EW146+(1-EXP(-LN(2)/25))/(LN(2)/25)*Calculateur!ER147*Calculateur!ET147*VLOOKUP('Données projet'!$B$15,Paramètres!$A$1:$I$89,3,0)*0.475*44/12</f>
        <v>0.73344988953466161</v>
      </c>
      <c r="EX147" s="21">
        <f>EXP(-LN(2)/2)*EX146+(1-EXP(-LN(2)/2))/(LN(2)/2)*ER147*EU147*VLOOKUP('Données projet'!$B$15,Paramètres!$A$1:$I$89,3,0)*0.475*44/12</f>
        <v>1.4063892654878053E-16</v>
      </c>
      <c r="EY147" s="22">
        <f t="shared" si="129"/>
        <v>1.0212005795843317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4.5474735088646412E-13</v>
      </c>
      <c r="FF147" s="17">
        <f>FE147*VLOOKUP('Données projet'!$B$16,Paramètres!$A$1:$I$89,3,0)*VLOOKUP('Données projet'!$B$16,Paramètres!$A$1:$I$89,5,0)</f>
        <v>4.8949004849418999E-13</v>
      </c>
      <c r="FG147" s="13">
        <f t="shared" si="155"/>
        <v>6.1123715499968684E-12</v>
      </c>
      <c r="FH147" s="20">
        <f t="shared" si="130"/>
        <v>1.1498242284038591E-11</v>
      </c>
      <c r="FI147" s="59">
        <f t="shared" si="131"/>
        <v>293.3333333333448</v>
      </c>
      <c r="FJ147" s="59">
        <f ca="1">AVERAGE(OFFSET($FI$3,0,0,'Données projet'!$E$16+1,1))-AVERAGE(OFFSET($H$3,0,0,'Données projet'!$E$16+1,1))</f>
        <v>286.77702855541287</v>
      </c>
      <c r="FK147" s="59">
        <f t="shared" si="156"/>
        <v>227.12211541860779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0</v>
      </c>
      <c r="FR147" s="21">
        <f>EXP(-LN(2)/25)*FR146+(1-EXP(-LN(2)/25))/(LN(2)/25)*Calculateur!FM147*Calculateur!FO147*VLOOKUP('Données projet'!$B$16,Paramètres!$A$1:$I$89,3,0)*0.475*44/12</f>
        <v>0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0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5.6843418860808015E-13</v>
      </c>
      <c r="GA147" s="17">
        <f>FZ147*VLOOKUP('Données projet'!$B$17,Paramètres!$A$1:$I$89,3,0)*VLOOKUP('Données projet'!$B$17,Paramètres!$A$1:$I$89,5,0)</f>
        <v>2.6602720026858149E-13</v>
      </c>
      <c r="GB147" s="13">
        <f t="shared" si="157"/>
        <v>3.5662905043956649E-12</v>
      </c>
      <c r="GC147" s="20">
        <f t="shared" si="133"/>
        <v>6.6746200022902298E-12</v>
      </c>
      <c r="GD147" s="59">
        <f t="shared" si="134"/>
        <v>293.33333333333997</v>
      </c>
      <c r="GE147" s="59">
        <f ca="1">AVERAGE(OFFSET($GD$3,0,0,'Données projet'!$E$17+1,1))-AVERAGE(OFFSET($H$3,0,0,'Données projet'!$E$17+1,1))</f>
        <v>123.2823358462245</v>
      </c>
      <c r="GF147" s="59">
        <f t="shared" si="158"/>
        <v>92.75115399786057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0</v>
      </c>
      <c r="GM147" s="21">
        <f>EXP(-LN(2)/25)*GM146+(1-EXP(-LN(2)/25))/(LN(2)/25)*Calculateur!GH147*Calculateur!GJ147*VLOOKUP('Données projet'!$B$17,Paramètres!$A$1:$I$89,3,0)*0.475*44/12</f>
        <v>0</v>
      </c>
      <c r="GN147" s="21">
        <f>EXP(-LN(2)/2)*GN146+(1-EXP(-LN(2)/2))/(LN(2)/2)*GH147*GK147*VLOOKUP('Données projet'!$B$17,Paramètres!$A$1:$I$89,3,0)*0.475*44/12</f>
        <v>0</v>
      </c>
      <c r="GO147" s="21">
        <f t="shared" si="135"/>
        <v>0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-2.8421709430404007E-13</v>
      </c>
      <c r="GV147" s="17">
        <f>GU147*VLOOKUP('Données projet'!$B$18,Paramètres!$A$1:$I$89,3,0)*VLOOKUP('Données projet'!$B$18,Paramètres!$A$1:$I$89,5,0)</f>
        <v>-1.69961822393816E-13</v>
      </c>
      <c r="GW147" s="13" t="e">
        <f t="shared" si="159"/>
        <v>#NUM!</v>
      </c>
      <c r="GX147" s="20" t="e">
        <f t="shared" si="136"/>
        <v>#NUM!</v>
      </c>
      <c r="GY147" s="59" t="e">
        <f t="shared" si="137"/>
        <v>#NUM!</v>
      </c>
      <c r="GZ147" s="59">
        <f ca="1">AVERAGE(OFFSET($GY$3,0,0,'Données projet'!$E$18+1,1))-AVERAGE(OFFSET($H$3,0,0,'Données projet'!$E$18+1,1))</f>
        <v>171.96009656745713</v>
      </c>
      <c r="HA147" s="59">
        <f t="shared" si="160"/>
        <v>172.37574906747716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>
        <f>EXP(-LN(2)/35)*HG146+(1-EXP(-LN(2)/35))/(LN(2)/35)*HC147*HD147*VLOOKUP('Données projet'!$B$18,Paramètres!$A$1:$I$89,3,0)*0.475*44/12</f>
        <v>0.17446630118474069</v>
      </c>
      <c r="HH147" s="21">
        <f>EXP(-LN(2)/25)*HH146+(1-EXP(-LN(2)/25))/(LN(2)/25)*Calculateur!HC147*Calculateur!HE147*VLOOKUP('Données projet'!$B$18,Paramètres!$A$1:$I$89,3,0)*0.475*44/12</f>
        <v>0.87148984898644688</v>
      </c>
      <c r="HI147" s="21">
        <f>EXP(-LN(2)/2)*HI146+(1-EXP(-LN(2)/2))/(LN(2)/2)*HC147*HF147*VLOOKUP('Données projet'!$B$18,Paramètres!$A$1:$I$89,3,0)*0.475*44/12</f>
        <v>8.3576349172763216E-17</v>
      </c>
      <c r="HJ147" s="22">
        <f t="shared" si="138"/>
        <v>1.0459561501711876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-2.2737367544323206E-13</v>
      </c>
      <c r="O148" s="13">
        <f>N148*VLOOKUP('Données projet'!$B$9,Paramètres!$A$1:$I$89,3,0)*VLOOKUP('Données projet'!$B$9,Paramètres!$A$1:$I$89,5,0)</f>
        <v>-1.2710188457276673E-13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255.5374979188561</v>
      </c>
      <c r="T148" s="59">
        <f t="shared" si="142"/>
        <v>343.10418468620901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0.31685871974204372</v>
      </c>
      <c r="AA148" s="21">
        <f>EXP(-LN(2)/25)*AA147+(1-EXP(-LN(2)/25))/(LN(2)/25)*Calculateur!V148*Calculateur!X148*VLOOKUP('Données projet'!$B$9,Paramètres!$A$1:$I$89,3,0)*0.475*44/12</f>
        <v>0.65811525563668727</v>
      </c>
      <c r="AB148" s="21">
        <f>EXP(-LN(2)/2)*AB147+(1-EXP(-LN(2)/2))/(LN(2)/2)*V148*Y148*VLOOKUP('Données projet'!$B$9,Paramètres!$A$1:$I$89,3,0)*0.475*44/12</f>
        <v>8.3050633285194971E-18</v>
      </c>
      <c r="AC148" s="22">
        <f t="shared" si="111"/>
        <v>0.97497397537873098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3.4106051316484809E-13</v>
      </c>
      <c r="AJ148" s="13">
        <f>AI148*VLOOKUP('Données projet'!$B$10,Paramètres!$A$1:$I$89,3,0)*VLOOKUP('Données projet'!$B$10,Paramètres!$A$1:$I$89,5,0)</f>
        <v>1.5961632016114892E-13</v>
      </c>
      <c r="AK148" s="13">
        <f t="shared" si="143"/>
        <v>2.2708641912150958E-12</v>
      </c>
      <c r="AL148" s="20">
        <f t="shared" si="112"/>
        <v>4.2330868906469593E-12</v>
      </c>
      <c r="AM148" s="59">
        <f t="shared" si="113"/>
        <v>293.33333333333752</v>
      </c>
      <c r="AN148" s="59">
        <f ca="1">AVERAGE(OFFSET($AM$3,0,0,'Données projet'!$E$10+1,1))-AVERAGE(OFFSET($H$3,0,0,'Données projet'!$E$10+1,1))</f>
        <v>158.58786357608489</v>
      </c>
      <c r="AO148" s="59">
        <f t="shared" si="144"/>
        <v>163.20074068819849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0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-1.7053025658242404E-13</v>
      </c>
      <c r="BE148" s="13">
        <f>BD148*VLOOKUP('Données projet'!$B$11,Paramètres!$A$1:$I$89,3,0)*VLOOKUP('Données projet'!$B$11,Paramètres!$A$1:$I$89,5,0)</f>
        <v>-1.0197709343628959E-13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243.85350804244348</v>
      </c>
      <c r="BJ148" s="59">
        <f t="shared" si="146"/>
        <v>304.60992308960545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0.46408792549901862</v>
      </c>
      <c r="BQ148" s="21">
        <f>EXP(-LN(2)/25)*BQ147+(1-EXP(-LN(2)/25))/(LN(2)/25)*Calculateur!BL148*Calculateur!BN148*VLOOKUP('Données projet'!$B$11,Paramètres!$A$1:$I$89,3,0)*0.475*44/12</f>
        <v>0.73104452496185401</v>
      </c>
      <c r="BR148" s="21">
        <f>EXP(-LN(2)/2)*BR147+(1-EXP(-LN(2)/2))/(LN(2)/2)*BL148*BO148*VLOOKUP('Données projet'!$B$11,Paramètres!$A$1:$I$89,3,0)*0.475*44/12</f>
        <v>1.8341753997877918E-17</v>
      </c>
      <c r="BS148" s="22">
        <f t="shared" si="117"/>
        <v>1.1951324504608727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497</v>
      </c>
      <c r="BZ148" s="13">
        <f>BY148*VLOOKUP('Données projet'!$B$12,Paramètres!$A$1:$I$89,3,0)*VLOOKUP('Données projet'!$B$12,Paramètres!$A$1:$I$89,5,0)</f>
        <v>297.20600000000002</v>
      </c>
      <c r="CA148" s="13">
        <f t="shared" si="147"/>
        <v>70.590415164571112</v>
      </c>
      <c r="CB148" s="20">
        <f t="shared" si="118"/>
        <v>640.57875641162809</v>
      </c>
      <c r="CC148" s="59">
        <f t="shared" si="119"/>
        <v>933.91208974496135</v>
      </c>
      <c r="CD148" s="59">
        <f ca="1">AVERAGE(OFFSET($CC$3,0,0,'Données projet'!$E$12+1,1))-AVERAGE(OFFSET($H$3,0,0,'Données projet'!$E$12+1,1))</f>
        <v>270.30888762640245</v>
      </c>
      <c r="CE148" s="59">
        <f t="shared" si="148"/>
        <v>202.23783851977691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0.21963156056181032</v>
      </c>
      <c r="CL148" s="21">
        <f>EXP(-LN(2)/25)*CL147+(1-EXP(-LN(2)/25))/(LN(2)/25)*Calculateur!CG148*Calculateur!CI148*VLOOKUP('Données projet'!$B$12,Paramètres!$A$1:$I$89,3,0)*0.475*44/12</f>
        <v>0.50698826399597519</v>
      </c>
      <c r="CM148" s="21">
        <f>EXP(-LN(2)/2)*CM147+(1-EXP(-LN(2)/2))/(LN(2)/2)*CG148*CJ148*VLOOKUP('Données projet'!$B$12,Paramètres!$A$1:$I$89,3,0)*0.475*44/12</f>
        <v>9.0734704009361652E-17</v>
      </c>
      <c r="CN148" s="22">
        <f t="shared" si="120"/>
        <v>0.72661982455778562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-5.1159076974727213E-13</v>
      </c>
      <c r="CU148" s="17">
        <f>CT148*VLOOKUP('Données projet'!$B$13,Paramètres!$A$1:$I$89,3,0)*VLOOKUP('Données projet'!$B$13,Paramètres!$A$1:$I$89,5,0)</f>
        <v>-4.0702161641092972E-13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260.20517190557814</v>
      </c>
      <c r="CZ148" s="59">
        <f t="shared" si="150"/>
        <v>307.22009971147133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0.33459329769645868</v>
      </c>
      <c r="DG148" s="21">
        <f>EXP(-LN(2)/25)*DG147+(1-EXP(-LN(2)/25))/(LN(2)/25)*Calculateur!DB148*Calculateur!DD148*VLOOKUP('Données projet'!$B$13,Paramètres!$A$1:$I$89,3,0)*0.475*44/12</f>
        <v>0.84611806629020858</v>
      </c>
      <c r="DH148" s="21">
        <f>EXP(-LN(2)/2)*DH147+(1-EXP(-LN(2)/2))/(LN(2)/2)*DB148*DE148*VLOOKUP('Données projet'!$B$13,Paramètres!$A$1:$I$89,3,0)*0.475*44/12</f>
        <v>1.1794845748217241E-16</v>
      </c>
      <c r="DI148" s="22">
        <f t="shared" si="123"/>
        <v>1.1807113639866675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4.5474735088646412E-13</v>
      </c>
      <c r="DP148" s="17">
        <f>DO148*VLOOKUP('Données projet'!$B$14,Paramètres!$A$1:$I$89,3,0)*VLOOKUP('Données projet'!$B$14,Paramètres!$A$1:$I$89,5,0)</f>
        <v>4.6111381379887462E-13</v>
      </c>
      <c r="DQ148" s="13">
        <f t="shared" si="151"/>
        <v>5.7981965206434308E-12</v>
      </c>
      <c r="DR148" s="20">
        <f t="shared" si="124"/>
        <v>1.0901632165820347E-11</v>
      </c>
      <c r="DS148" s="59">
        <f t="shared" si="125"/>
        <v>293.33333333334423</v>
      </c>
      <c r="DT148" s="59">
        <f ca="1">AVERAGE(OFFSET($DS$3,0,0,'Données projet'!$E$14+1,1))-AVERAGE(OFFSET($H$3,0,0,'Données projet'!$E$14+1,1))</f>
        <v>263.15518481854753</v>
      </c>
      <c r="DU148" s="59">
        <f t="shared" si="152"/>
        <v>210.80755370263819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0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-5.1159076974727213E-13</v>
      </c>
      <c r="EK148" s="17">
        <f>EJ148*VLOOKUP('Données projet'!$B$15,Paramètres!$A$1:$I$89,3,0)*VLOOKUP('Données projet'!$B$15,Paramètres!$A$1:$I$89,5,0)</f>
        <v>-3.4317508834647017E-13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207.93042467236967</v>
      </c>
      <c r="EP148" s="59">
        <f t="shared" si="154"/>
        <v>250.70954318710835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0.28210807452838649</v>
      </c>
      <c r="EW148" s="21">
        <f>EXP(-LN(2)/25)*EW147+(1-EXP(-LN(2)/25))/(LN(2)/25)*Calculateur!ER148*Calculateur!ET148*VLOOKUP('Données projet'!$B$15,Paramètres!$A$1:$I$89,3,0)*0.475*44/12</f>
        <v>0.71339366373488289</v>
      </c>
      <c r="EX148" s="21">
        <f>EXP(-LN(2)/2)*EX147+(1-EXP(-LN(2)/2))/(LN(2)/2)*ER148*EU148*VLOOKUP('Données projet'!$B$15,Paramètres!$A$1:$I$89,3,0)*0.475*44/12</f>
        <v>9.9446738661439481E-17</v>
      </c>
      <c r="EY148" s="22">
        <f t="shared" si="129"/>
        <v>0.99550173826326949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4.5474735088646412E-13</v>
      </c>
      <c r="FF148" s="17">
        <f>FE148*VLOOKUP('Données projet'!$B$16,Paramètres!$A$1:$I$89,3,0)*VLOOKUP('Données projet'!$B$16,Paramètres!$A$1:$I$89,5,0)</f>
        <v>4.8949004849418999E-13</v>
      </c>
      <c r="FG148" s="13">
        <f t="shared" si="155"/>
        <v>6.1123715499968684E-12</v>
      </c>
      <c r="FH148" s="20">
        <f t="shared" si="130"/>
        <v>1.1498242284038591E-11</v>
      </c>
      <c r="FI148" s="59">
        <f t="shared" si="131"/>
        <v>293.3333333333448</v>
      </c>
      <c r="FJ148" s="59">
        <f ca="1">AVERAGE(OFFSET($FI$3,0,0,'Données projet'!$E$16+1,1))-AVERAGE(OFFSET($H$3,0,0,'Données projet'!$E$16+1,1))</f>
        <v>286.77702855541287</v>
      </c>
      <c r="FK148" s="59">
        <f t="shared" si="156"/>
        <v>227.12211541860779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0</v>
      </c>
      <c r="FR148" s="21">
        <f>EXP(-LN(2)/25)*FR147+(1-EXP(-LN(2)/25))/(LN(2)/25)*Calculateur!FM148*Calculateur!FO148*VLOOKUP('Données projet'!$B$16,Paramètres!$A$1:$I$89,3,0)*0.475*44/12</f>
        <v>0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0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5.6843418860808015E-13</v>
      </c>
      <c r="GA148" s="17">
        <f>FZ148*VLOOKUP('Données projet'!$B$17,Paramètres!$A$1:$I$89,3,0)*VLOOKUP('Données projet'!$B$17,Paramètres!$A$1:$I$89,5,0)</f>
        <v>2.6602720026858149E-13</v>
      </c>
      <c r="GB148" s="13">
        <f t="shared" si="157"/>
        <v>3.5662905043956649E-12</v>
      </c>
      <c r="GC148" s="20">
        <f t="shared" si="133"/>
        <v>6.6746200022902298E-12</v>
      </c>
      <c r="GD148" s="59">
        <f t="shared" si="134"/>
        <v>293.33333333333997</v>
      </c>
      <c r="GE148" s="59">
        <f ca="1">AVERAGE(OFFSET($GD$3,0,0,'Données projet'!$E$17+1,1))-AVERAGE(OFFSET($H$3,0,0,'Données projet'!$E$17+1,1))</f>
        <v>123.2823358462245</v>
      </c>
      <c r="GF148" s="59">
        <f t="shared" si="158"/>
        <v>92.75115399786057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0</v>
      </c>
      <c r="GM148" s="21">
        <f>EXP(-LN(2)/25)*GM147+(1-EXP(-LN(2)/25))/(LN(2)/25)*Calculateur!GH148*Calculateur!GJ148*VLOOKUP('Données projet'!$B$17,Paramètres!$A$1:$I$89,3,0)*0.475*44/12</f>
        <v>0</v>
      </c>
      <c r="GN148" s="21">
        <f>EXP(-LN(2)/2)*GN147+(1-EXP(-LN(2)/2))/(LN(2)/2)*GH148*GK148*VLOOKUP('Données projet'!$B$17,Paramètres!$A$1:$I$89,3,0)*0.475*44/12</f>
        <v>0</v>
      </c>
      <c r="GO148" s="21">
        <f t="shared" si="135"/>
        <v>0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-2.8421709430404007E-13</v>
      </c>
      <c r="GV148" s="17">
        <f>GU148*VLOOKUP('Données projet'!$B$18,Paramètres!$A$1:$I$89,3,0)*VLOOKUP('Données projet'!$B$18,Paramètres!$A$1:$I$89,5,0)</f>
        <v>-1.69961822393816E-13</v>
      </c>
      <c r="GW148" s="13" t="e">
        <f t="shared" si="159"/>
        <v>#NUM!</v>
      </c>
      <c r="GX148" s="20" t="e">
        <f t="shared" si="136"/>
        <v>#NUM!</v>
      </c>
      <c r="GY148" s="59" t="e">
        <f t="shared" si="137"/>
        <v>#NUM!</v>
      </c>
      <c r="GZ148" s="59">
        <f ca="1">AVERAGE(OFFSET($GY$3,0,0,'Données projet'!$E$18+1,1))-AVERAGE(OFFSET($H$3,0,0,'Données projet'!$E$18+1,1))</f>
        <v>171.96009656745713</v>
      </c>
      <c r="HA148" s="59">
        <f t="shared" si="160"/>
        <v>172.37574906747716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>
        <f>EXP(-LN(2)/35)*HG147+(1-EXP(-LN(2)/35))/(LN(2)/35)*HC148*HD148*VLOOKUP('Données projet'!$B$18,Paramètres!$A$1:$I$89,3,0)*0.475*44/12</f>
        <v>0.17104512343244413</v>
      </c>
      <c r="HH148" s="21">
        <f>EXP(-LN(2)/25)*HH147+(1-EXP(-LN(2)/25))/(LN(2)/25)*Calculateur!HC148*Calculateur!HE148*VLOOKUP('Données projet'!$B$18,Paramètres!$A$1:$I$89,3,0)*0.475*44/12</f>
        <v>0.8476589132362532</v>
      </c>
      <c r="HI148" s="21">
        <f>EXP(-LN(2)/2)*HI147+(1-EXP(-LN(2)/2))/(LN(2)/2)*HC148*HF148*VLOOKUP('Données projet'!$B$18,Paramètres!$A$1:$I$89,3,0)*0.475*44/12</f>
        <v>5.9097403246875571E-17</v>
      </c>
      <c r="HJ148" s="22">
        <f t="shared" si="138"/>
        <v>1.0187040366686972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-2.2737367544323206E-13</v>
      </c>
      <c r="O149" s="13">
        <f>N149*VLOOKUP('Données projet'!$B$9,Paramètres!$A$1:$I$89,3,0)*VLOOKUP('Données projet'!$B$9,Paramètres!$A$1:$I$89,5,0)</f>
        <v>-1.2710188457276673E-13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255.5374979188561</v>
      </c>
      <c r="T149" s="59">
        <f t="shared" si="142"/>
        <v>343.10418468620901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0.31064531351263797</v>
      </c>
      <c r="AA149" s="21">
        <f>EXP(-LN(2)/25)*AA148+(1-EXP(-LN(2)/25))/(LN(2)/25)*Calculateur!V149*Calculateur!X149*VLOOKUP('Données projet'!$B$9,Paramètres!$A$1:$I$89,3,0)*0.475*44/12</f>
        <v>0.64011905936252489</v>
      </c>
      <c r="AB149" s="21">
        <f>EXP(-LN(2)/2)*AB148+(1-EXP(-LN(2)/2))/(LN(2)/2)*V149*Y149*VLOOKUP('Données projet'!$B$9,Paramètres!$A$1:$I$89,3,0)*0.475*44/12</f>
        <v>5.8725665977798562E-18</v>
      </c>
      <c r="AC149" s="22">
        <f t="shared" si="111"/>
        <v>0.95076437287516291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3.4106051316484809E-13</v>
      </c>
      <c r="AJ149" s="13">
        <f>AI149*VLOOKUP('Données projet'!$B$10,Paramètres!$A$1:$I$89,3,0)*VLOOKUP('Données projet'!$B$10,Paramètres!$A$1:$I$89,5,0)</f>
        <v>1.5961632016114892E-13</v>
      </c>
      <c r="AK149" s="13">
        <f t="shared" si="143"/>
        <v>2.2708641912150958E-12</v>
      </c>
      <c r="AL149" s="20">
        <f t="shared" si="112"/>
        <v>4.2330868906469593E-12</v>
      </c>
      <c r="AM149" s="59">
        <f t="shared" si="113"/>
        <v>293.33333333333752</v>
      </c>
      <c r="AN149" s="59">
        <f ca="1">AVERAGE(OFFSET($AM$3,0,0,'Données projet'!$E$10+1,1))-AVERAGE(OFFSET($H$3,0,0,'Données projet'!$E$10+1,1))</f>
        <v>158.58786357608489</v>
      </c>
      <c r="AO149" s="59">
        <f t="shared" si="144"/>
        <v>163.20074068819849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0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-1.7053025658242404E-13</v>
      </c>
      <c r="BE149" s="13">
        <f>BD149*VLOOKUP('Données projet'!$B$11,Paramètres!$A$1:$I$89,3,0)*VLOOKUP('Données projet'!$B$11,Paramètres!$A$1:$I$89,5,0)</f>
        <v>-1.0197709343628959E-13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243.85350804244348</v>
      </c>
      <c r="BJ149" s="59">
        <f t="shared" si="146"/>
        <v>304.60992308960545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0.45498744434566701</v>
      </c>
      <c r="BQ149" s="21">
        <f>EXP(-LN(2)/25)*BQ148+(1-EXP(-LN(2)/25))/(LN(2)/25)*Calculateur!BL149*Calculateur!BN149*VLOOKUP('Données projet'!$B$11,Paramètres!$A$1:$I$89,3,0)*0.475*44/12</f>
        <v>0.7110540739828114</v>
      </c>
      <c r="BR149" s="21">
        <f>EXP(-LN(2)/2)*BR148+(1-EXP(-LN(2)/2))/(LN(2)/2)*BL149*BO149*VLOOKUP('Données projet'!$B$11,Paramètres!$A$1:$I$89,3,0)*0.475*44/12</f>
        <v>1.2969578630754944E-17</v>
      </c>
      <c r="BS149" s="22">
        <f t="shared" si="117"/>
        <v>1.1660415183284785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497</v>
      </c>
      <c r="BZ149" s="13">
        <f>BY149*VLOOKUP('Données projet'!$B$12,Paramètres!$A$1:$I$89,3,0)*VLOOKUP('Données projet'!$B$12,Paramètres!$A$1:$I$89,5,0)</f>
        <v>297.20600000000002</v>
      </c>
      <c r="CA149" s="13">
        <f t="shared" si="147"/>
        <v>70.590415164571112</v>
      </c>
      <c r="CB149" s="20">
        <f t="shared" si="118"/>
        <v>640.57875641162809</v>
      </c>
      <c r="CC149" s="59">
        <f t="shared" si="119"/>
        <v>933.91208974496135</v>
      </c>
      <c r="CD149" s="59">
        <f ca="1">AVERAGE(OFFSET($CC$3,0,0,'Données projet'!$E$12+1,1))-AVERAGE(OFFSET($H$3,0,0,'Données projet'!$E$12+1,1))</f>
        <v>270.30888762640245</v>
      </c>
      <c r="CE149" s="59">
        <f t="shared" si="148"/>
        <v>202.23783851977691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0.21532471962121752</v>
      </c>
      <c r="CL149" s="21">
        <f>EXP(-LN(2)/25)*CL148+(1-EXP(-LN(2)/25))/(LN(2)/25)*Calculateur!CG149*Calculateur!CI149*VLOOKUP('Données projet'!$B$12,Paramètres!$A$1:$I$89,3,0)*0.475*44/12</f>
        <v>0.4931246432556512</v>
      </c>
      <c r="CM149" s="21">
        <f>EXP(-LN(2)/2)*CM148+(1-EXP(-LN(2)/2))/(LN(2)/2)*CG149*CJ149*VLOOKUP('Données projet'!$B$12,Paramètres!$A$1:$I$89,3,0)*0.475*44/12</f>
        <v>6.4159124493973846E-17</v>
      </c>
      <c r="CN149" s="22">
        <f t="shared" si="120"/>
        <v>0.70844936287686877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-5.1159076974727213E-13</v>
      </c>
      <c r="CU149" s="17">
        <f>CT149*VLOOKUP('Données projet'!$B$13,Paramètres!$A$1:$I$89,3,0)*VLOOKUP('Données projet'!$B$13,Paramètres!$A$1:$I$89,5,0)</f>
        <v>-4.0702161641092972E-13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260.20517190557814</v>
      </c>
      <c r="CZ149" s="59">
        <f t="shared" si="150"/>
        <v>307.22009971147133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0.32803212721039132</v>
      </c>
      <c r="DG149" s="21">
        <f>EXP(-LN(2)/25)*DG148+(1-EXP(-LN(2)/25))/(LN(2)/25)*Calculateur!DB149*Calculateur!DD149*VLOOKUP('Données projet'!$B$13,Paramètres!$A$1:$I$89,3,0)*0.475*44/12</f>
        <v>0.82298092327208761</v>
      </c>
      <c r="DH149" s="21">
        <f>EXP(-LN(2)/2)*DH148+(1-EXP(-LN(2)/2))/(LN(2)/2)*DB149*DE149*VLOOKUP('Données projet'!$B$13,Paramètres!$A$1:$I$89,3,0)*0.475*44/12</f>
        <v>8.3402154116137294E-17</v>
      </c>
      <c r="DI149" s="22">
        <f t="shared" si="123"/>
        <v>1.1510130504824789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4.5474735088646412E-13</v>
      </c>
      <c r="DP149" s="17">
        <f>DO149*VLOOKUP('Données projet'!$B$14,Paramètres!$A$1:$I$89,3,0)*VLOOKUP('Données projet'!$B$14,Paramètres!$A$1:$I$89,5,0)</f>
        <v>4.6111381379887462E-13</v>
      </c>
      <c r="DQ149" s="13">
        <f t="shared" si="151"/>
        <v>5.7981965206434308E-12</v>
      </c>
      <c r="DR149" s="20">
        <f t="shared" si="124"/>
        <v>1.0901632165820347E-11</v>
      </c>
      <c r="DS149" s="59">
        <f t="shared" si="125"/>
        <v>293.33333333334423</v>
      </c>
      <c r="DT149" s="59">
        <f ca="1">AVERAGE(OFFSET($DS$3,0,0,'Données projet'!$E$14+1,1))-AVERAGE(OFFSET($H$3,0,0,'Données projet'!$E$14+1,1))</f>
        <v>263.15518481854753</v>
      </c>
      <c r="DU149" s="59">
        <f t="shared" si="152"/>
        <v>210.80755370263819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0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-5.1159076974727213E-13</v>
      </c>
      <c r="EK149" s="17">
        <f>EJ149*VLOOKUP('Données projet'!$B$15,Paramètres!$A$1:$I$89,3,0)*VLOOKUP('Données projet'!$B$15,Paramètres!$A$1:$I$89,5,0)</f>
        <v>-3.4317508834647017E-13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207.93042467236967</v>
      </c>
      <c r="EP149" s="59">
        <f t="shared" si="154"/>
        <v>250.70954318710835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0.27657610725581988</v>
      </c>
      <c r="EW149" s="21">
        <f>EXP(-LN(2)/25)*EW148+(1-EXP(-LN(2)/25))/(LN(2)/25)*Calculateur!ER149*Calculateur!ET149*VLOOKUP('Données projet'!$B$15,Paramètres!$A$1:$I$89,3,0)*0.475*44/12</f>
        <v>0.69388587648431022</v>
      </c>
      <c r="EX149" s="21">
        <f>EXP(-LN(2)/2)*EX148+(1-EXP(-LN(2)/2))/(LN(2)/2)*ER149*EU149*VLOOKUP('Données projet'!$B$15,Paramètres!$A$1:$I$89,3,0)*0.475*44/12</f>
        <v>7.0319463274390263E-17</v>
      </c>
      <c r="EY149" s="22">
        <f t="shared" si="129"/>
        <v>0.97046198374013015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4.5474735088646412E-13</v>
      </c>
      <c r="FF149" s="17">
        <f>FE149*VLOOKUP('Données projet'!$B$16,Paramètres!$A$1:$I$89,3,0)*VLOOKUP('Données projet'!$B$16,Paramètres!$A$1:$I$89,5,0)</f>
        <v>4.8949004849418999E-13</v>
      </c>
      <c r="FG149" s="13">
        <f t="shared" si="155"/>
        <v>6.1123715499968684E-12</v>
      </c>
      <c r="FH149" s="20">
        <f t="shared" si="130"/>
        <v>1.1498242284038591E-11</v>
      </c>
      <c r="FI149" s="59">
        <f t="shared" si="131"/>
        <v>293.3333333333448</v>
      </c>
      <c r="FJ149" s="59">
        <f ca="1">AVERAGE(OFFSET($FI$3,0,0,'Données projet'!$E$16+1,1))-AVERAGE(OFFSET($H$3,0,0,'Données projet'!$E$16+1,1))</f>
        <v>286.77702855541287</v>
      </c>
      <c r="FK149" s="59">
        <f t="shared" si="156"/>
        <v>227.12211541860779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0</v>
      </c>
      <c r="FR149" s="21">
        <f>EXP(-LN(2)/25)*FR148+(1-EXP(-LN(2)/25))/(LN(2)/25)*Calculateur!FM149*Calculateur!FO149*VLOOKUP('Données projet'!$B$16,Paramètres!$A$1:$I$89,3,0)*0.475*44/12</f>
        <v>0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0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5.6843418860808015E-13</v>
      </c>
      <c r="GA149" s="17">
        <f>FZ149*VLOOKUP('Données projet'!$B$17,Paramètres!$A$1:$I$89,3,0)*VLOOKUP('Données projet'!$B$17,Paramètres!$A$1:$I$89,5,0)</f>
        <v>2.6602720026858149E-13</v>
      </c>
      <c r="GB149" s="13">
        <f t="shared" si="157"/>
        <v>3.5662905043956649E-12</v>
      </c>
      <c r="GC149" s="20">
        <f t="shared" si="133"/>
        <v>6.6746200022902298E-12</v>
      </c>
      <c r="GD149" s="59">
        <f t="shared" si="134"/>
        <v>293.33333333333997</v>
      </c>
      <c r="GE149" s="59">
        <f ca="1">AVERAGE(OFFSET($GD$3,0,0,'Données projet'!$E$17+1,1))-AVERAGE(OFFSET($H$3,0,0,'Données projet'!$E$17+1,1))</f>
        <v>123.2823358462245</v>
      </c>
      <c r="GF149" s="59">
        <f t="shared" si="158"/>
        <v>92.75115399786057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0</v>
      </c>
      <c r="GM149" s="21">
        <f>EXP(-LN(2)/25)*GM148+(1-EXP(-LN(2)/25))/(LN(2)/25)*Calculateur!GH149*Calculateur!GJ149*VLOOKUP('Données projet'!$B$17,Paramètres!$A$1:$I$89,3,0)*0.475*44/12</f>
        <v>0</v>
      </c>
      <c r="GN149" s="21">
        <f>EXP(-LN(2)/2)*GN148+(1-EXP(-LN(2)/2))/(LN(2)/2)*GH149*GK149*VLOOKUP('Données projet'!$B$17,Paramètres!$A$1:$I$89,3,0)*0.475*44/12</f>
        <v>0</v>
      </c>
      <c r="GO149" s="21">
        <f t="shared" si="135"/>
        <v>0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-2.8421709430404007E-13</v>
      </c>
      <c r="GV149" s="17">
        <f>GU149*VLOOKUP('Données projet'!$B$18,Paramètres!$A$1:$I$89,3,0)*VLOOKUP('Données projet'!$B$18,Paramètres!$A$1:$I$89,5,0)</f>
        <v>-1.69961822393816E-13</v>
      </c>
      <c r="GW149" s="13" t="e">
        <f t="shared" si="159"/>
        <v>#NUM!</v>
      </c>
      <c r="GX149" s="20" t="e">
        <f t="shared" si="136"/>
        <v>#NUM!</v>
      </c>
      <c r="GY149" s="59" t="e">
        <f t="shared" si="137"/>
        <v>#NUM!</v>
      </c>
      <c r="GZ149" s="59">
        <f ca="1">AVERAGE(OFFSET($GY$3,0,0,'Données projet'!$E$18+1,1))-AVERAGE(OFFSET($H$3,0,0,'Données projet'!$E$18+1,1))</f>
        <v>171.96009656745713</v>
      </c>
      <c r="HA149" s="59">
        <f t="shared" si="160"/>
        <v>172.37574906747716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>
        <f>EXP(-LN(2)/35)*HG148+(1-EXP(-LN(2)/35))/(LN(2)/35)*HC149*HD149*VLOOKUP('Données projet'!$B$18,Paramètres!$A$1:$I$89,3,0)*0.475*44/12</f>
        <v>0.16769103288915774</v>
      </c>
      <c r="HH149" s="21">
        <f>EXP(-LN(2)/25)*HH148+(1-EXP(-LN(2)/25))/(LN(2)/25)*Calculateur!HC149*Calculateur!HE149*VLOOKUP('Données projet'!$B$18,Paramètres!$A$1:$I$89,3,0)*0.475*44/12</f>
        <v>0.82447963567736293</v>
      </c>
      <c r="HI149" s="21">
        <f>EXP(-LN(2)/2)*HI148+(1-EXP(-LN(2)/2))/(LN(2)/2)*HC149*HF149*VLOOKUP('Données projet'!$B$18,Paramètres!$A$1:$I$89,3,0)*0.475*44/12</f>
        <v>4.1788174586381608E-17</v>
      </c>
      <c r="HJ149" s="22">
        <f t="shared" si="138"/>
        <v>0.9921706685665207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-2.2737367544323206E-13</v>
      </c>
      <c r="O150" s="13">
        <f>N150*VLOOKUP('Données projet'!$B$9,Paramètres!$A$1:$I$89,3,0)*VLOOKUP('Données projet'!$B$9,Paramètres!$A$1:$I$89,5,0)</f>
        <v>-1.2710188457276673E-13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255.5374979188561</v>
      </c>
      <c r="T150" s="59">
        <f t="shared" si="142"/>
        <v>343.10418468620901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0.30455374838958726</v>
      </c>
      <c r="AA150" s="21">
        <f>EXP(-LN(2)/25)*AA149+(1-EXP(-LN(2)/25))/(LN(2)/25)*Calculateur!V150*Calculateur!X150*VLOOKUP('Données projet'!$B$9,Paramètres!$A$1:$I$89,3,0)*0.475*44/12</f>
        <v>0.62261497002185828</v>
      </c>
      <c r="AB150" s="21">
        <f>EXP(-LN(2)/2)*AB149+(1-EXP(-LN(2)/2))/(LN(2)/2)*V150*Y150*VLOOKUP('Données projet'!$B$9,Paramètres!$A$1:$I$89,3,0)*0.475*44/12</f>
        <v>4.1525316642597486E-18</v>
      </c>
      <c r="AC150" s="22">
        <f t="shared" si="111"/>
        <v>0.92716871841144555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3.4106051316484809E-13</v>
      </c>
      <c r="AJ150" s="13">
        <f>AI150*VLOOKUP('Données projet'!$B$10,Paramètres!$A$1:$I$89,3,0)*VLOOKUP('Données projet'!$B$10,Paramètres!$A$1:$I$89,5,0)</f>
        <v>1.5961632016114892E-13</v>
      </c>
      <c r="AK150" s="13">
        <f t="shared" si="143"/>
        <v>2.2708641912150958E-12</v>
      </c>
      <c r="AL150" s="20">
        <f t="shared" si="112"/>
        <v>4.2330868906469593E-12</v>
      </c>
      <c r="AM150" s="59">
        <f t="shared" si="113"/>
        <v>293.33333333333752</v>
      </c>
      <c r="AN150" s="59">
        <f ca="1">AVERAGE(OFFSET($AM$3,0,0,'Données projet'!$E$10+1,1))-AVERAGE(OFFSET($H$3,0,0,'Données projet'!$E$10+1,1))</f>
        <v>158.58786357608489</v>
      </c>
      <c r="AO150" s="59">
        <f t="shared" si="144"/>
        <v>163.20074068819849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0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-1.7053025658242404E-13</v>
      </c>
      <c r="BE150" s="13">
        <f>BD150*VLOOKUP('Données projet'!$B$11,Paramètres!$A$1:$I$89,3,0)*VLOOKUP('Données projet'!$B$11,Paramètres!$A$1:$I$89,5,0)</f>
        <v>-1.0197709343628959E-13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243.85350804244348</v>
      </c>
      <c r="BJ150" s="59">
        <f t="shared" si="146"/>
        <v>304.60992308960545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0.44606541807698719</v>
      </c>
      <c r="BQ150" s="21">
        <f>EXP(-LN(2)/25)*BQ149+(1-EXP(-LN(2)/25))/(LN(2)/25)*Calculateur!BL150*Calculateur!BN150*VLOOKUP('Données projet'!$B$11,Paramètres!$A$1:$I$89,3,0)*0.475*44/12</f>
        <v>0.69161026293704275</v>
      </c>
      <c r="BR150" s="21">
        <f>EXP(-LN(2)/2)*BR149+(1-EXP(-LN(2)/2))/(LN(2)/2)*BL150*BO150*VLOOKUP('Données projet'!$B$11,Paramètres!$A$1:$I$89,3,0)*0.475*44/12</f>
        <v>9.1708769989389589E-18</v>
      </c>
      <c r="BS150" s="22">
        <f t="shared" si="117"/>
        <v>1.1376756810140298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497</v>
      </c>
      <c r="BZ150" s="13">
        <f>BY150*VLOOKUP('Données projet'!$B$12,Paramètres!$A$1:$I$89,3,0)*VLOOKUP('Données projet'!$B$12,Paramètres!$A$1:$I$89,5,0)</f>
        <v>297.20600000000002</v>
      </c>
      <c r="CA150" s="13">
        <f t="shared" si="147"/>
        <v>70.590415164571112</v>
      </c>
      <c r="CB150" s="20">
        <f t="shared" si="118"/>
        <v>640.57875641162809</v>
      </c>
      <c r="CC150" s="59">
        <f t="shared" si="119"/>
        <v>933.91208974496135</v>
      </c>
      <c r="CD150" s="59">
        <f ca="1">AVERAGE(OFFSET($CC$3,0,0,'Données projet'!$E$12+1,1))-AVERAGE(OFFSET($H$3,0,0,'Données projet'!$E$12+1,1))</f>
        <v>270.30888762640245</v>
      </c>
      <c r="CE150" s="59">
        <f t="shared" si="148"/>
        <v>202.23783851977691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0.21110233320455615</v>
      </c>
      <c r="CL150" s="21">
        <f>EXP(-LN(2)/25)*CL149+(1-EXP(-LN(2)/25))/(LN(2)/25)*Calculateur!CG150*Calculateur!CI150*VLOOKUP('Données projet'!$B$12,Paramètres!$A$1:$I$89,3,0)*0.475*44/12</f>
        <v>0.47964012395352745</v>
      </c>
      <c r="CM150" s="21">
        <f>EXP(-LN(2)/2)*CM149+(1-EXP(-LN(2)/2))/(LN(2)/2)*CG150*CJ150*VLOOKUP('Données projet'!$B$12,Paramètres!$A$1:$I$89,3,0)*0.475*44/12</f>
        <v>4.5367352004680826E-17</v>
      </c>
      <c r="CN150" s="22">
        <f t="shared" si="120"/>
        <v>0.69074245715808358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-5.1159076974727213E-13</v>
      </c>
      <c r="CU150" s="17">
        <f>CT150*VLOOKUP('Données projet'!$B$13,Paramètres!$A$1:$I$89,3,0)*VLOOKUP('Données projet'!$B$13,Paramètres!$A$1:$I$89,5,0)</f>
        <v>-4.0702161641092972E-13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260.20517190557814</v>
      </c>
      <c r="CZ150" s="59">
        <f t="shared" si="150"/>
        <v>307.22009971147133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0.32159961727563691</v>
      </c>
      <c r="DG150" s="21">
        <f>EXP(-LN(2)/25)*DG149+(1-EXP(-LN(2)/25))/(LN(2)/25)*Calculateur!DB150*Calculateur!DD150*VLOOKUP('Données projet'!$B$13,Paramètres!$A$1:$I$89,3,0)*0.475*44/12</f>
        <v>0.80047646664652661</v>
      </c>
      <c r="DH150" s="21">
        <f>EXP(-LN(2)/2)*DH149+(1-EXP(-LN(2)/2))/(LN(2)/2)*DB150*DE150*VLOOKUP('Données projet'!$B$13,Paramètres!$A$1:$I$89,3,0)*0.475*44/12</f>
        <v>5.8974228741086207E-17</v>
      </c>
      <c r="DI150" s="22">
        <f t="shared" si="123"/>
        <v>1.1220760839221635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4.5474735088646412E-13</v>
      </c>
      <c r="DP150" s="17">
        <f>DO150*VLOOKUP('Données projet'!$B$14,Paramètres!$A$1:$I$89,3,0)*VLOOKUP('Données projet'!$B$14,Paramètres!$A$1:$I$89,5,0)</f>
        <v>4.6111381379887462E-13</v>
      </c>
      <c r="DQ150" s="13">
        <f t="shared" si="151"/>
        <v>5.7981965206434308E-12</v>
      </c>
      <c r="DR150" s="20">
        <f t="shared" si="124"/>
        <v>1.0901632165820347E-11</v>
      </c>
      <c r="DS150" s="59">
        <f t="shared" si="125"/>
        <v>293.33333333334423</v>
      </c>
      <c r="DT150" s="59">
        <f ca="1">AVERAGE(OFFSET($DS$3,0,0,'Données projet'!$E$14+1,1))-AVERAGE(OFFSET($H$3,0,0,'Données projet'!$E$14+1,1))</f>
        <v>263.15518481854753</v>
      </c>
      <c r="DU150" s="59">
        <f t="shared" si="152"/>
        <v>210.80755370263819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0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-5.1159076974727213E-13</v>
      </c>
      <c r="EK150" s="17">
        <f>EJ150*VLOOKUP('Données projet'!$B$15,Paramètres!$A$1:$I$89,3,0)*VLOOKUP('Données projet'!$B$15,Paramètres!$A$1:$I$89,5,0)</f>
        <v>-3.4317508834647017E-13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207.93042467236967</v>
      </c>
      <c r="EP150" s="59">
        <f t="shared" si="154"/>
        <v>250.70954318710835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0.27115261848730143</v>
      </c>
      <c r="EW150" s="21">
        <f>EXP(-LN(2)/25)*EW149+(1-EXP(-LN(2)/25))/(LN(2)/25)*Calculateur!ER150*Calculateur!ET150*VLOOKUP('Données projet'!$B$15,Paramètres!$A$1:$I$89,3,0)*0.475*44/12</f>
        <v>0.6749115307019744</v>
      </c>
      <c r="EX150" s="21">
        <f>EXP(-LN(2)/2)*EX149+(1-EXP(-LN(2)/2))/(LN(2)/2)*ER150*EU150*VLOOKUP('Données projet'!$B$15,Paramètres!$A$1:$I$89,3,0)*0.475*44/12</f>
        <v>4.9723369330719741E-17</v>
      </c>
      <c r="EY150" s="22">
        <f t="shared" si="129"/>
        <v>0.94606414918927584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4.5474735088646412E-13</v>
      </c>
      <c r="FF150" s="17">
        <f>FE150*VLOOKUP('Données projet'!$B$16,Paramètres!$A$1:$I$89,3,0)*VLOOKUP('Données projet'!$B$16,Paramètres!$A$1:$I$89,5,0)</f>
        <v>4.8949004849418999E-13</v>
      </c>
      <c r="FG150" s="13">
        <f t="shared" si="155"/>
        <v>6.1123715499968684E-12</v>
      </c>
      <c r="FH150" s="20">
        <f t="shared" si="130"/>
        <v>1.1498242284038591E-11</v>
      </c>
      <c r="FI150" s="59">
        <f t="shared" si="131"/>
        <v>293.3333333333448</v>
      </c>
      <c r="FJ150" s="59">
        <f ca="1">AVERAGE(OFFSET($FI$3,0,0,'Données projet'!$E$16+1,1))-AVERAGE(OFFSET($H$3,0,0,'Données projet'!$E$16+1,1))</f>
        <v>286.77702855541287</v>
      </c>
      <c r="FK150" s="59">
        <f t="shared" si="156"/>
        <v>227.12211541860779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0</v>
      </c>
      <c r="FR150" s="21">
        <f>EXP(-LN(2)/25)*FR149+(1-EXP(-LN(2)/25))/(LN(2)/25)*Calculateur!FM150*Calculateur!FO150*VLOOKUP('Données projet'!$B$16,Paramètres!$A$1:$I$89,3,0)*0.475*44/12</f>
        <v>0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0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5.6843418860808015E-13</v>
      </c>
      <c r="GA150" s="17">
        <f>FZ150*VLOOKUP('Données projet'!$B$17,Paramètres!$A$1:$I$89,3,0)*VLOOKUP('Données projet'!$B$17,Paramètres!$A$1:$I$89,5,0)</f>
        <v>2.6602720026858149E-13</v>
      </c>
      <c r="GB150" s="13">
        <f t="shared" si="157"/>
        <v>3.5662905043956649E-12</v>
      </c>
      <c r="GC150" s="20">
        <f t="shared" si="133"/>
        <v>6.6746200022902298E-12</v>
      </c>
      <c r="GD150" s="59">
        <f t="shared" si="134"/>
        <v>293.33333333333997</v>
      </c>
      <c r="GE150" s="59">
        <f ca="1">AVERAGE(OFFSET($GD$3,0,0,'Données projet'!$E$17+1,1))-AVERAGE(OFFSET($H$3,0,0,'Données projet'!$E$17+1,1))</f>
        <v>123.2823358462245</v>
      </c>
      <c r="GF150" s="59">
        <f t="shared" si="158"/>
        <v>92.75115399786057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0</v>
      </c>
      <c r="GM150" s="21">
        <f>EXP(-LN(2)/25)*GM149+(1-EXP(-LN(2)/25))/(LN(2)/25)*Calculateur!GH150*Calculateur!GJ150*VLOOKUP('Données projet'!$B$17,Paramètres!$A$1:$I$89,3,0)*0.475*44/12</f>
        <v>0</v>
      </c>
      <c r="GN150" s="21">
        <f>EXP(-LN(2)/2)*GN149+(1-EXP(-LN(2)/2))/(LN(2)/2)*GH150*GK150*VLOOKUP('Données projet'!$B$17,Paramètres!$A$1:$I$89,3,0)*0.475*44/12</f>
        <v>0</v>
      </c>
      <c r="GO150" s="21">
        <f t="shared" si="135"/>
        <v>0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-2.8421709430404007E-13</v>
      </c>
      <c r="GV150" s="17">
        <f>GU150*VLOOKUP('Données projet'!$B$18,Paramètres!$A$1:$I$89,3,0)*VLOOKUP('Données projet'!$B$18,Paramètres!$A$1:$I$89,5,0)</f>
        <v>-1.69961822393816E-13</v>
      </c>
      <c r="GW150" s="13" t="e">
        <f t="shared" si="159"/>
        <v>#NUM!</v>
      </c>
      <c r="GX150" s="20" t="e">
        <f t="shared" si="136"/>
        <v>#NUM!</v>
      </c>
      <c r="GY150" s="59" t="e">
        <f t="shared" si="137"/>
        <v>#NUM!</v>
      </c>
      <c r="GZ150" s="59">
        <f ca="1">AVERAGE(OFFSET($GY$3,0,0,'Données projet'!$E$18+1,1))-AVERAGE(OFFSET($H$3,0,0,'Données projet'!$E$18+1,1))</f>
        <v>171.96009656745713</v>
      </c>
      <c r="HA150" s="59">
        <f t="shared" si="160"/>
        <v>172.37574906747716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>
        <f>EXP(-LN(2)/35)*HG149+(1-EXP(-LN(2)/35))/(LN(2)/35)*HC150*HD150*VLOOKUP('Données projet'!$B$18,Paramètres!$A$1:$I$89,3,0)*0.475*44/12</f>
        <v>0.16440271401563197</v>
      </c>
      <c r="HH150" s="21">
        <f>EXP(-LN(2)/25)*HH149+(1-EXP(-LN(2)/25))/(LN(2)/25)*Calculateur!HC150*Calculateur!HE150*VLOOKUP('Données projet'!$B$18,Paramètres!$A$1:$I$89,3,0)*0.475*44/12</f>
        <v>0.80193419668226573</v>
      </c>
      <c r="HI150" s="21">
        <f>EXP(-LN(2)/2)*HI149+(1-EXP(-LN(2)/2))/(LN(2)/2)*HC150*HF150*VLOOKUP('Données projet'!$B$18,Paramètres!$A$1:$I$89,3,0)*0.475*44/12</f>
        <v>2.9548701623437786E-17</v>
      </c>
      <c r="HJ150" s="22">
        <f t="shared" si="138"/>
        <v>0.96633691069789773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-2.2737367544323206E-13</v>
      </c>
      <c r="O151" s="13">
        <f>N151*VLOOKUP('Données projet'!$B$9,Paramètres!$A$1:$I$89,3,0)*VLOOKUP('Données projet'!$B$9,Paramètres!$A$1:$I$89,5,0)</f>
        <v>-1.2710188457276673E-13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255.5374979188561</v>
      </c>
      <c r="T151" s="59">
        <f t="shared" si="142"/>
        <v>343.10418468620901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0.29858163514311176</v>
      </c>
      <c r="AA151" s="21">
        <f>EXP(-LN(2)/25)*AA150+(1-EXP(-LN(2)/25))/(LN(2)/25)*Calculateur!V151*Calculateur!X151*VLOOKUP('Données projet'!$B$9,Paramètres!$A$1:$I$89,3,0)*0.475*44/12</f>
        <v>0.60558953092471235</v>
      </c>
      <c r="AB151" s="21">
        <f>EXP(-LN(2)/2)*AB150+(1-EXP(-LN(2)/2))/(LN(2)/2)*V151*Y151*VLOOKUP('Données projet'!$B$9,Paramètres!$A$1:$I$89,3,0)*0.475*44/12</f>
        <v>2.9362832988899281E-18</v>
      </c>
      <c r="AC151" s="22">
        <f t="shared" si="111"/>
        <v>0.90417116606782411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3.4106051316484809E-13</v>
      </c>
      <c r="AJ151" s="13">
        <f>AI151*VLOOKUP('Données projet'!$B$10,Paramètres!$A$1:$I$89,3,0)*VLOOKUP('Données projet'!$B$10,Paramètres!$A$1:$I$89,5,0)</f>
        <v>1.5961632016114892E-13</v>
      </c>
      <c r="AK151" s="13">
        <f t="shared" si="143"/>
        <v>2.2708641912150958E-12</v>
      </c>
      <c r="AL151" s="20">
        <f t="shared" si="112"/>
        <v>4.2330868906469593E-12</v>
      </c>
      <c r="AM151" s="59">
        <f t="shared" si="113"/>
        <v>293.33333333333752</v>
      </c>
      <c r="AN151" s="59">
        <f ca="1">AVERAGE(OFFSET($AM$3,0,0,'Données projet'!$E$10+1,1))-AVERAGE(OFFSET($H$3,0,0,'Données projet'!$E$10+1,1))</f>
        <v>158.58786357608489</v>
      </c>
      <c r="AO151" s="59">
        <f t="shared" si="144"/>
        <v>163.20074068819849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0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-1.7053025658242404E-13</v>
      </c>
      <c r="BE151" s="13">
        <f>BD151*VLOOKUP('Données projet'!$B$11,Paramètres!$A$1:$I$89,3,0)*VLOOKUP('Données projet'!$B$11,Paramètres!$A$1:$I$89,5,0)</f>
        <v>-1.0197709343628959E-13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243.85350804244348</v>
      </c>
      <c r="BJ151" s="59">
        <f t="shared" si="146"/>
        <v>304.60992308960545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0.43731834730153751</v>
      </c>
      <c r="BQ151" s="21">
        <f>EXP(-LN(2)/25)*BQ150+(1-EXP(-LN(2)/25))/(LN(2)/25)*Calculateur!BL151*Calculateur!BN151*VLOOKUP('Données projet'!$B$11,Paramètres!$A$1:$I$89,3,0)*0.475*44/12</f>
        <v>0.67269814392682625</v>
      </c>
      <c r="BR151" s="21">
        <f>EXP(-LN(2)/2)*BR150+(1-EXP(-LN(2)/2))/(LN(2)/2)*BL151*BO151*VLOOKUP('Données projet'!$B$11,Paramètres!$A$1:$I$89,3,0)*0.475*44/12</f>
        <v>6.4847893153774721E-18</v>
      </c>
      <c r="BS151" s="22">
        <f t="shared" si="117"/>
        <v>1.1100164912283637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497</v>
      </c>
      <c r="BZ151" s="13">
        <f>BY151*VLOOKUP('Données projet'!$B$12,Paramètres!$A$1:$I$89,3,0)*VLOOKUP('Données projet'!$B$12,Paramètres!$A$1:$I$89,5,0)</f>
        <v>297.20600000000002</v>
      </c>
      <c r="CA151" s="13">
        <f t="shared" si="147"/>
        <v>70.590415164571112</v>
      </c>
      <c r="CB151" s="20">
        <f t="shared" si="118"/>
        <v>640.57875641162809</v>
      </c>
      <c r="CC151" s="59">
        <f t="shared" si="119"/>
        <v>933.91208974496135</v>
      </c>
      <c r="CD151" s="59">
        <f ca="1">AVERAGE(OFFSET($CC$3,0,0,'Données projet'!$E$12+1,1))-AVERAGE(OFFSET($H$3,0,0,'Données projet'!$E$12+1,1))</f>
        <v>270.30888762640245</v>
      </c>
      <c r="CE151" s="59">
        <f t="shared" si="148"/>
        <v>202.23783851977691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0.20696274521012409</v>
      </c>
      <c r="CL151" s="21">
        <f>EXP(-LN(2)/25)*CL150+(1-EXP(-LN(2)/25))/(LN(2)/25)*Calculateur!CG151*Calculateur!CI151*VLOOKUP('Données projet'!$B$12,Paramètres!$A$1:$I$89,3,0)*0.475*44/12</f>
        <v>0.46652433954084038</v>
      </c>
      <c r="CM151" s="21">
        <f>EXP(-LN(2)/2)*CM150+(1-EXP(-LN(2)/2))/(LN(2)/2)*CG151*CJ151*VLOOKUP('Données projet'!$B$12,Paramètres!$A$1:$I$89,3,0)*0.475*44/12</f>
        <v>3.2079562246986923E-17</v>
      </c>
      <c r="CN151" s="22">
        <f t="shared" si="120"/>
        <v>0.67348708475096442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-5.1159076974727213E-13</v>
      </c>
      <c r="CU151" s="17">
        <f>CT151*VLOOKUP('Données projet'!$B$13,Paramètres!$A$1:$I$89,3,0)*VLOOKUP('Données projet'!$B$13,Paramètres!$A$1:$I$89,5,0)</f>
        <v>-4.0702161641092972E-13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260.20517190557814</v>
      </c>
      <c r="CZ151" s="59">
        <f t="shared" si="150"/>
        <v>307.22009971147133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0.31529324493725935</v>
      </c>
      <c r="DG151" s="21">
        <f>EXP(-LN(2)/25)*DG150+(1-EXP(-LN(2)/25))/(LN(2)/25)*Calculateur!DB151*Calculateur!DD151*VLOOKUP('Données projet'!$B$13,Paramètres!$A$1:$I$89,3,0)*0.475*44/12</f>
        <v>0.77858739557084944</v>
      </c>
      <c r="DH151" s="21">
        <f>EXP(-LN(2)/2)*DH150+(1-EXP(-LN(2)/2))/(LN(2)/2)*DB151*DE151*VLOOKUP('Données projet'!$B$13,Paramètres!$A$1:$I$89,3,0)*0.475*44/12</f>
        <v>4.1701077058068647E-17</v>
      </c>
      <c r="DI151" s="22">
        <f t="shared" si="123"/>
        <v>1.0938806405081087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4.5474735088646412E-13</v>
      </c>
      <c r="DP151" s="17">
        <f>DO151*VLOOKUP('Données projet'!$B$14,Paramètres!$A$1:$I$89,3,0)*VLOOKUP('Données projet'!$B$14,Paramètres!$A$1:$I$89,5,0)</f>
        <v>4.6111381379887462E-13</v>
      </c>
      <c r="DQ151" s="13">
        <f t="shared" si="151"/>
        <v>5.7981965206434308E-12</v>
      </c>
      <c r="DR151" s="20">
        <f t="shared" si="124"/>
        <v>1.0901632165820347E-11</v>
      </c>
      <c r="DS151" s="59">
        <f t="shared" si="125"/>
        <v>293.33333333334423</v>
      </c>
      <c r="DT151" s="59">
        <f ca="1">AVERAGE(OFFSET($DS$3,0,0,'Données projet'!$E$14+1,1))-AVERAGE(OFFSET($H$3,0,0,'Données projet'!$E$14+1,1))</f>
        <v>263.15518481854753</v>
      </c>
      <c r="DU151" s="59">
        <f t="shared" si="152"/>
        <v>210.80755370263819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0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-5.1159076974727213E-13</v>
      </c>
      <c r="EK151" s="17">
        <f>EJ151*VLOOKUP('Données projet'!$B$15,Paramètres!$A$1:$I$89,3,0)*VLOOKUP('Données projet'!$B$15,Paramètres!$A$1:$I$89,5,0)</f>
        <v>-3.4317508834647017E-13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207.93042467236967</v>
      </c>
      <c r="EP151" s="59">
        <f t="shared" si="154"/>
        <v>250.70954318710835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0.26583548102553212</v>
      </c>
      <c r="EW151" s="21">
        <f>EXP(-LN(2)/25)*EW150+(1-EXP(-LN(2)/25))/(LN(2)/25)*Calculateur!ER151*Calculateur!ET151*VLOOKUP('Données projet'!$B$15,Paramètres!$A$1:$I$89,3,0)*0.475*44/12</f>
        <v>0.656456039402874</v>
      </c>
      <c r="EX151" s="21">
        <f>EXP(-LN(2)/2)*EX150+(1-EXP(-LN(2)/2))/(LN(2)/2)*ER151*EU151*VLOOKUP('Données projet'!$B$15,Paramètres!$A$1:$I$89,3,0)*0.475*44/12</f>
        <v>3.5159731637195131E-17</v>
      </c>
      <c r="EY151" s="22">
        <f t="shared" si="129"/>
        <v>0.92229152042840612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4.5474735088646412E-13</v>
      </c>
      <c r="FF151" s="17">
        <f>FE151*VLOOKUP('Données projet'!$B$16,Paramètres!$A$1:$I$89,3,0)*VLOOKUP('Données projet'!$B$16,Paramètres!$A$1:$I$89,5,0)</f>
        <v>4.8949004849418999E-13</v>
      </c>
      <c r="FG151" s="13">
        <f t="shared" si="155"/>
        <v>6.1123715499968684E-12</v>
      </c>
      <c r="FH151" s="20">
        <f t="shared" si="130"/>
        <v>1.1498242284038591E-11</v>
      </c>
      <c r="FI151" s="59">
        <f t="shared" si="131"/>
        <v>293.3333333333448</v>
      </c>
      <c r="FJ151" s="59">
        <f ca="1">AVERAGE(OFFSET($FI$3,0,0,'Données projet'!$E$16+1,1))-AVERAGE(OFFSET($H$3,0,0,'Données projet'!$E$16+1,1))</f>
        <v>286.77702855541287</v>
      </c>
      <c r="FK151" s="59">
        <f t="shared" si="156"/>
        <v>227.12211541860779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0</v>
      </c>
      <c r="FR151" s="21">
        <f>EXP(-LN(2)/25)*FR150+(1-EXP(-LN(2)/25))/(LN(2)/25)*Calculateur!FM151*Calculateur!FO151*VLOOKUP('Données projet'!$B$16,Paramètres!$A$1:$I$89,3,0)*0.475*44/12</f>
        <v>0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0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5.6843418860808015E-13</v>
      </c>
      <c r="GA151" s="17">
        <f>FZ151*VLOOKUP('Données projet'!$B$17,Paramètres!$A$1:$I$89,3,0)*VLOOKUP('Données projet'!$B$17,Paramètres!$A$1:$I$89,5,0)</f>
        <v>2.6602720026858149E-13</v>
      </c>
      <c r="GB151" s="13">
        <f t="shared" si="157"/>
        <v>3.5662905043956649E-12</v>
      </c>
      <c r="GC151" s="20">
        <f t="shared" si="133"/>
        <v>6.6746200022902298E-12</v>
      </c>
      <c r="GD151" s="59">
        <f t="shared" si="134"/>
        <v>293.33333333333997</v>
      </c>
      <c r="GE151" s="59">
        <f ca="1">AVERAGE(OFFSET($GD$3,0,0,'Données projet'!$E$17+1,1))-AVERAGE(OFFSET($H$3,0,0,'Données projet'!$E$17+1,1))</f>
        <v>123.2823358462245</v>
      </c>
      <c r="GF151" s="59">
        <f t="shared" si="158"/>
        <v>92.75115399786057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0</v>
      </c>
      <c r="GM151" s="21">
        <f>EXP(-LN(2)/25)*GM150+(1-EXP(-LN(2)/25))/(LN(2)/25)*Calculateur!GH151*Calculateur!GJ151*VLOOKUP('Données projet'!$B$17,Paramètres!$A$1:$I$89,3,0)*0.475*44/12</f>
        <v>0</v>
      </c>
      <c r="GN151" s="21">
        <f>EXP(-LN(2)/2)*GN150+(1-EXP(-LN(2)/2))/(LN(2)/2)*GH151*GK151*VLOOKUP('Données projet'!$B$17,Paramètres!$A$1:$I$89,3,0)*0.475*44/12</f>
        <v>0</v>
      </c>
      <c r="GO151" s="21">
        <f t="shared" si="135"/>
        <v>0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-2.8421709430404007E-13</v>
      </c>
      <c r="GV151" s="17">
        <f>GU151*VLOOKUP('Données projet'!$B$18,Paramètres!$A$1:$I$89,3,0)*VLOOKUP('Données projet'!$B$18,Paramètres!$A$1:$I$89,5,0)</f>
        <v>-1.69961822393816E-13</v>
      </c>
      <c r="GW151" s="13" t="e">
        <f t="shared" si="159"/>
        <v>#NUM!</v>
      </c>
      <c r="GX151" s="20" t="e">
        <f t="shared" si="136"/>
        <v>#NUM!</v>
      </c>
      <c r="GY151" s="59" t="e">
        <f t="shared" si="137"/>
        <v>#NUM!</v>
      </c>
      <c r="GZ151" s="59">
        <f ca="1">AVERAGE(OFFSET($GY$3,0,0,'Données projet'!$E$18+1,1))-AVERAGE(OFFSET($H$3,0,0,'Données projet'!$E$18+1,1))</f>
        <v>171.96009656745713</v>
      </c>
      <c r="HA151" s="59">
        <f t="shared" si="160"/>
        <v>172.37574906747716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>
        <f>EXP(-LN(2)/35)*HG150+(1-EXP(-LN(2)/35))/(LN(2)/35)*HC151*HD151*VLOOKUP('Données projet'!$B$18,Paramètres!$A$1:$I$89,3,0)*0.475*44/12</f>
        <v>0.16117887706953957</v>
      </c>
      <c r="HH151" s="21">
        <f>EXP(-LN(2)/25)*HH150+(1-EXP(-LN(2)/25))/(LN(2)/25)*Calculateur!HC151*Calculateur!HE151*VLOOKUP('Données projet'!$B$18,Paramètres!$A$1:$I$89,3,0)*0.475*44/12</f>
        <v>0.78000526390210256</v>
      </c>
      <c r="HI151" s="21">
        <f>EXP(-LN(2)/2)*HI150+(1-EXP(-LN(2)/2))/(LN(2)/2)*HC151*HF151*VLOOKUP('Données projet'!$B$18,Paramètres!$A$1:$I$89,3,0)*0.475*44/12</f>
        <v>2.0894087293190804E-17</v>
      </c>
      <c r="HJ151" s="22">
        <f t="shared" si="138"/>
        <v>0.94118414097164216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-2.2737367544323206E-13</v>
      </c>
      <c r="O152" s="13">
        <f>N152*VLOOKUP('Données projet'!$B$9,Paramètres!$A$1:$I$89,3,0)*VLOOKUP('Données projet'!$B$9,Paramètres!$A$1:$I$89,5,0)</f>
        <v>-1.2710188457276673E-13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255.5374979188561</v>
      </c>
      <c r="T152" s="59">
        <f t="shared" si="142"/>
        <v>343.10418468620901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0.29272663139477023</v>
      </c>
      <c r="AA152" s="21">
        <f>EXP(-LN(2)/25)*AA151+(1-EXP(-LN(2)/25))/(LN(2)/25)*Calculateur!V152*Calculateur!X152*VLOOKUP('Données projet'!$B$9,Paramètres!$A$1:$I$89,3,0)*0.475*44/12</f>
        <v>0.58902965335500679</v>
      </c>
      <c r="AB152" s="21">
        <f>EXP(-LN(2)/2)*AB151+(1-EXP(-LN(2)/2))/(LN(2)/2)*V152*Y152*VLOOKUP('Données projet'!$B$9,Paramètres!$A$1:$I$89,3,0)*0.475*44/12</f>
        <v>2.0762658321298743E-18</v>
      </c>
      <c r="AC152" s="22">
        <f t="shared" si="111"/>
        <v>0.88175628474977708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3.4106051316484809E-13</v>
      </c>
      <c r="AJ152" s="13">
        <f>AI152*VLOOKUP('Données projet'!$B$10,Paramètres!$A$1:$I$89,3,0)*VLOOKUP('Données projet'!$B$10,Paramètres!$A$1:$I$89,5,0)</f>
        <v>1.5961632016114892E-13</v>
      </c>
      <c r="AK152" s="13">
        <f t="shared" si="143"/>
        <v>2.2708641912150958E-12</v>
      </c>
      <c r="AL152" s="20">
        <f t="shared" si="112"/>
        <v>4.2330868906469593E-12</v>
      </c>
      <c r="AM152" s="59">
        <f t="shared" si="113"/>
        <v>293.33333333333752</v>
      </c>
      <c r="AN152" s="59">
        <f ca="1">AVERAGE(OFFSET($AM$3,0,0,'Données projet'!$E$10+1,1))-AVERAGE(OFFSET($H$3,0,0,'Données projet'!$E$10+1,1))</f>
        <v>158.58786357608489</v>
      </c>
      <c r="AO152" s="59">
        <f t="shared" si="144"/>
        <v>163.20074068819849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0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-1.7053025658242404E-13</v>
      </c>
      <c r="BE152" s="13">
        <f>BD152*VLOOKUP('Données projet'!$B$11,Paramètres!$A$1:$I$89,3,0)*VLOOKUP('Données projet'!$B$11,Paramètres!$A$1:$I$89,5,0)</f>
        <v>-1.0197709343628959E-13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243.85350804244348</v>
      </c>
      <c r="BJ152" s="59">
        <f t="shared" si="146"/>
        <v>304.60992308960545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0.42874280124880804</v>
      </c>
      <c r="BQ152" s="21">
        <f>EXP(-LN(2)/25)*BQ151+(1-EXP(-LN(2)/25))/(LN(2)/25)*Calculateur!BL152*Calculateur!BN152*VLOOKUP('Données projet'!$B$11,Paramètres!$A$1:$I$89,3,0)*0.475*44/12</f>
        <v>0.6543031778054893</v>
      </c>
      <c r="BR152" s="21">
        <f>EXP(-LN(2)/2)*BR151+(1-EXP(-LN(2)/2))/(LN(2)/2)*BL152*BO152*VLOOKUP('Données projet'!$B$11,Paramètres!$A$1:$I$89,3,0)*0.475*44/12</f>
        <v>4.5854384994694794E-18</v>
      </c>
      <c r="BS152" s="22">
        <f t="shared" si="117"/>
        <v>1.0830459790542974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497</v>
      </c>
      <c r="BZ152" s="13">
        <f>BY152*VLOOKUP('Données projet'!$B$12,Paramètres!$A$1:$I$89,3,0)*VLOOKUP('Données projet'!$B$12,Paramètres!$A$1:$I$89,5,0)</f>
        <v>297.20600000000002</v>
      </c>
      <c r="CA152" s="13">
        <f t="shared" si="147"/>
        <v>70.590415164571112</v>
      </c>
      <c r="CB152" s="20">
        <f t="shared" si="118"/>
        <v>640.57875641162809</v>
      </c>
      <c r="CC152" s="59">
        <f t="shared" si="119"/>
        <v>933.91208974496135</v>
      </c>
      <c r="CD152" s="59">
        <f ca="1">AVERAGE(OFFSET($CC$3,0,0,'Données projet'!$E$12+1,1))-AVERAGE(OFFSET($H$3,0,0,'Données projet'!$E$12+1,1))</f>
        <v>270.30888762640245</v>
      </c>
      <c r="CE152" s="59">
        <f t="shared" si="148"/>
        <v>202.23783851977691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0.20290433201136349</v>
      </c>
      <c r="CL152" s="21">
        <f>EXP(-LN(2)/25)*CL151+(1-EXP(-LN(2)/25))/(LN(2)/25)*Calculateur!CG152*Calculateur!CI152*VLOOKUP('Données projet'!$B$12,Paramètres!$A$1:$I$89,3,0)*0.475*44/12</f>
        <v>0.45376720694264733</v>
      </c>
      <c r="CM152" s="21">
        <f>EXP(-LN(2)/2)*CM151+(1-EXP(-LN(2)/2))/(LN(2)/2)*CG152*CJ152*VLOOKUP('Données projet'!$B$12,Paramètres!$A$1:$I$89,3,0)*0.475*44/12</f>
        <v>2.2683676002340413E-17</v>
      </c>
      <c r="CN152" s="22">
        <f t="shared" si="120"/>
        <v>0.65667153895401076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-5.1159076974727213E-13</v>
      </c>
      <c r="CU152" s="17">
        <f>CT152*VLOOKUP('Données projet'!$B$13,Paramètres!$A$1:$I$89,3,0)*VLOOKUP('Données projet'!$B$13,Paramètres!$A$1:$I$89,5,0)</f>
        <v>-4.0702161641092972E-13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260.20517190557814</v>
      </c>
      <c r="CZ152" s="59">
        <f t="shared" si="150"/>
        <v>307.22009971147133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0.30911053671393007</v>
      </c>
      <c r="DG152" s="21">
        <f>EXP(-LN(2)/25)*DG151+(1-EXP(-LN(2)/25))/(LN(2)/25)*Calculateur!DB152*Calculateur!DD152*VLOOKUP('Données projet'!$B$13,Paramètres!$A$1:$I$89,3,0)*0.475*44/12</f>
        <v>0.75729688229483294</v>
      </c>
      <c r="DH152" s="21">
        <f>EXP(-LN(2)/2)*DH151+(1-EXP(-LN(2)/2))/(LN(2)/2)*DB152*DE152*VLOOKUP('Données projet'!$B$13,Paramètres!$A$1:$I$89,3,0)*0.475*44/12</f>
        <v>2.9487114370543104E-17</v>
      </c>
      <c r="DI152" s="22">
        <f t="shared" si="123"/>
        <v>1.0664074190087631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4.5474735088646412E-13</v>
      </c>
      <c r="DP152" s="17">
        <f>DO152*VLOOKUP('Données projet'!$B$14,Paramètres!$A$1:$I$89,3,0)*VLOOKUP('Données projet'!$B$14,Paramètres!$A$1:$I$89,5,0)</f>
        <v>4.6111381379887462E-13</v>
      </c>
      <c r="DQ152" s="13">
        <f t="shared" si="151"/>
        <v>5.7981965206434308E-12</v>
      </c>
      <c r="DR152" s="20">
        <f t="shared" si="124"/>
        <v>1.0901632165820347E-11</v>
      </c>
      <c r="DS152" s="59">
        <f t="shared" si="125"/>
        <v>293.33333333334423</v>
      </c>
      <c r="DT152" s="59">
        <f ca="1">AVERAGE(OFFSET($DS$3,0,0,'Données projet'!$E$14+1,1))-AVERAGE(OFFSET($H$3,0,0,'Données projet'!$E$14+1,1))</f>
        <v>263.15518481854753</v>
      </c>
      <c r="DU152" s="59">
        <f t="shared" si="152"/>
        <v>210.80755370263819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0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-5.1159076974727213E-13</v>
      </c>
      <c r="EK152" s="17">
        <f>EJ152*VLOOKUP('Données projet'!$B$15,Paramètres!$A$1:$I$89,3,0)*VLOOKUP('Données projet'!$B$15,Paramètres!$A$1:$I$89,5,0)</f>
        <v>-3.4317508834647017E-13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207.93042467236967</v>
      </c>
      <c r="EP152" s="59">
        <f t="shared" si="154"/>
        <v>250.70954318710835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0.26062260938625448</v>
      </c>
      <c r="EW152" s="21">
        <f>EXP(-LN(2)/25)*EW151+(1-EXP(-LN(2)/25))/(LN(2)/25)*Calculateur!ER152*Calculateur!ET152*VLOOKUP('Données projet'!$B$15,Paramètres!$A$1:$I$89,3,0)*0.475*44/12</f>
        <v>0.63850521448387965</v>
      </c>
      <c r="EX152" s="21">
        <f>EXP(-LN(2)/2)*EX151+(1-EXP(-LN(2)/2))/(LN(2)/2)*ER152*EU152*VLOOKUP('Données projet'!$B$15,Paramètres!$A$1:$I$89,3,0)*0.475*44/12</f>
        <v>2.486168466535987E-17</v>
      </c>
      <c r="EY152" s="22">
        <f t="shared" si="129"/>
        <v>0.89912782387013412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4.5474735088646412E-13</v>
      </c>
      <c r="FF152" s="17">
        <f>FE152*VLOOKUP('Données projet'!$B$16,Paramètres!$A$1:$I$89,3,0)*VLOOKUP('Données projet'!$B$16,Paramètres!$A$1:$I$89,5,0)</f>
        <v>4.8949004849418999E-13</v>
      </c>
      <c r="FG152" s="13">
        <f t="shared" si="155"/>
        <v>6.1123715499968684E-12</v>
      </c>
      <c r="FH152" s="20">
        <f t="shared" si="130"/>
        <v>1.1498242284038591E-11</v>
      </c>
      <c r="FI152" s="59">
        <f t="shared" si="131"/>
        <v>293.3333333333448</v>
      </c>
      <c r="FJ152" s="59">
        <f ca="1">AVERAGE(OFFSET($FI$3,0,0,'Données projet'!$E$16+1,1))-AVERAGE(OFFSET($H$3,0,0,'Données projet'!$E$16+1,1))</f>
        <v>286.77702855541287</v>
      </c>
      <c r="FK152" s="59">
        <f t="shared" si="156"/>
        <v>227.12211541860779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0</v>
      </c>
      <c r="FR152" s="21">
        <f>EXP(-LN(2)/25)*FR151+(1-EXP(-LN(2)/25))/(LN(2)/25)*Calculateur!FM152*Calculateur!FO152*VLOOKUP('Données projet'!$B$16,Paramètres!$A$1:$I$89,3,0)*0.475*44/12</f>
        <v>0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0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5.6843418860808015E-13</v>
      </c>
      <c r="GA152" s="17">
        <f>FZ152*VLOOKUP('Données projet'!$B$17,Paramètres!$A$1:$I$89,3,0)*VLOOKUP('Données projet'!$B$17,Paramètres!$A$1:$I$89,5,0)</f>
        <v>2.6602720026858149E-13</v>
      </c>
      <c r="GB152" s="13">
        <f t="shared" si="157"/>
        <v>3.5662905043956649E-12</v>
      </c>
      <c r="GC152" s="20">
        <f t="shared" si="133"/>
        <v>6.6746200022902298E-12</v>
      </c>
      <c r="GD152" s="59">
        <f t="shared" si="134"/>
        <v>293.33333333333997</v>
      </c>
      <c r="GE152" s="59">
        <f ca="1">AVERAGE(OFFSET($GD$3,0,0,'Données projet'!$E$17+1,1))-AVERAGE(OFFSET($H$3,0,0,'Données projet'!$E$17+1,1))</f>
        <v>123.2823358462245</v>
      </c>
      <c r="GF152" s="59">
        <f t="shared" si="158"/>
        <v>92.75115399786057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0</v>
      </c>
      <c r="GM152" s="21">
        <f>EXP(-LN(2)/25)*GM151+(1-EXP(-LN(2)/25))/(LN(2)/25)*Calculateur!GH152*Calculateur!GJ152*VLOOKUP('Données projet'!$B$17,Paramètres!$A$1:$I$89,3,0)*0.475*44/12</f>
        <v>0</v>
      </c>
      <c r="GN152" s="21">
        <f>EXP(-LN(2)/2)*GN151+(1-EXP(-LN(2)/2))/(LN(2)/2)*GH152*GK152*VLOOKUP('Données projet'!$B$17,Paramètres!$A$1:$I$89,3,0)*0.475*44/12</f>
        <v>0</v>
      </c>
      <c r="GO152" s="21">
        <f t="shared" si="135"/>
        <v>0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-2.8421709430404007E-13</v>
      </c>
      <c r="GV152" s="17">
        <f>GU152*VLOOKUP('Données projet'!$B$18,Paramètres!$A$1:$I$89,3,0)*VLOOKUP('Données projet'!$B$18,Paramètres!$A$1:$I$89,5,0)</f>
        <v>-1.69961822393816E-13</v>
      </c>
      <c r="GW152" s="13" t="e">
        <f t="shared" si="159"/>
        <v>#NUM!</v>
      </c>
      <c r="GX152" s="20" t="e">
        <f t="shared" si="136"/>
        <v>#NUM!</v>
      </c>
      <c r="GY152" s="59" t="e">
        <f t="shared" si="137"/>
        <v>#NUM!</v>
      </c>
      <c r="GZ152" s="59">
        <f ca="1">AVERAGE(OFFSET($GY$3,0,0,'Données projet'!$E$18+1,1))-AVERAGE(OFFSET($H$3,0,0,'Données projet'!$E$18+1,1))</f>
        <v>171.96009656745713</v>
      </c>
      <c r="HA152" s="59">
        <f t="shared" si="160"/>
        <v>172.37574906747716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>
        <f>EXP(-LN(2)/35)*HG151+(1-EXP(-LN(2)/35))/(LN(2)/35)*HC152*HD152*VLOOKUP('Données projet'!$B$18,Paramètres!$A$1:$I$89,3,0)*0.475*44/12</f>
        <v>0.15801825759961366</v>
      </c>
      <c r="HH152" s="21">
        <f>EXP(-LN(2)/25)*HH151+(1-EXP(-LN(2)/25))/(LN(2)/25)*Calculateur!HC152*Calculateur!HE152*VLOOKUP('Données projet'!$B$18,Paramètres!$A$1:$I$89,3,0)*0.475*44/12</f>
        <v>0.75867597894200545</v>
      </c>
      <c r="HI152" s="21">
        <f>EXP(-LN(2)/2)*HI151+(1-EXP(-LN(2)/2))/(LN(2)/2)*HC152*HF152*VLOOKUP('Données projet'!$B$18,Paramètres!$A$1:$I$89,3,0)*0.475*44/12</f>
        <v>1.4774350811718893E-17</v>
      </c>
      <c r="HJ152" s="22">
        <f t="shared" si="138"/>
        <v>0.91669423654161908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-2.2737367544323206E-13</v>
      </c>
      <c r="O153" s="13">
        <f>N153*VLOOKUP('Données projet'!$B$9,Paramètres!$A$1:$I$89,3,0)*VLOOKUP('Données projet'!$B$9,Paramètres!$A$1:$I$89,5,0)</f>
        <v>-1.2710188457276673E-13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255.5374979188561</v>
      </c>
      <c r="T153" s="59">
        <f t="shared" si="142"/>
        <v>343.10418468620901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0.28698644069873402</v>
      </c>
      <c r="AA153" s="21">
        <f>EXP(-LN(2)/25)*AA152+(1-EXP(-LN(2)/25))/(LN(2)/25)*Calculateur!V153*Calculateur!X153*VLOOKUP('Données projet'!$B$9,Paramètres!$A$1:$I$89,3,0)*0.475*44/12</f>
        <v>0.57292260650829085</v>
      </c>
      <c r="AB153" s="21">
        <f>EXP(-LN(2)/2)*AB152+(1-EXP(-LN(2)/2))/(LN(2)/2)*V153*Y153*VLOOKUP('Données projet'!$B$9,Paramètres!$A$1:$I$89,3,0)*0.475*44/12</f>
        <v>1.4681416494449641E-18</v>
      </c>
      <c r="AC153" s="22">
        <f t="shared" si="111"/>
        <v>0.85990904720702488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3.4106051316484809E-13</v>
      </c>
      <c r="AJ153" s="13">
        <f>AI153*VLOOKUP('Données projet'!$B$10,Paramètres!$A$1:$I$89,3,0)*VLOOKUP('Données projet'!$B$10,Paramètres!$A$1:$I$89,5,0)</f>
        <v>1.5961632016114892E-13</v>
      </c>
      <c r="AK153" s="13">
        <f t="shared" si="143"/>
        <v>2.2708641912150958E-12</v>
      </c>
      <c r="AL153" s="20">
        <f t="shared" si="112"/>
        <v>4.2330868906469593E-12</v>
      </c>
      <c r="AM153" s="59">
        <f t="shared" si="113"/>
        <v>293.33333333333752</v>
      </c>
      <c r="AN153" s="59">
        <f ca="1">AVERAGE(OFFSET($AM$3,0,0,'Données projet'!$E$10+1,1))-AVERAGE(OFFSET($H$3,0,0,'Données projet'!$E$10+1,1))</f>
        <v>158.58786357608489</v>
      </c>
      <c r="AO153" s="59">
        <f t="shared" si="144"/>
        <v>163.20074068819849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0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-1.7053025658242404E-13</v>
      </c>
      <c r="BE153" s="13">
        <f>BD153*VLOOKUP('Données projet'!$B$11,Paramètres!$A$1:$I$89,3,0)*VLOOKUP('Données projet'!$B$11,Paramètres!$A$1:$I$89,5,0)</f>
        <v>-1.0197709343628959E-13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243.85350804244348</v>
      </c>
      <c r="BJ153" s="59">
        <f t="shared" si="146"/>
        <v>304.60992308960545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0.42033541642360595</v>
      </c>
      <c r="BQ153" s="21">
        <f>EXP(-LN(2)/25)*BQ152+(1-EXP(-LN(2)/25))/(LN(2)/25)*Calculateur!BL153*Calculateur!BN153*VLOOKUP('Données projet'!$B$11,Paramètres!$A$1:$I$89,3,0)*0.475*44/12</f>
        <v>0.63641122300008945</v>
      </c>
      <c r="BR153" s="21">
        <f>EXP(-LN(2)/2)*BR152+(1-EXP(-LN(2)/2))/(LN(2)/2)*BL153*BO153*VLOOKUP('Données projet'!$B$11,Paramètres!$A$1:$I$89,3,0)*0.475*44/12</f>
        <v>3.2423946576887361E-18</v>
      </c>
      <c r="BS153" s="22">
        <f t="shared" si="117"/>
        <v>1.0567466394236953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497</v>
      </c>
      <c r="BZ153" s="13">
        <f>BY153*VLOOKUP('Données projet'!$B$12,Paramètres!$A$1:$I$89,3,0)*VLOOKUP('Données projet'!$B$12,Paramètres!$A$1:$I$89,5,0)</f>
        <v>297.20600000000002</v>
      </c>
      <c r="CA153" s="13">
        <f t="shared" si="147"/>
        <v>70.590415164571112</v>
      </c>
      <c r="CB153" s="20">
        <f t="shared" si="118"/>
        <v>640.57875641162809</v>
      </c>
      <c r="CC153" s="59">
        <f t="shared" si="119"/>
        <v>933.91208974496135</v>
      </c>
      <c r="CD153" s="59">
        <f ca="1">AVERAGE(OFFSET($CC$3,0,0,'Données projet'!$E$12+1,1))-AVERAGE(OFFSET($H$3,0,0,'Données projet'!$E$12+1,1))</f>
        <v>270.30888762640245</v>
      </c>
      <c r="CE153" s="59">
        <f t="shared" si="148"/>
        <v>202.23783851977691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0.19892550182004295</v>
      </c>
      <c r="CL153" s="21">
        <f>EXP(-LN(2)/25)*CL152+(1-EXP(-LN(2)/25))/(LN(2)/25)*Calculateur!CG153*Calculateur!CI153*VLOOKUP('Données projet'!$B$12,Paramètres!$A$1:$I$89,3,0)*0.475*44/12</f>
        <v>0.4413589188062203</v>
      </c>
      <c r="CM153" s="21">
        <f>EXP(-LN(2)/2)*CM152+(1-EXP(-LN(2)/2))/(LN(2)/2)*CG153*CJ153*VLOOKUP('Données projet'!$B$12,Paramètres!$A$1:$I$89,3,0)*0.475*44/12</f>
        <v>1.6039781123493461E-17</v>
      </c>
      <c r="CN153" s="22">
        <f t="shared" si="120"/>
        <v>0.64028442062626323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-5.1159076974727213E-13</v>
      </c>
      <c r="CU153" s="17">
        <f>CT153*VLOOKUP('Données projet'!$B$13,Paramètres!$A$1:$I$89,3,0)*VLOOKUP('Données projet'!$B$13,Paramètres!$A$1:$I$89,5,0)</f>
        <v>-4.0702161641092972E-13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260.20517190557814</v>
      </c>
      <c r="CZ153" s="59">
        <f t="shared" si="150"/>
        <v>307.22009971147133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0.30304906762778067</v>
      </c>
      <c r="DG153" s="21">
        <f>EXP(-LN(2)/25)*DG152+(1-EXP(-LN(2)/25))/(LN(2)/25)*Calculateur!DB153*Calculateur!DD153*VLOOKUP('Données projet'!$B$13,Paramètres!$A$1:$I$89,3,0)*0.475*44/12</f>
        <v>0.73658855922396849</v>
      </c>
      <c r="DH153" s="21">
        <f>EXP(-LN(2)/2)*DH152+(1-EXP(-LN(2)/2))/(LN(2)/2)*DB153*DE153*VLOOKUP('Données projet'!$B$13,Paramètres!$A$1:$I$89,3,0)*0.475*44/12</f>
        <v>2.0850538529034324E-17</v>
      </c>
      <c r="DI153" s="22">
        <f t="shared" si="123"/>
        <v>1.0396376268517491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4.5474735088646412E-13</v>
      </c>
      <c r="DP153" s="17">
        <f>DO153*VLOOKUP('Données projet'!$B$14,Paramètres!$A$1:$I$89,3,0)*VLOOKUP('Données projet'!$B$14,Paramètres!$A$1:$I$89,5,0)</f>
        <v>4.6111381379887462E-13</v>
      </c>
      <c r="DQ153" s="13">
        <f t="shared" si="151"/>
        <v>5.7981965206434308E-12</v>
      </c>
      <c r="DR153" s="20">
        <f t="shared" si="124"/>
        <v>1.0901632165820347E-11</v>
      </c>
      <c r="DS153" s="59">
        <f t="shared" si="125"/>
        <v>293.33333333334423</v>
      </c>
      <c r="DT153" s="59">
        <f ca="1">AVERAGE(OFFSET($DS$3,0,0,'Données projet'!$E$14+1,1))-AVERAGE(OFFSET($H$3,0,0,'Données projet'!$E$14+1,1))</f>
        <v>263.15518481854753</v>
      </c>
      <c r="DU153" s="59">
        <f t="shared" si="152"/>
        <v>210.80755370263819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0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-5.1159076974727213E-13</v>
      </c>
      <c r="EK153" s="17">
        <f>EJ153*VLOOKUP('Données projet'!$B$15,Paramètres!$A$1:$I$89,3,0)*VLOOKUP('Données projet'!$B$15,Paramètres!$A$1:$I$89,5,0)</f>
        <v>-3.4317508834647017E-13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207.93042467236967</v>
      </c>
      <c r="EP153" s="59">
        <f t="shared" si="154"/>
        <v>250.70954318710835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0.25551195898028534</v>
      </c>
      <c r="EW153" s="21">
        <f>EXP(-LN(2)/25)*EW152+(1-EXP(-LN(2)/25))/(LN(2)/25)*Calculateur!ER153*Calculateur!ET153*VLOOKUP('Données projet'!$B$15,Paramètres!$A$1:$I$89,3,0)*0.475*44/12</f>
        <v>0.621045255816288</v>
      </c>
      <c r="EX153" s="21">
        <f>EXP(-LN(2)/2)*EX152+(1-EXP(-LN(2)/2))/(LN(2)/2)*ER153*EU153*VLOOKUP('Données projet'!$B$15,Paramètres!$A$1:$I$89,3,0)*0.475*44/12</f>
        <v>1.7579865818597566E-17</v>
      </c>
      <c r="EY153" s="22">
        <f t="shared" si="129"/>
        <v>0.87655721479657334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4.5474735088646412E-13</v>
      </c>
      <c r="FF153" s="17">
        <f>FE153*VLOOKUP('Données projet'!$B$16,Paramètres!$A$1:$I$89,3,0)*VLOOKUP('Données projet'!$B$16,Paramètres!$A$1:$I$89,5,0)</f>
        <v>4.8949004849418999E-13</v>
      </c>
      <c r="FG153" s="13">
        <f t="shared" si="155"/>
        <v>6.1123715499968684E-12</v>
      </c>
      <c r="FH153" s="20">
        <f t="shared" si="130"/>
        <v>1.1498242284038591E-11</v>
      </c>
      <c r="FI153" s="59">
        <f t="shared" si="131"/>
        <v>293.3333333333448</v>
      </c>
      <c r="FJ153" s="59">
        <f ca="1">AVERAGE(OFFSET($FI$3,0,0,'Données projet'!$E$16+1,1))-AVERAGE(OFFSET($H$3,0,0,'Données projet'!$E$16+1,1))</f>
        <v>286.77702855541287</v>
      </c>
      <c r="FK153" s="59">
        <f t="shared" si="156"/>
        <v>227.12211541860779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0</v>
      </c>
      <c r="FR153" s="21">
        <f>EXP(-LN(2)/25)*FR152+(1-EXP(-LN(2)/25))/(LN(2)/25)*Calculateur!FM153*Calculateur!FO153*VLOOKUP('Données projet'!$B$16,Paramètres!$A$1:$I$89,3,0)*0.475*44/12</f>
        <v>0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0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5.6843418860808015E-13</v>
      </c>
      <c r="GA153" s="17">
        <f>FZ153*VLOOKUP('Données projet'!$B$17,Paramètres!$A$1:$I$89,3,0)*VLOOKUP('Données projet'!$B$17,Paramètres!$A$1:$I$89,5,0)</f>
        <v>2.6602720026858149E-13</v>
      </c>
      <c r="GB153" s="13">
        <f t="shared" si="157"/>
        <v>3.5662905043956649E-12</v>
      </c>
      <c r="GC153" s="20">
        <f t="shared" si="133"/>
        <v>6.6746200022902298E-12</v>
      </c>
      <c r="GD153" s="59">
        <f t="shared" si="134"/>
        <v>293.33333333333997</v>
      </c>
      <c r="GE153" s="59">
        <f ca="1">AVERAGE(OFFSET($GD$3,0,0,'Données projet'!$E$17+1,1))-AVERAGE(OFFSET($H$3,0,0,'Données projet'!$E$17+1,1))</f>
        <v>123.2823358462245</v>
      </c>
      <c r="GF153" s="59">
        <f t="shared" si="158"/>
        <v>92.75115399786057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0</v>
      </c>
      <c r="GM153" s="21">
        <f>EXP(-LN(2)/25)*GM152+(1-EXP(-LN(2)/25))/(LN(2)/25)*Calculateur!GH153*Calculateur!GJ153*VLOOKUP('Données projet'!$B$17,Paramètres!$A$1:$I$89,3,0)*0.475*44/12</f>
        <v>0</v>
      </c>
      <c r="GN153" s="21">
        <f>EXP(-LN(2)/2)*GN152+(1-EXP(-LN(2)/2))/(LN(2)/2)*GH153*GK153*VLOOKUP('Données projet'!$B$17,Paramètres!$A$1:$I$89,3,0)*0.475*44/12</f>
        <v>0</v>
      </c>
      <c r="GO153" s="21">
        <f t="shared" si="135"/>
        <v>0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-2.8421709430404007E-13</v>
      </c>
      <c r="GV153" s="17">
        <f>GU153*VLOOKUP('Données projet'!$B$18,Paramètres!$A$1:$I$89,3,0)*VLOOKUP('Données projet'!$B$18,Paramètres!$A$1:$I$89,5,0)</f>
        <v>-1.69961822393816E-13</v>
      </c>
      <c r="GW153" s="13" t="e">
        <f t="shared" si="159"/>
        <v>#NUM!</v>
      </c>
      <c r="GX153" s="20" t="e">
        <f t="shared" si="136"/>
        <v>#NUM!</v>
      </c>
      <c r="GY153" s="59" t="e">
        <f t="shared" si="137"/>
        <v>#NUM!</v>
      </c>
      <c r="GZ153" s="59">
        <f ca="1">AVERAGE(OFFSET($GY$3,0,0,'Données projet'!$E$18+1,1))-AVERAGE(OFFSET($H$3,0,0,'Données projet'!$E$18+1,1))</f>
        <v>171.96009656745713</v>
      </c>
      <c r="HA153" s="59">
        <f t="shared" si="160"/>
        <v>172.37574906747716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>
        <f>EXP(-LN(2)/35)*HG152+(1-EXP(-LN(2)/35))/(LN(2)/35)*HC153*HD153*VLOOKUP('Données projet'!$B$18,Paramètres!$A$1:$I$89,3,0)*0.475*44/12</f>
        <v>0.15491961594970546</v>
      </c>
      <c r="HH153" s="21">
        <f>EXP(-LN(2)/25)*HH152+(1-EXP(-LN(2)/25))/(LN(2)/25)*Calculateur!HC153*Calculateur!HE153*VLOOKUP('Données projet'!$B$18,Paramètres!$A$1:$I$89,3,0)*0.475*44/12</f>
        <v>0.73792994440080051</v>
      </c>
      <c r="HI153" s="21">
        <f>EXP(-LN(2)/2)*HI152+(1-EXP(-LN(2)/2))/(LN(2)/2)*HC153*HF153*VLOOKUP('Données projet'!$B$18,Paramètres!$A$1:$I$89,3,0)*0.475*44/12</f>
        <v>1.0447043646595402E-17</v>
      </c>
      <c r="HJ153" s="22">
        <f t="shared" si="138"/>
        <v>0.892849560350506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-2.2737367544323206E-13</v>
      </c>
      <c r="O154" s="13">
        <f>N154*VLOOKUP('Données projet'!$B$9,Paramètres!$A$1:$I$89,3,0)*VLOOKUP('Données projet'!$B$9,Paramètres!$A$1:$I$89,5,0)</f>
        <v>-1.2710188457276673E-13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255.5374979188561</v>
      </c>
      <c r="T154" s="59">
        <f t="shared" si="142"/>
        <v>343.10418468620901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0.28135881164107646</v>
      </c>
      <c r="AA154" s="21">
        <f>EXP(-LN(2)/25)*AA153+(1-EXP(-LN(2)/25))/(LN(2)/25)*Calculateur!V154*Calculateur!X154*VLOOKUP('Données projet'!$B$9,Paramètres!$A$1:$I$89,3,0)*0.475*44/12</f>
        <v>0.55725600770463124</v>
      </c>
      <c r="AB154" s="21">
        <f>EXP(-LN(2)/2)*AB153+(1-EXP(-LN(2)/2))/(LN(2)/2)*V154*Y154*VLOOKUP('Données projet'!$B$9,Paramètres!$A$1:$I$89,3,0)*0.475*44/12</f>
        <v>1.0381329160649371E-18</v>
      </c>
      <c r="AC154" s="22">
        <f t="shared" ref="AC154:AC203" si="163">SUM(Z154:AB154)</f>
        <v>0.8386148193457077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3.4106051316484809E-13</v>
      </c>
      <c r="AJ154" s="13">
        <f>AI154*VLOOKUP('Données projet'!$B$10,Paramètres!$A$1:$I$89,3,0)*VLOOKUP('Données projet'!$B$10,Paramètres!$A$1:$I$89,5,0)</f>
        <v>1.5961632016114892E-13</v>
      </c>
      <c r="AK154" s="13">
        <f t="shared" ref="AK154:AK203" si="164">EXP(-1.0587+0.8836*LN(AJ154)+0.284)</f>
        <v>2.2708641912150958E-12</v>
      </c>
      <c r="AL154" s="20">
        <f t="shared" ref="AL154:AL203" si="165">(AJ154+AK154)*0.475*44/12</f>
        <v>4.2330868906469593E-12</v>
      </c>
      <c r="AM154" s="59">
        <f t="shared" si="113"/>
        <v>293.33333333333752</v>
      </c>
      <c r="AN154" s="59">
        <f ca="1">AVERAGE(OFFSET($AM$3,0,0,'Données projet'!$E$10+1,1))-AVERAGE(OFFSET($H$3,0,0,'Données projet'!$E$10+1,1))</f>
        <v>158.58786357608489</v>
      </c>
      <c r="AO154" s="59">
        <f t="shared" si="144"/>
        <v>163.20074068819849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0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-1.7053025658242404E-13</v>
      </c>
      <c r="BE154" s="13">
        <f>BD154*VLOOKUP('Données projet'!$B$11,Paramètres!$A$1:$I$89,3,0)*VLOOKUP('Données projet'!$B$11,Paramètres!$A$1:$I$89,5,0)</f>
        <v>-1.0197709343628959E-13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243.85350804244348</v>
      </c>
      <c r="BJ154" s="59">
        <f t="shared" si="146"/>
        <v>304.60992308960545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0.41209289528682769</v>
      </c>
      <c r="BQ154" s="21">
        <f>EXP(-LN(2)/25)*BQ153+(1-EXP(-LN(2)/25))/(LN(2)/25)*Calculateur!BL154*Calculateur!BN154*VLOOKUP('Données projet'!$B$11,Paramètres!$A$1:$I$89,3,0)*0.475*44/12</f>
        <v>0.61900852463974032</v>
      </c>
      <c r="BR154" s="21">
        <f>EXP(-LN(2)/2)*BR153+(1-EXP(-LN(2)/2))/(LN(2)/2)*BL154*BO154*VLOOKUP('Données projet'!$B$11,Paramètres!$A$1:$I$89,3,0)*0.475*44/12</f>
        <v>2.2927192497347397E-18</v>
      </c>
      <c r="BS154" s="22">
        <f t="shared" ref="BS154:BS203" si="169">SUM(BP154:BR154)</f>
        <v>1.031101419926568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497</v>
      </c>
      <c r="BZ154" s="13">
        <f>BY154*VLOOKUP('Données projet'!$B$12,Paramètres!$A$1:$I$89,3,0)*VLOOKUP('Données projet'!$B$12,Paramètres!$A$1:$I$89,5,0)</f>
        <v>297.20600000000002</v>
      </c>
      <c r="CA154" s="13">
        <f t="shared" ref="CA154:CA203" si="170">EXP(-1.0587+0.8836*LN(BZ154)+0.284)</f>
        <v>70.590415164571112</v>
      </c>
      <c r="CB154" s="20">
        <f t="shared" ref="CB154:CB203" si="171">(BZ154+CA154)*0.475*44/12</f>
        <v>640.57875641162809</v>
      </c>
      <c r="CC154" s="59">
        <f t="shared" si="119"/>
        <v>933.91208974496135</v>
      </c>
      <c r="CD154" s="59">
        <f ca="1">AVERAGE(OFFSET($CC$3,0,0,'Données projet'!$E$12+1,1))-AVERAGE(OFFSET($H$3,0,0,'Données projet'!$E$12+1,1))</f>
        <v>270.30888762640245</v>
      </c>
      <c r="CE154" s="59">
        <f t="shared" si="148"/>
        <v>202.23783851977691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0.19502469406192743</v>
      </c>
      <c r="CL154" s="21">
        <f>EXP(-LN(2)/25)*CL153+(1-EXP(-LN(2)/25))/(LN(2)/25)*Calculateur!CG154*Calculateur!CI154*VLOOKUP('Données projet'!$B$12,Paramètres!$A$1:$I$89,3,0)*0.475*44/12</f>
        <v>0.42928993596140741</v>
      </c>
      <c r="CM154" s="21">
        <f>EXP(-LN(2)/2)*CM153+(1-EXP(-LN(2)/2))/(LN(2)/2)*CG154*CJ154*VLOOKUP('Données projet'!$B$12,Paramètres!$A$1:$I$89,3,0)*0.475*44/12</f>
        <v>1.1341838001170207E-17</v>
      </c>
      <c r="CN154" s="22">
        <f t="shared" ref="CN154:CN203" si="172">SUM(CK154:CM154)</f>
        <v>0.62431463002333487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-5.1159076974727213E-13</v>
      </c>
      <c r="CU154" s="17">
        <f>CT154*VLOOKUP('Données projet'!$B$13,Paramètres!$A$1:$I$89,3,0)*VLOOKUP('Données projet'!$B$13,Paramètres!$A$1:$I$89,5,0)</f>
        <v>-4.0702161641092972E-13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260.20517190557814</v>
      </c>
      <c r="CZ154" s="59">
        <f t="shared" si="150"/>
        <v>307.22009971147133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0.29710646025327953</v>
      </c>
      <c r="DG154" s="21">
        <f>EXP(-LN(2)/25)*DG153+(1-EXP(-LN(2)/25))/(LN(2)/25)*Calculateur!DB154*Calculateur!DD154*VLOOKUP('Données projet'!$B$13,Paramètres!$A$1:$I$89,3,0)*0.475*44/12</f>
        <v>0.71644650633648022</v>
      </c>
      <c r="DH154" s="21">
        <f>EXP(-LN(2)/2)*DH153+(1-EXP(-LN(2)/2))/(LN(2)/2)*DB154*DE154*VLOOKUP('Données projet'!$B$13,Paramètres!$A$1:$I$89,3,0)*0.475*44/12</f>
        <v>1.4743557185271552E-17</v>
      </c>
      <c r="DI154" s="22">
        <f t="shared" ref="DI154:DI203" si="175">SUM(DF154:DH154)</f>
        <v>1.0135529665897598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4.5474735088646412E-13</v>
      </c>
      <c r="DP154" s="17">
        <f>DO154*VLOOKUP('Données projet'!$B$14,Paramètres!$A$1:$I$89,3,0)*VLOOKUP('Données projet'!$B$14,Paramètres!$A$1:$I$89,5,0)</f>
        <v>4.6111381379887462E-13</v>
      </c>
      <c r="DQ154" s="13">
        <f t="shared" ref="DQ154:DQ203" si="176">EXP(-1.0587+0.8836*LN(DP154)+0.284)</f>
        <v>5.7981965206434308E-12</v>
      </c>
      <c r="DR154" s="20">
        <f t="shared" ref="DR154:DR203" si="177">(DP154+DQ154)*0.475*44/12</f>
        <v>1.0901632165820347E-11</v>
      </c>
      <c r="DS154" s="59">
        <f t="shared" si="125"/>
        <v>293.33333333334423</v>
      </c>
      <c r="DT154" s="59">
        <f ca="1">AVERAGE(OFFSET($DS$3,0,0,'Données projet'!$E$14+1,1))-AVERAGE(OFFSET($H$3,0,0,'Données projet'!$E$14+1,1))</f>
        <v>263.15518481854753</v>
      </c>
      <c r="DU154" s="59">
        <f t="shared" si="152"/>
        <v>210.80755370263819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0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-5.1159076974727213E-13</v>
      </c>
      <c r="EK154" s="17">
        <f>EJ154*VLOOKUP('Données projet'!$B$15,Paramètres!$A$1:$I$89,3,0)*VLOOKUP('Données projet'!$B$15,Paramètres!$A$1:$I$89,5,0)</f>
        <v>-3.4317508834647017E-13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207.93042467236967</v>
      </c>
      <c r="EP154" s="59">
        <f t="shared" si="154"/>
        <v>250.70954318710835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0.25050152531158831</v>
      </c>
      <c r="EW154" s="21">
        <f>EXP(-LN(2)/25)*EW153+(1-EXP(-LN(2)/25))/(LN(2)/25)*Calculateur!ER154*Calculateur!ET154*VLOOKUP('Données projet'!$B$15,Paramètres!$A$1:$I$89,3,0)*0.475*44/12</f>
        <v>0.604062740636641</v>
      </c>
      <c r="EX154" s="21">
        <f>EXP(-LN(2)/2)*EX153+(1-EXP(-LN(2)/2))/(LN(2)/2)*ER154*EU154*VLOOKUP('Données projet'!$B$15,Paramètres!$A$1:$I$89,3,0)*0.475*44/12</f>
        <v>1.2430842332679935E-17</v>
      </c>
      <c r="EY154" s="22">
        <f t="shared" ref="EY154:EY203" si="181">SUM(EV154:EX154)</f>
        <v>0.85456426594822932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4.5474735088646412E-13</v>
      </c>
      <c r="FF154" s="17">
        <f>FE154*VLOOKUP('Données projet'!$B$16,Paramètres!$A$1:$I$89,3,0)*VLOOKUP('Données projet'!$B$16,Paramètres!$A$1:$I$89,5,0)</f>
        <v>4.8949004849418999E-13</v>
      </c>
      <c r="FG154" s="13">
        <f t="shared" ref="FG154:FG203" si="182">EXP(-1.0587+0.8836*LN(FF154)+0.284)</f>
        <v>6.1123715499968684E-12</v>
      </c>
      <c r="FH154" s="20">
        <f t="shared" ref="FH154:FH203" si="183">(FF154+FG154)*0.475*44/12</f>
        <v>1.1498242284038591E-11</v>
      </c>
      <c r="FI154" s="59">
        <f t="shared" si="131"/>
        <v>293.3333333333448</v>
      </c>
      <c r="FJ154" s="59">
        <f ca="1">AVERAGE(OFFSET($FI$3,0,0,'Données projet'!$E$16+1,1))-AVERAGE(OFFSET($H$3,0,0,'Données projet'!$E$16+1,1))</f>
        <v>286.77702855541287</v>
      </c>
      <c r="FK154" s="59">
        <f t="shared" si="156"/>
        <v>227.12211541860779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0</v>
      </c>
      <c r="FR154" s="21">
        <f>EXP(-LN(2)/25)*FR153+(1-EXP(-LN(2)/25))/(LN(2)/25)*Calculateur!FM154*Calculateur!FO154*VLOOKUP('Données projet'!$B$16,Paramètres!$A$1:$I$89,3,0)*0.475*44/12</f>
        <v>0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0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5.6843418860808015E-13</v>
      </c>
      <c r="GA154" s="17">
        <f>FZ154*VLOOKUP('Données projet'!$B$17,Paramètres!$A$1:$I$89,3,0)*VLOOKUP('Données projet'!$B$17,Paramètres!$A$1:$I$89,5,0)</f>
        <v>2.6602720026858149E-13</v>
      </c>
      <c r="GB154" s="13">
        <f t="shared" ref="GB154:GB203" si="185">EXP(-1.0587+0.8836*LN(GA154)+0.284)</f>
        <v>3.5662905043956649E-12</v>
      </c>
      <c r="GC154" s="20">
        <f t="shared" ref="GC154:GC203" si="186">(GA154+GB154)*0.475*44/12</f>
        <v>6.6746200022902298E-12</v>
      </c>
      <c r="GD154" s="59">
        <f t="shared" si="134"/>
        <v>293.33333333333997</v>
      </c>
      <c r="GE154" s="59">
        <f ca="1">AVERAGE(OFFSET($GD$3,0,0,'Données projet'!$E$17+1,1))-AVERAGE(OFFSET($H$3,0,0,'Données projet'!$E$17+1,1))</f>
        <v>123.2823358462245</v>
      </c>
      <c r="GF154" s="59">
        <f t="shared" si="158"/>
        <v>92.75115399786057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0</v>
      </c>
      <c r="GM154" s="21">
        <f>EXP(-LN(2)/25)*GM153+(1-EXP(-LN(2)/25))/(LN(2)/25)*Calculateur!GH154*Calculateur!GJ154*VLOOKUP('Données projet'!$B$17,Paramètres!$A$1:$I$89,3,0)*0.475*44/12</f>
        <v>0</v>
      </c>
      <c r="GN154" s="21">
        <f>EXP(-LN(2)/2)*GN153+(1-EXP(-LN(2)/2))/(LN(2)/2)*GH154*GK154*VLOOKUP('Données projet'!$B$17,Paramètres!$A$1:$I$89,3,0)*0.475*44/12</f>
        <v>0</v>
      </c>
      <c r="GO154" s="21">
        <f t="shared" ref="GO154:GO203" si="187">SUM(GL154:GN154)</f>
        <v>0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-2.8421709430404007E-13</v>
      </c>
      <c r="GV154" s="17">
        <f>GU154*VLOOKUP('Données projet'!$B$18,Paramètres!$A$1:$I$89,3,0)*VLOOKUP('Données projet'!$B$18,Paramètres!$A$1:$I$89,5,0)</f>
        <v>-1.69961822393816E-13</v>
      </c>
      <c r="GW154" s="13" t="e">
        <f t="shared" ref="GW154:GW203" si="188">EXP(-1.0587+0.8836*LN(GV154)+0.284)</f>
        <v>#NUM!</v>
      </c>
      <c r="GX154" s="20" t="e">
        <f t="shared" ref="GX154:GX203" si="189">(GV154+GW154)*0.475*44/12</f>
        <v>#NUM!</v>
      </c>
      <c r="GY154" s="59" t="e">
        <f t="shared" si="137"/>
        <v>#NUM!</v>
      </c>
      <c r="GZ154" s="59">
        <f ca="1">AVERAGE(OFFSET($GY$3,0,0,'Données projet'!$E$18+1,1))-AVERAGE(OFFSET($H$3,0,0,'Données projet'!$E$18+1,1))</f>
        <v>171.96009656745713</v>
      </c>
      <c r="HA154" s="59">
        <f t="shared" si="160"/>
        <v>172.37574906747716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>
        <f>EXP(-LN(2)/35)*HG153+(1-EXP(-LN(2)/35))/(LN(2)/35)*HC154*HD154*VLOOKUP('Données projet'!$B$18,Paramètres!$A$1:$I$89,3,0)*0.475*44/12</f>
        <v>0.15188173677256719</v>
      </c>
      <c r="HH154" s="21">
        <f>EXP(-LN(2)/25)*HH153+(1-EXP(-LN(2)/25))/(LN(2)/25)*Calculateur!HC154*Calculateur!HE154*VLOOKUP('Données projet'!$B$18,Paramètres!$A$1:$I$89,3,0)*0.475*44/12</f>
        <v>0.71775121126511143</v>
      </c>
      <c r="HI154" s="21">
        <f>EXP(-LN(2)/2)*HI153+(1-EXP(-LN(2)/2))/(LN(2)/2)*HC154*HF154*VLOOKUP('Données projet'!$B$18,Paramètres!$A$1:$I$89,3,0)*0.475*44/12</f>
        <v>7.3871754058594464E-18</v>
      </c>
      <c r="HJ154" s="22">
        <f t="shared" ref="HJ154:HJ203" si="190">SUM(HG154:HI154)</f>
        <v>0.86963294803767865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-2.2737367544323206E-13</v>
      </c>
      <c r="O155" s="13">
        <f>N155*VLOOKUP('Données projet'!$B$9,Paramètres!$A$1:$I$89,3,0)*VLOOKUP('Données projet'!$B$9,Paramètres!$A$1:$I$89,5,0)</f>
        <v>-1.2710188457276673E-13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255.5374979188561</v>
      </c>
      <c r="T155" s="59">
        <f t="shared" si="142"/>
        <v>343.10418468620901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0.27584153695672475</v>
      </c>
      <c r="AA155" s="21">
        <f>EXP(-LN(2)/25)*AA154+(1-EXP(-LN(2)/25))/(LN(2)/25)*Calculateur!V155*Calculateur!X155*VLOOKUP('Données projet'!$B$9,Paramètres!$A$1:$I$89,3,0)*0.475*44/12</f>
        <v>0.54201781286912831</v>
      </c>
      <c r="AB155" s="21">
        <f>EXP(-LN(2)/2)*AB154+(1-EXP(-LN(2)/2))/(LN(2)/2)*V155*Y155*VLOOKUP('Données projet'!$B$9,Paramètres!$A$1:$I$89,3,0)*0.475*44/12</f>
        <v>7.3407082472248203E-19</v>
      </c>
      <c r="AC155" s="22">
        <f t="shared" si="163"/>
        <v>0.81785934982585307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3.4106051316484809E-13</v>
      </c>
      <c r="AJ155" s="13">
        <f>AI155*VLOOKUP('Données projet'!$B$10,Paramètres!$A$1:$I$89,3,0)*VLOOKUP('Données projet'!$B$10,Paramètres!$A$1:$I$89,5,0)</f>
        <v>1.5961632016114892E-13</v>
      </c>
      <c r="AK155" s="13">
        <f t="shared" si="164"/>
        <v>2.2708641912150958E-12</v>
      </c>
      <c r="AL155" s="20">
        <f t="shared" si="165"/>
        <v>4.2330868906469593E-12</v>
      </c>
      <c r="AM155" s="59">
        <f t="shared" si="113"/>
        <v>293.33333333333752</v>
      </c>
      <c r="AN155" s="59">
        <f ca="1">AVERAGE(OFFSET($AM$3,0,0,'Données projet'!$E$10+1,1))-AVERAGE(OFFSET($H$3,0,0,'Données projet'!$E$10+1,1))</f>
        <v>158.58786357608489</v>
      </c>
      <c r="AO155" s="59">
        <f t="shared" si="144"/>
        <v>163.20074068819849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0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-1.7053025658242404E-13</v>
      </c>
      <c r="BE155" s="13">
        <f>BD155*VLOOKUP('Données projet'!$B$11,Paramètres!$A$1:$I$89,3,0)*VLOOKUP('Données projet'!$B$11,Paramètres!$A$1:$I$89,5,0)</f>
        <v>-1.0197709343628959E-13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243.85350804244348</v>
      </c>
      <c r="BJ155" s="59">
        <f t="shared" si="146"/>
        <v>304.60992308960545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0.40401200496210021</v>
      </c>
      <c r="BQ155" s="21">
        <f>EXP(-LN(2)/25)*BQ154+(1-EXP(-LN(2)/25))/(LN(2)/25)*Calculateur!BL155*Calculateur!BN155*VLOOKUP('Données projet'!$B$11,Paramètres!$A$1:$I$89,3,0)*0.475*44/12</f>
        <v>0.60208170398122307</v>
      </c>
      <c r="BR155" s="21">
        <f>EXP(-LN(2)/2)*BR154+(1-EXP(-LN(2)/2))/(LN(2)/2)*BL155*BO155*VLOOKUP('Données projet'!$B$11,Paramètres!$A$1:$I$89,3,0)*0.475*44/12</f>
        <v>1.621197328844368E-18</v>
      </c>
      <c r="BS155" s="22">
        <f t="shared" si="169"/>
        <v>1.0060937089433233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497</v>
      </c>
      <c r="BZ155" s="13">
        <f>BY155*VLOOKUP('Données projet'!$B$12,Paramètres!$A$1:$I$89,3,0)*VLOOKUP('Données projet'!$B$12,Paramètres!$A$1:$I$89,5,0)</f>
        <v>297.20600000000002</v>
      </c>
      <c r="CA155" s="13">
        <f t="shared" si="170"/>
        <v>70.590415164571112</v>
      </c>
      <c r="CB155" s="20">
        <f t="shared" si="171"/>
        <v>640.57875641162809</v>
      </c>
      <c r="CC155" s="59">
        <f t="shared" si="119"/>
        <v>933.91208974496135</v>
      </c>
      <c r="CD155" s="59">
        <f ca="1">AVERAGE(OFFSET($CC$3,0,0,'Données projet'!$E$12+1,1))-AVERAGE(OFFSET($H$3,0,0,'Données projet'!$E$12+1,1))</f>
        <v>270.30888762640245</v>
      </c>
      <c r="CE155" s="59">
        <f t="shared" si="148"/>
        <v>202.23783851977691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0.19120037876469076</v>
      </c>
      <c r="CL155" s="21">
        <f>EXP(-LN(2)/25)*CL154+(1-EXP(-LN(2)/25))/(LN(2)/25)*Calculateur!CG155*Calculateur!CI155*VLOOKUP('Données projet'!$B$12,Paramètres!$A$1:$I$89,3,0)*0.475*44/12</f>
        <v>0.41755098008716612</v>
      </c>
      <c r="CM155" s="21">
        <f>EXP(-LN(2)/2)*CM154+(1-EXP(-LN(2)/2))/(LN(2)/2)*CG155*CJ155*VLOOKUP('Données projet'!$B$12,Paramètres!$A$1:$I$89,3,0)*0.475*44/12</f>
        <v>8.0198905617467307E-18</v>
      </c>
      <c r="CN155" s="22">
        <f t="shared" si="172"/>
        <v>0.60875135885185694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-5.1159076974727213E-13</v>
      </c>
      <c r="CU155" s="17">
        <f>CT155*VLOOKUP('Données projet'!$B$13,Paramètres!$A$1:$I$89,3,0)*VLOOKUP('Données projet'!$B$13,Paramètres!$A$1:$I$89,5,0)</f>
        <v>-4.0702161641092972E-13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260.20517190557814</v>
      </c>
      <c r="CZ155" s="59">
        <f t="shared" si="150"/>
        <v>307.22009971147133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0.29128038378475979</v>
      </c>
      <c r="DG155" s="21">
        <f>EXP(-LN(2)/25)*DG154+(1-EXP(-LN(2)/25))/(LN(2)/25)*Calculateur!DB155*Calculateur!DD155*VLOOKUP('Données projet'!$B$13,Paramètres!$A$1:$I$89,3,0)*0.475*44/12</f>
        <v>0.6968552389444248</v>
      </c>
      <c r="DH155" s="21">
        <f>EXP(-LN(2)/2)*DH154+(1-EXP(-LN(2)/2))/(LN(2)/2)*DB155*DE155*VLOOKUP('Données projet'!$B$13,Paramètres!$A$1:$I$89,3,0)*0.475*44/12</f>
        <v>1.0425269264517162E-17</v>
      </c>
      <c r="DI155" s="22">
        <f t="shared" si="175"/>
        <v>0.98813562272918465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4.5474735088646412E-13</v>
      </c>
      <c r="DP155" s="17">
        <f>DO155*VLOOKUP('Données projet'!$B$14,Paramètres!$A$1:$I$89,3,0)*VLOOKUP('Données projet'!$B$14,Paramètres!$A$1:$I$89,5,0)</f>
        <v>4.6111381379887462E-13</v>
      </c>
      <c r="DQ155" s="13">
        <f t="shared" si="176"/>
        <v>5.7981965206434308E-12</v>
      </c>
      <c r="DR155" s="20">
        <f t="shared" si="177"/>
        <v>1.0901632165820347E-11</v>
      </c>
      <c r="DS155" s="59">
        <f t="shared" si="125"/>
        <v>293.33333333334423</v>
      </c>
      <c r="DT155" s="59">
        <f ca="1">AVERAGE(OFFSET($DS$3,0,0,'Données projet'!$E$14+1,1))-AVERAGE(OFFSET($H$3,0,0,'Données projet'!$E$14+1,1))</f>
        <v>263.15518481854753</v>
      </c>
      <c r="DU155" s="59">
        <f t="shared" si="152"/>
        <v>210.80755370263819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0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-5.1159076974727213E-13</v>
      </c>
      <c r="EK155" s="17">
        <f>EJ155*VLOOKUP('Données projet'!$B$15,Paramètres!$A$1:$I$89,3,0)*VLOOKUP('Données projet'!$B$15,Paramètres!$A$1:$I$89,5,0)</f>
        <v>-3.4317508834647017E-13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207.93042467236967</v>
      </c>
      <c r="EP155" s="59">
        <f t="shared" si="154"/>
        <v>250.70954318710835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0.24558934319107167</v>
      </c>
      <c r="EW155" s="21">
        <f>EXP(-LN(2)/25)*EW154+(1-EXP(-LN(2)/25))/(LN(2)/25)*Calculateur!ER155*Calculateur!ET155*VLOOKUP('Données projet'!$B$15,Paramètres!$A$1:$I$89,3,0)*0.475*44/12</f>
        <v>0.58754461322765317</v>
      </c>
      <c r="EX155" s="21">
        <f>EXP(-LN(2)/2)*EX154+(1-EXP(-LN(2)/2))/(LN(2)/2)*ER155*EU155*VLOOKUP('Données projet'!$B$15,Paramètres!$A$1:$I$89,3,0)*0.475*44/12</f>
        <v>8.7899329092987828E-18</v>
      </c>
      <c r="EY155" s="22">
        <f t="shared" si="181"/>
        <v>0.83313395641872479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4.5474735088646412E-13</v>
      </c>
      <c r="FF155" s="17">
        <f>FE155*VLOOKUP('Données projet'!$B$16,Paramètres!$A$1:$I$89,3,0)*VLOOKUP('Données projet'!$B$16,Paramètres!$A$1:$I$89,5,0)</f>
        <v>4.8949004849418999E-13</v>
      </c>
      <c r="FG155" s="13">
        <f t="shared" si="182"/>
        <v>6.1123715499968684E-12</v>
      </c>
      <c r="FH155" s="20">
        <f t="shared" si="183"/>
        <v>1.1498242284038591E-11</v>
      </c>
      <c r="FI155" s="59">
        <f t="shared" si="131"/>
        <v>293.3333333333448</v>
      </c>
      <c r="FJ155" s="59">
        <f ca="1">AVERAGE(OFFSET($FI$3,0,0,'Données projet'!$E$16+1,1))-AVERAGE(OFFSET($H$3,0,0,'Données projet'!$E$16+1,1))</f>
        <v>286.77702855541287</v>
      </c>
      <c r="FK155" s="59">
        <f t="shared" si="156"/>
        <v>227.12211541860779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0</v>
      </c>
      <c r="FR155" s="21">
        <f>EXP(-LN(2)/25)*FR154+(1-EXP(-LN(2)/25))/(LN(2)/25)*Calculateur!FM155*Calculateur!FO155*VLOOKUP('Données projet'!$B$16,Paramètres!$A$1:$I$89,3,0)*0.475*44/12</f>
        <v>0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0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5.6843418860808015E-13</v>
      </c>
      <c r="GA155" s="17">
        <f>FZ155*VLOOKUP('Données projet'!$B$17,Paramètres!$A$1:$I$89,3,0)*VLOOKUP('Données projet'!$B$17,Paramètres!$A$1:$I$89,5,0)</f>
        <v>2.6602720026858149E-13</v>
      </c>
      <c r="GB155" s="13">
        <f t="shared" si="185"/>
        <v>3.5662905043956649E-12</v>
      </c>
      <c r="GC155" s="20">
        <f t="shared" si="186"/>
        <v>6.6746200022902298E-12</v>
      </c>
      <c r="GD155" s="59">
        <f t="shared" si="134"/>
        <v>293.33333333333997</v>
      </c>
      <c r="GE155" s="59">
        <f ca="1">AVERAGE(OFFSET($GD$3,0,0,'Données projet'!$E$17+1,1))-AVERAGE(OFFSET($H$3,0,0,'Données projet'!$E$17+1,1))</f>
        <v>123.2823358462245</v>
      </c>
      <c r="GF155" s="59">
        <f t="shared" si="158"/>
        <v>92.75115399786057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0</v>
      </c>
      <c r="GM155" s="21">
        <f>EXP(-LN(2)/25)*GM154+(1-EXP(-LN(2)/25))/(LN(2)/25)*Calculateur!GH155*Calculateur!GJ155*VLOOKUP('Données projet'!$B$17,Paramètres!$A$1:$I$89,3,0)*0.475*44/12</f>
        <v>0</v>
      </c>
      <c r="GN155" s="21">
        <f>EXP(-LN(2)/2)*GN154+(1-EXP(-LN(2)/2))/(LN(2)/2)*GH155*GK155*VLOOKUP('Données projet'!$B$17,Paramètres!$A$1:$I$89,3,0)*0.475*44/12</f>
        <v>0</v>
      </c>
      <c r="GO155" s="21">
        <f t="shared" si="187"/>
        <v>0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-2.8421709430404007E-13</v>
      </c>
      <c r="GV155" s="17">
        <f>GU155*VLOOKUP('Données projet'!$B$18,Paramètres!$A$1:$I$89,3,0)*VLOOKUP('Données projet'!$B$18,Paramètres!$A$1:$I$89,5,0)</f>
        <v>-1.69961822393816E-13</v>
      </c>
      <c r="GW155" s="13" t="e">
        <f t="shared" si="188"/>
        <v>#NUM!</v>
      </c>
      <c r="GX155" s="20" t="e">
        <f t="shared" si="189"/>
        <v>#NUM!</v>
      </c>
      <c r="GY155" s="59" t="e">
        <f t="shared" si="137"/>
        <v>#NUM!</v>
      </c>
      <c r="GZ155" s="59">
        <f ca="1">AVERAGE(OFFSET($GY$3,0,0,'Données projet'!$E$18+1,1))-AVERAGE(OFFSET($H$3,0,0,'Données projet'!$E$18+1,1))</f>
        <v>171.96009656745713</v>
      </c>
      <c r="HA155" s="59">
        <f t="shared" si="160"/>
        <v>172.37574906747716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>
        <f>EXP(-LN(2)/35)*HG154+(1-EXP(-LN(2)/35))/(LN(2)/35)*HC155*HD155*VLOOKUP('Données projet'!$B$18,Paramètres!$A$1:$I$89,3,0)*0.475*44/12</f>
        <v>0.14890342855316926</v>
      </c>
      <c r="HH155" s="21">
        <f>EXP(-LN(2)/25)*HH154+(1-EXP(-LN(2)/25))/(LN(2)/25)*Calculateur!HC155*Calculateur!HE155*VLOOKUP('Données projet'!$B$18,Paramètres!$A$1:$I$89,3,0)*0.475*44/12</f>
        <v>0.69812426664817118</v>
      </c>
      <c r="HI155" s="21">
        <f>EXP(-LN(2)/2)*HI154+(1-EXP(-LN(2)/2))/(LN(2)/2)*HC155*HF155*VLOOKUP('Données projet'!$B$18,Paramètres!$A$1:$I$89,3,0)*0.475*44/12</f>
        <v>5.223521823297701E-18</v>
      </c>
      <c r="HJ155" s="22">
        <f t="shared" si="190"/>
        <v>0.84702769520134047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-2.2737367544323206E-13</v>
      </c>
      <c r="O156" s="13">
        <f>N156*VLOOKUP('Données projet'!$B$9,Paramètres!$A$1:$I$89,3,0)*VLOOKUP('Données projet'!$B$9,Paramètres!$A$1:$I$89,5,0)</f>
        <v>-1.2710188457276673E-13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255.5374979188561</v>
      </c>
      <c r="T156" s="59">
        <f t="shared" si="142"/>
        <v>343.10418468620901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0.27043245266372795</v>
      </c>
      <c r="AA156" s="21">
        <f>EXP(-LN(2)/25)*AA155+(1-EXP(-LN(2)/25))/(LN(2)/25)*Calculateur!V156*Calculateur!X156*VLOOKUP('Données projet'!$B$9,Paramètres!$A$1:$I$89,3,0)*0.475*44/12</f>
        <v>0.52719630727274402</v>
      </c>
      <c r="AB156" s="21">
        <f>EXP(-LN(2)/2)*AB155+(1-EXP(-LN(2)/2))/(LN(2)/2)*V156*Y156*VLOOKUP('Données projet'!$B$9,Paramètres!$A$1:$I$89,3,0)*0.475*44/12</f>
        <v>5.1906645803246857E-19</v>
      </c>
      <c r="AC156" s="22">
        <f t="shared" si="163"/>
        <v>0.79762875993647198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3.4106051316484809E-13</v>
      </c>
      <c r="AJ156" s="13">
        <f>AI156*VLOOKUP('Données projet'!$B$10,Paramètres!$A$1:$I$89,3,0)*VLOOKUP('Données projet'!$B$10,Paramètres!$A$1:$I$89,5,0)</f>
        <v>1.5961632016114892E-13</v>
      </c>
      <c r="AK156" s="13">
        <f t="shared" si="164"/>
        <v>2.2708641912150958E-12</v>
      </c>
      <c r="AL156" s="20">
        <f t="shared" si="165"/>
        <v>4.2330868906469593E-12</v>
      </c>
      <c r="AM156" s="59">
        <f t="shared" si="113"/>
        <v>293.33333333333752</v>
      </c>
      <c r="AN156" s="59">
        <f ca="1">AVERAGE(OFFSET($AM$3,0,0,'Données projet'!$E$10+1,1))-AVERAGE(OFFSET($H$3,0,0,'Données projet'!$E$10+1,1))</f>
        <v>158.58786357608489</v>
      </c>
      <c r="AO156" s="59">
        <f t="shared" si="144"/>
        <v>163.20074068819849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0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-1.7053025658242404E-13</v>
      </c>
      <c r="BE156" s="13">
        <f>BD156*VLOOKUP('Données projet'!$B$11,Paramètres!$A$1:$I$89,3,0)*VLOOKUP('Données projet'!$B$11,Paramètres!$A$1:$I$89,5,0)</f>
        <v>-1.0197709343628959E-13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243.85350804244348</v>
      </c>
      <c r="BJ156" s="59">
        <f t="shared" si="146"/>
        <v>304.60992308960545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0.39608957596778421</v>
      </c>
      <c r="BQ156" s="21">
        <f>EXP(-LN(2)/25)*BQ155+(1-EXP(-LN(2)/25))/(LN(2)/25)*Calculateur!BL156*Calculateur!BN156*VLOOKUP('Données projet'!$B$11,Paramètres!$A$1:$I$89,3,0)*0.475*44/12</f>
        <v>0.58561774812375578</v>
      </c>
      <c r="BR156" s="21">
        <f>EXP(-LN(2)/2)*BR155+(1-EXP(-LN(2)/2))/(LN(2)/2)*BL156*BO156*VLOOKUP('Données projet'!$B$11,Paramètres!$A$1:$I$89,3,0)*0.475*44/12</f>
        <v>1.1463596248673699E-18</v>
      </c>
      <c r="BS156" s="22">
        <f t="shared" si="169"/>
        <v>0.98170732409153993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497</v>
      </c>
      <c r="BZ156" s="13">
        <f>BY156*VLOOKUP('Données projet'!$B$12,Paramètres!$A$1:$I$89,3,0)*VLOOKUP('Données projet'!$B$12,Paramètres!$A$1:$I$89,5,0)</f>
        <v>297.20600000000002</v>
      </c>
      <c r="CA156" s="13">
        <f t="shared" si="170"/>
        <v>70.590415164571112</v>
      </c>
      <c r="CB156" s="20">
        <f t="shared" si="171"/>
        <v>640.57875641162809</v>
      </c>
      <c r="CC156" s="59">
        <f t="shared" si="119"/>
        <v>933.91208974496135</v>
      </c>
      <c r="CD156" s="59">
        <f ca="1">AVERAGE(OFFSET($CC$3,0,0,'Données projet'!$E$12+1,1))-AVERAGE(OFFSET($H$3,0,0,'Données projet'!$E$12+1,1))</f>
        <v>270.30888762640245</v>
      </c>
      <c r="CE156" s="59">
        <f t="shared" si="148"/>
        <v>202.23783851977691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0.18745105595783088</v>
      </c>
      <c r="CL156" s="21">
        <f>EXP(-LN(2)/25)*CL155+(1-EXP(-LN(2)/25))/(LN(2)/25)*Calculateur!CG156*Calculateur!CI156*VLOOKUP('Données projet'!$B$12,Paramètres!$A$1:$I$89,3,0)*0.475*44/12</f>
        <v>0.40613302657863087</v>
      </c>
      <c r="CM156" s="21">
        <f>EXP(-LN(2)/2)*CM155+(1-EXP(-LN(2)/2))/(LN(2)/2)*CG156*CJ156*VLOOKUP('Données projet'!$B$12,Paramètres!$A$1:$I$89,3,0)*0.475*44/12</f>
        <v>5.6709190005851033E-18</v>
      </c>
      <c r="CN156" s="22">
        <f t="shared" si="172"/>
        <v>0.59358408253646178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-5.1159076974727213E-13</v>
      </c>
      <c r="CU156" s="17">
        <f>CT156*VLOOKUP('Données projet'!$B$13,Paramètres!$A$1:$I$89,3,0)*VLOOKUP('Données projet'!$B$13,Paramètres!$A$1:$I$89,5,0)</f>
        <v>-4.0702161641092972E-13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260.20517190557814</v>
      </c>
      <c r="CZ156" s="59">
        <f t="shared" si="150"/>
        <v>307.22009971147133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0.28556855312223195</v>
      </c>
      <c r="DG156" s="21">
        <f>EXP(-LN(2)/25)*DG155+(1-EXP(-LN(2)/25))/(LN(2)/25)*Calculateur!DB156*Calculateur!DD156*VLOOKUP('Données projet'!$B$13,Paramètres!$A$1:$I$89,3,0)*0.475*44/12</f>
        <v>0.6777996957894652</v>
      </c>
      <c r="DH156" s="21">
        <f>EXP(-LN(2)/2)*DH155+(1-EXP(-LN(2)/2))/(LN(2)/2)*DB156*DE156*VLOOKUP('Données projet'!$B$13,Paramètres!$A$1:$I$89,3,0)*0.475*44/12</f>
        <v>7.3717785926357759E-18</v>
      </c>
      <c r="DI156" s="22">
        <f t="shared" si="175"/>
        <v>0.96336824891169714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4.5474735088646412E-13</v>
      </c>
      <c r="DP156" s="17">
        <f>DO156*VLOOKUP('Données projet'!$B$14,Paramètres!$A$1:$I$89,3,0)*VLOOKUP('Données projet'!$B$14,Paramètres!$A$1:$I$89,5,0)</f>
        <v>4.6111381379887462E-13</v>
      </c>
      <c r="DQ156" s="13">
        <f t="shared" si="176"/>
        <v>5.7981965206434308E-12</v>
      </c>
      <c r="DR156" s="20">
        <f t="shared" si="177"/>
        <v>1.0901632165820347E-11</v>
      </c>
      <c r="DS156" s="59">
        <f t="shared" si="125"/>
        <v>293.33333333334423</v>
      </c>
      <c r="DT156" s="59">
        <f ca="1">AVERAGE(OFFSET($DS$3,0,0,'Données projet'!$E$14+1,1))-AVERAGE(OFFSET($H$3,0,0,'Données projet'!$E$14+1,1))</f>
        <v>263.15518481854753</v>
      </c>
      <c r="DU156" s="59">
        <f t="shared" si="152"/>
        <v>210.80755370263819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0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-5.1159076974727213E-13</v>
      </c>
      <c r="EK156" s="17">
        <f>EJ156*VLOOKUP('Données projet'!$B$15,Paramètres!$A$1:$I$89,3,0)*VLOOKUP('Données projet'!$B$15,Paramètres!$A$1:$I$89,5,0)</f>
        <v>-3.4317508834647017E-13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207.93042467236967</v>
      </c>
      <c r="EP156" s="59">
        <f t="shared" si="154"/>
        <v>250.70954318710835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0.24077348596580311</v>
      </c>
      <c r="EW156" s="21">
        <f>EXP(-LN(2)/25)*EW155+(1-EXP(-LN(2)/25))/(LN(2)/25)*Calculateur!ER156*Calculateur!ET156*VLOOKUP('Données projet'!$B$15,Paramètres!$A$1:$I$89,3,0)*0.475*44/12</f>
        <v>0.57147817488131458</v>
      </c>
      <c r="EX156" s="21">
        <f>EXP(-LN(2)/2)*EX155+(1-EXP(-LN(2)/2))/(LN(2)/2)*ER156*EU156*VLOOKUP('Données projet'!$B$15,Paramètres!$A$1:$I$89,3,0)*0.475*44/12</f>
        <v>6.2154211663399676E-18</v>
      </c>
      <c r="EY156" s="22">
        <f t="shared" si="181"/>
        <v>0.81225166084711775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4.5474735088646412E-13</v>
      </c>
      <c r="FF156" s="17">
        <f>FE156*VLOOKUP('Données projet'!$B$16,Paramètres!$A$1:$I$89,3,0)*VLOOKUP('Données projet'!$B$16,Paramètres!$A$1:$I$89,5,0)</f>
        <v>4.8949004849418999E-13</v>
      </c>
      <c r="FG156" s="13">
        <f t="shared" si="182"/>
        <v>6.1123715499968684E-12</v>
      </c>
      <c r="FH156" s="20">
        <f t="shared" si="183"/>
        <v>1.1498242284038591E-11</v>
      </c>
      <c r="FI156" s="59">
        <f t="shared" si="131"/>
        <v>293.3333333333448</v>
      </c>
      <c r="FJ156" s="59">
        <f ca="1">AVERAGE(OFFSET($FI$3,0,0,'Données projet'!$E$16+1,1))-AVERAGE(OFFSET($H$3,0,0,'Données projet'!$E$16+1,1))</f>
        <v>286.77702855541287</v>
      </c>
      <c r="FK156" s="59">
        <f t="shared" si="156"/>
        <v>227.12211541860779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0</v>
      </c>
      <c r="FR156" s="21">
        <f>EXP(-LN(2)/25)*FR155+(1-EXP(-LN(2)/25))/(LN(2)/25)*Calculateur!FM156*Calculateur!FO156*VLOOKUP('Données projet'!$B$16,Paramètres!$A$1:$I$89,3,0)*0.475*44/12</f>
        <v>0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0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5.6843418860808015E-13</v>
      </c>
      <c r="GA156" s="17">
        <f>FZ156*VLOOKUP('Données projet'!$B$17,Paramètres!$A$1:$I$89,3,0)*VLOOKUP('Données projet'!$B$17,Paramètres!$A$1:$I$89,5,0)</f>
        <v>2.6602720026858149E-13</v>
      </c>
      <c r="GB156" s="13">
        <f t="shared" si="185"/>
        <v>3.5662905043956649E-12</v>
      </c>
      <c r="GC156" s="20">
        <f t="shared" si="186"/>
        <v>6.6746200022902298E-12</v>
      </c>
      <c r="GD156" s="59">
        <f t="shared" si="134"/>
        <v>293.33333333333997</v>
      </c>
      <c r="GE156" s="59">
        <f ca="1">AVERAGE(OFFSET($GD$3,0,0,'Données projet'!$E$17+1,1))-AVERAGE(OFFSET($H$3,0,0,'Données projet'!$E$17+1,1))</f>
        <v>123.2823358462245</v>
      </c>
      <c r="GF156" s="59">
        <f t="shared" si="158"/>
        <v>92.75115399786057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0</v>
      </c>
      <c r="GM156" s="21">
        <f>EXP(-LN(2)/25)*GM155+(1-EXP(-LN(2)/25))/(LN(2)/25)*Calculateur!GH156*Calculateur!GJ156*VLOOKUP('Données projet'!$B$17,Paramètres!$A$1:$I$89,3,0)*0.475*44/12</f>
        <v>0</v>
      </c>
      <c r="GN156" s="21">
        <f>EXP(-LN(2)/2)*GN155+(1-EXP(-LN(2)/2))/(LN(2)/2)*GH156*GK156*VLOOKUP('Données projet'!$B$17,Paramètres!$A$1:$I$89,3,0)*0.475*44/12</f>
        <v>0</v>
      </c>
      <c r="GO156" s="21">
        <f t="shared" si="187"/>
        <v>0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-2.8421709430404007E-13</v>
      </c>
      <c r="GV156" s="17">
        <f>GU156*VLOOKUP('Données projet'!$B$18,Paramètres!$A$1:$I$89,3,0)*VLOOKUP('Données projet'!$B$18,Paramètres!$A$1:$I$89,5,0)</f>
        <v>-1.69961822393816E-13</v>
      </c>
      <c r="GW156" s="13" t="e">
        <f t="shared" si="188"/>
        <v>#NUM!</v>
      </c>
      <c r="GX156" s="20" t="e">
        <f t="shared" si="189"/>
        <v>#NUM!</v>
      </c>
      <c r="GY156" s="59" t="e">
        <f t="shared" si="137"/>
        <v>#NUM!</v>
      </c>
      <c r="GZ156" s="59">
        <f ca="1">AVERAGE(OFFSET($GY$3,0,0,'Données projet'!$E$18+1,1))-AVERAGE(OFFSET($H$3,0,0,'Données projet'!$E$18+1,1))</f>
        <v>171.96009656745713</v>
      </c>
      <c r="HA156" s="59">
        <f t="shared" si="160"/>
        <v>172.37574906747716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>
        <f>EXP(-LN(2)/35)*HG155+(1-EXP(-LN(2)/35))/(LN(2)/35)*HC156*HD156*VLOOKUP('Données projet'!$B$18,Paramètres!$A$1:$I$89,3,0)*0.475*44/12</f>
        <v>0.14598352314136509</v>
      </c>
      <c r="HH156" s="21">
        <f>EXP(-LN(2)/25)*HH155+(1-EXP(-LN(2)/25))/(LN(2)/25)*Calculateur!HC156*Calculateur!HE156*VLOOKUP('Données projet'!$B$18,Paramètres!$A$1:$I$89,3,0)*0.475*44/12</f>
        <v>0.67903402186391737</v>
      </c>
      <c r="HI156" s="21">
        <f>EXP(-LN(2)/2)*HI155+(1-EXP(-LN(2)/2))/(LN(2)/2)*HC156*HF156*VLOOKUP('Données projet'!$B$18,Paramètres!$A$1:$I$89,3,0)*0.475*44/12</f>
        <v>3.6935877029297232E-18</v>
      </c>
      <c r="HJ156" s="22">
        <f t="shared" si="190"/>
        <v>0.82501754500528246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-2.2737367544323206E-13</v>
      </c>
      <c r="O157" s="13">
        <f>N157*VLOOKUP('Données projet'!$B$9,Paramètres!$A$1:$I$89,3,0)*VLOOKUP('Données projet'!$B$9,Paramètres!$A$1:$I$89,5,0)</f>
        <v>-1.2710188457276673E-13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255.5374979188561</v>
      </c>
      <c r="T157" s="59">
        <f t="shared" si="142"/>
        <v>343.10418468620901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0.26512943721450116</v>
      </c>
      <c r="AA157" s="21">
        <f>EXP(-LN(2)/25)*AA156+(1-EXP(-LN(2)/25))/(LN(2)/25)*Calculateur!V157*Calculateur!X157*VLOOKUP('Données projet'!$B$9,Paramètres!$A$1:$I$89,3,0)*0.475*44/12</f>
        <v>0.51278009652632195</v>
      </c>
      <c r="AB157" s="21">
        <f>EXP(-LN(2)/2)*AB156+(1-EXP(-LN(2)/2))/(LN(2)/2)*V157*Y157*VLOOKUP('Données projet'!$B$9,Paramètres!$A$1:$I$89,3,0)*0.475*44/12</f>
        <v>3.6703541236124101E-19</v>
      </c>
      <c r="AC157" s="22">
        <f t="shared" si="163"/>
        <v>0.77790953374082306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3.4106051316484809E-13</v>
      </c>
      <c r="AJ157" s="13">
        <f>AI157*VLOOKUP('Données projet'!$B$10,Paramètres!$A$1:$I$89,3,0)*VLOOKUP('Données projet'!$B$10,Paramètres!$A$1:$I$89,5,0)</f>
        <v>1.5961632016114892E-13</v>
      </c>
      <c r="AK157" s="13">
        <f t="shared" si="164"/>
        <v>2.2708641912150958E-12</v>
      </c>
      <c r="AL157" s="20">
        <f t="shared" si="165"/>
        <v>4.2330868906469593E-12</v>
      </c>
      <c r="AM157" s="59">
        <f t="shared" si="113"/>
        <v>293.33333333333752</v>
      </c>
      <c r="AN157" s="59">
        <f ca="1">AVERAGE(OFFSET($AM$3,0,0,'Données projet'!$E$10+1,1))-AVERAGE(OFFSET($H$3,0,0,'Données projet'!$E$10+1,1))</f>
        <v>158.58786357608489</v>
      </c>
      <c r="AO157" s="59">
        <f t="shared" si="144"/>
        <v>163.20074068819849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0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-1.7053025658242404E-13</v>
      </c>
      <c r="BE157" s="13">
        <f>BD157*VLOOKUP('Données projet'!$B$11,Paramètres!$A$1:$I$89,3,0)*VLOOKUP('Données projet'!$B$11,Paramètres!$A$1:$I$89,5,0)</f>
        <v>-1.0197709343628959E-13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243.85350804244348</v>
      </c>
      <c r="BJ157" s="59">
        <f t="shared" si="146"/>
        <v>304.60992308960545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0.38832250097384219</v>
      </c>
      <c r="BQ157" s="21">
        <f>EXP(-LN(2)/25)*BQ156+(1-EXP(-LN(2)/25))/(LN(2)/25)*Calculateur!BL157*Calculateur!BN157*VLOOKUP('Données projet'!$B$11,Paramètres!$A$1:$I$89,3,0)*0.475*44/12</f>
        <v>0.56960400000501277</v>
      </c>
      <c r="BR157" s="21">
        <f>EXP(-LN(2)/2)*BR156+(1-EXP(-LN(2)/2))/(LN(2)/2)*BL157*BO157*VLOOKUP('Données projet'!$B$11,Paramètres!$A$1:$I$89,3,0)*0.475*44/12</f>
        <v>8.1059866442218401E-19</v>
      </c>
      <c r="BS157" s="22">
        <f t="shared" si="169"/>
        <v>0.9579265009788549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497</v>
      </c>
      <c r="BZ157" s="13">
        <f>BY157*VLOOKUP('Données projet'!$B$12,Paramètres!$A$1:$I$89,3,0)*VLOOKUP('Données projet'!$B$12,Paramètres!$A$1:$I$89,5,0)</f>
        <v>297.20600000000002</v>
      </c>
      <c r="CA157" s="13">
        <f t="shared" si="170"/>
        <v>70.590415164571112</v>
      </c>
      <c r="CB157" s="20">
        <f t="shared" si="171"/>
        <v>640.57875641162809</v>
      </c>
      <c r="CC157" s="59">
        <f t="shared" si="119"/>
        <v>933.91208974496135</v>
      </c>
      <c r="CD157" s="59">
        <f ca="1">AVERAGE(OFFSET($CC$3,0,0,'Données projet'!$E$12+1,1))-AVERAGE(OFFSET($H$3,0,0,'Données projet'!$E$12+1,1))</f>
        <v>270.30888762640245</v>
      </c>
      <c r="CE157" s="59">
        <f t="shared" si="148"/>
        <v>202.23783851977691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0.18377525508435241</v>
      </c>
      <c r="CL157" s="21">
        <f>EXP(-LN(2)/25)*CL156+(1-EXP(-LN(2)/25))/(LN(2)/25)*Calculateur!CG157*Calculateur!CI157*VLOOKUP('Données projet'!$B$12,Paramètres!$A$1:$I$89,3,0)*0.475*44/12</f>
        <v>0.39502729760923055</v>
      </c>
      <c r="CM157" s="21">
        <f>EXP(-LN(2)/2)*CM156+(1-EXP(-LN(2)/2))/(LN(2)/2)*CG157*CJ157*VLOOKUP('Données projet'!$B$12,Paramètres!$A$1:$I$89,3,0)*0.475*44/12</f>
        <v>4.0099452808733654E-18</v>
      </c>
      <c r="CN157" s="22">
        <f t="shared" si="172"/>
        <v>0.57880255269358294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-5.1159076974727213E-13</v>
      </c>
      <c r="CU157" s="17">
        <f>CT157*VLOOKUP('Données projet'!$B$13,Paramètres!$A$1:$I$89,3,0)*VLOOKUP('Données projet'!$B$13,Paramètres!$A$1:$I$89,5,0)</f>
        <v>-4.0702161641092972E-13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260.20517190557814</v>
      </c>
      <c r="CZ157" s="59">
        <f t="shared" si="150"/>
        <v>307.22009971147133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0.27996872797512357</v>
      </c>
      <c r="DG157" s="21">
        <f>EXP(-LN(2)/25)*DG156+(1-EXP(-LN(2)/25))/(LN(2)/25)*Calculateur!DB157*Calculateur!DD157*VLOOKUP('Données projet'!$B$13,Paramètres!$A$1:$I$89,3,0)*0.475*44/12</f>
        <v>0.65926522746416538</v>
      </c>
      <c r="DH157" s="21">
        <f>EXP(-LN(2)/2)*DH156+(1-EXP(-LN(2)/2))/(LN(2)/2)*DB157*DE157*VLOOKUP('Données projet'!$B$13,Paramètres!$A$1:$I$89,3,0)*0.475*44/12</f>
        <v>5.2126346322585809E-18</v>
      </c>
      <c r="DI157" s="22">
        <f t="shared" si="175"/>
        <v>0.939233955439289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4.5474735088646412E-13</v>
      </c>
      <c r="DP157" s="17">
        <f>DO157*VLOOKUP('Données projet'!$B$14,Paramètres!$A$1:$I$89,3,0)*VLOOKUP('Données projet'!$B$14,Paramètres!$A$1:$I$89,5,0)</f>
        <v>4.6111381379887462E-13</v>
      </c>
      <c r="DQ157" s="13">
        <f t="shared" si="176"/>
        <v>5.7981965206434308E-12</v>
      </c>
      <c r="DR157" s="20">
        <f t="shared" si="177"/>
        <v>1.0901632165820347E-11</v>
      </c>
      <c r="DS157" s="59">
        <f t="shared" si="125"/>
        <v>293.33333333334423</v>
      </c>
      <c r="DT157" s="59">
        <f ca="1">AVERAGE(OFFSET($DS$3,0,0,'Données projet'!$E$14+1,1))-AVERAGE(OFFSET($H$3,0,0,'Données projet'!$E$14+1,1))</f>
        <v>263.15518481854753</v>
      </c>
      <c r="DU157" s="59">
        <f t="shared" si="152"/>
        <v>210.80755370263819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0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-5.1159076974727213E-13</v>
      </c>
      <c r="EK157" s="17">
        <f>EJ157*VLOOKUP('Données projet'!$B$15,Paramètres!$A$1:$I$89,3,0)*VLOOKUP('Données projet'!$B$15,Paramètres!$A$1:$I$89,5,0)</f>
        <v>-3.4317508834647017E-13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207.93042467236967</v>
      </c>
      <c r="EP157" s="59">
        <f t="shared" si="154"/>
        <v>250.70954318710835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0.2360520647633392</v>
      </c>
      <c r="EW157" s="21">
        <f>EXP(-LN(2)/25)*EW156+(1-EXP(-LN(2)/25))/(LN(2)/25)*Calculateur!ER157*Calculateur!ET157*VLOOKUP('Données projet'!$B$15,Paramètres!$A$1:$I$89,3,0)*0.475*44/12</f>
        <v>0.55585107413645396</v>
      </c>
      <c r="EX157" s="21">
        <f>EXP(-LN(2)/2)*EX156+(1-EXP(-LN(2)/2))/(LN(2)/2)*ER157*EU157*VLOOKUP('Données projet'!$B$15,Paramètres!$A$1:$I$89,3,0)*0.475*44/12</f>
        <v>4.3949664546493914E-18</v>
      </c>
      <c r="EY157" s="22">
        <f t="shared" si="181"/>
        <v>0.79190313889979314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4.5474735088646412E-13</v>
      </c>
      <c r="FF157" s="17">
        <f>FE157*VLOOKUP('Données projet'!$B$16,Paramètres!$A$1:$I$89,3,0)*VLOOKUP('Données projet'!$B$16,Paramètres!$A$1:$I$89,5,0)</f>
        <v>4.8949004849418999E-13</v>
      </c>
      <c r="FG157" s="13">
        <f t="shared" si="182"/>
        <v>6.1123715499968684E-12</v>
      </c>
      <c r="FH157" s="20">
        <f t="shared" si="183"/>
        <v>1.1498242284038591E-11</v>
      </c>
      <c r="FI157" s="59">
        <f t="shared" si="131"/>
        <v>293.3333333333448</v>
      </c>
      <c r="FJ157" s="59">
        <f ca="1">AVERAGE(OFFSET($FI$3,0,0,'Données projet'!$E$16+1,1))-AVERAGE(OFFSET($H$3,0,0,'Données projet'!$E$16+1,1))</f>
        <v>286.77702855541287</v>
      </c>
      <c r="FK157" s="59">
        <f t="shared" si="156"/>
        <v>227.12211541860779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0</v>
      </c>
      <c r="FR157" s="21">
        <f>EXP(-LN(2)/25)*FR156+(1-EXP(-LN(2)/25))/(LN(2)/25)*Calculateur!FM157*Calculateur!FO157*VLOOKUP('Données projet'!$B$16,Paramètres!$A$1:$I$89,3,0)*0.475*44/12</f>
        <v>0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0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5.6843418860808015E-13</v>
      </c>
      <c r="GA157" s="17">
        <f>FZ157*VLOOKUP('Données projet'!$B$17,Paramètres!$A$1:$I$89,3,0)*VLOOKUP('Données projet'!$B$17,Paramètres!$A$1:$I$89,5,0)</f>
        <v>2.6602720026858149E-13</v>
      </c>
      <c r="GB157" s="13">
        <f t="shared" si="185"/>
        <v>3.5662905043956649E-12</v>
      </c>
      <c r="GC157" s="20">
        <f t="shared" si="186"/>
        <v>6.6746200022902298E-12</v>
      </c>
      <c r="GD157" s="59">
        <f t="shared" si="134"/>
        <v>293.33333333333997</v>
      </c>
      <c r="GE157" s="59">
        <f ca="1">AVERAGE(OFFSET($GD$3,0,0,'Données projet'!$E$17+1,1))-AVERAGE(OFFSET($H$3,0,0,'Données projet'!$E$17+1,1))</f>
        <v>123.2823358462245</v>
      </c>
      <c r="GF157" s="59">
        <f t="shared" si="158"/>
        <v>92.75115399786057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0</v>
      </c>
      <c r="GM157" s="21">
        <f>EXP(-LN(2)/25)*GM156+(1-EXP(-LN(2)/25))/(LN(2)/25)*Calculateur!GH157*Calculateur!GJ157*VLOOKUP('Données projet'!$B$17,Paramètres!$A$1:$I$89,3,0)*0.475*44/12</f>
        <v>0</v>
      </c>
      <c r="GN157" s="21">
        <f>EXP(-LN(2)/2)*GN156+(1-EXP(-LN(2)/2))/(LN(2)/2)*GH157*GK157*VLOOKUP('Données projet'!$B$17,Paramètres!$A$1:$I$89,3,0)*0.475*44/12</f>
        <v>0</v>
      </c>
      <c r="GO157" s="21">
        <f t="shared" si="187"/>
        <v>0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-2.8421709430404007E-13</v>
      </c>
      <c r="GV157" s="17">
        <f>GU157*VLOOKUP('Données projet'!$B$18,Paramètres!$A$1:$I$89,3,0)*VLOOKUP('Données projet'!$B$18,Paramètres!$A$1:$I$89,5,0)</f>
        <v>-1.69961822393816E-13</v>
      </c>
      <c r="GW157" s="13" t="e">
        <f t="shared" si="188"/>
        <v>#NUM!</v>
      </c>
      <c r="GX157" s="20" t="e">
        <f t="shared" si="189"/>
        <v>#NUM!</v>
      </c>
      <c r="GY157" s="59" t="e">
        <f t="shared" si="137"/>
        <v>#NUM!</v>
      </c>
      <c r="GZ157" s="59">
        <f ca="1">AVERAGE(OFFSET($GY$3,0,0,'Données projet'!$E$18+1,1))-AVERAGE(OFFSET($H$3,0,0,'Données projet'!$E$18+1,1))</f>
        <v>171.96009656745713</v>
      </c>
      <c r="HA157" s="59">
        <f t="shared" si="160"/>
        <v>172.37574906747716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>
        <f>EXP(-LN(2)/35)*HG156+(1-EXP(-LN(2)/35))/(LN(2)/35)*HC157*HD157*VLOOKUP('Données projet'!$B$18,Paramètres!$A$1:$I$89,3,0)*0.475*44/12</f>
        <v>0.14312087529371995</v>
      </c>
      <c r="HH157" s="21">
        <f>EXP(-LN(2)/25)*HH156+(1-EXP(-LN(2)/25))/(LN(2)/25)*Calculateur!HC157*Calculateur!HE157*VLOOKUP('Données projet'!$B$18,Paramètres!$A$1:$I$89,3,0)*0.475*44/12</f>
        <v>0.6604658008272013</v>
      </c>
      <c r="HI157" s="21">
        <f>EXP(-LN(2)/2)*HI156+(1-EXP(-LN(2)/2))/(LN(2)/2)*HC157*HF157*VLOOKUP('Données projet'!$B$18,Paramètres!$A$1:$I$89,3,0)*0.475*44/12</f>
        <v>2.6117609116488505E-18</v>
      </c>
      <c r="HJ157" s="22">
        <f t="shared" si="190"/>
        <v>0.80358667612092127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-2.2737367544323206E-13</v>
      </c>
      <c r="O158" s="13">
        <f>N158*VLOOKUP('Données projet'!$B$9,Paramètres!$A$1:$I$89,3,0)*VLOOKUP('Données projet'!$B$9,Paramètres!$A$1:$I$89,5,0)</f>
        <v>-1.2710188457276673E-13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255.5374979188561</v>
      </c>
      <c r="T158" s="59">
        <f t="shared" si="142"/>
        <v>343.10418468620901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0.25993041066371364</v>
      </c>
      <c r="AA158" s="21">
        <f>EXP(-LN(2)/25)*AA157+(1-EXP(-LN(2)/25))/(LN(2)/25)*Calculateur!V158*Calculateur!X158*VLOOKUP('Données projet'!$B$9,Paramètres!$A$1:$I$89,3,0)*0.475*44/12</f>
        <v>0.49875809782087638</v>
      </c>
      <c r="AB158" s="21">
        <f>EXP(-LN(2)/2)*AB157+(1-EXP(-LN(2)/2))/(LN(2)/2)*V158*Y158*VLOOKUP('Données projet'!$B$9,Paramètres!$A$1:$I$89,3,0)*0.475*44/12</f>
        <v>2.5953322901623428E-19</v>
      </c>
      <c r="AC158" s="22">
        <f t="shared" si="163"/>
        <v>0.75868850848459002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3.4106051316484809E-13</v>
      </c>
      <c r="AJ158" s="13">
        <f>AI158*VLOOKUP('Données projet'!$B$10,Paramètres!$A$1:$I$89,3,0)*VLOOKUP('Données projet'!$B$10,Paramètres!$A$1:$I$89,5,0)</f>
        <v>1.5961632016114892E-13</v>
      </c>
      <c r="AK158" s="13">
        <f t="shared" si="164"/>
        <v>2.2708641912150958E-12</v>
      </c>
      <c r="AL158" s="20">
        <f t="shared" si="165"/>
        <v>4.2330868906469593E-12</v>
      </c>
      <c r="AM158" s="59">
        <f t="shared" si="113"/>
        <v>293.33333333333752</v>
      </c>
      <c r="AN158" s="59">
        <f ca="1">AVERAGE(OFFSET($AM$3,0,0,'Données projet'!$E$10+1,1))-AVERAGE(OFFSET($H$3,0,0,'Données projet'!$E$10+1,1))</f>
        <v>158.58786357608489</v>
      </c>
      <c r="AO158" s="59">
        <f t="shared" si="144"/>
        <v>163.20074068819849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0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-1.7053025658242404E-13</v>
      </c>
      <c r="BE158" s="13">
        <f>BD158*VLOOKUP('Données projet'!$B$11,Paramètres!$A$1:$I$89,3,0)*VLOOKUP('Données projet'!$B$11,Paramètres!$A$1:$I$89,5,0)</f>
        <v>-1.0197709343628959E-13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243.85350804244348</v>
      </c>
      <c r="BJ158" s="59">
        <f t="shared" si="146"/>
        <v>304.60992308960545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0.38070773358308341</v>
      </c>
      <c r="BQ158" s="21">
        <f>EXP(-LN(2)/25)*BQ157+(1-EXP(-LN(2)/25))/(LN(2)/25)*Calculateur!BL158*Calculateur!BN158*VLOOKUP('Données projet'!$B$11,Paramètres!$A$1:$I$89,3,0)*0.475*44/12</f>
        <v>0.55402814867070316</v>
      </c>
      <c r="BR158" s="21">
        <f>EXP(-LN(2)/2)*BR157+(1-EXP(-LN(2)/2))/(LN(2)/2)*BL158*BO158*VLOOKUP('Données projet'!$B$11,Paramètres!$A$1:$I$89,3,0)*0.475*44/12</f>
        <v>5.7317981243368493E-19</v>
      </c>
      <c r="BS158" s="22">
        <f t="shared" si="169"/>
        <v>0.93473588225378657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497</v>
      </c>
      <c r="BZ158" s="13">
        <f>BY158*VLOOKUP('Données projet'!$B$12,Paramètres!$A$1:$I$89,3,0)*VLOOKUP('Données projet'!$B$12,Paramètres!$A$1:$I$89,5,0)</f>
        <v>297.20600000000002</v>
      </c>
      <c r="CA158" s="13">
        <f t="shared" si="170"/>
        <v>70.590415164571112</v>
      </c>
      <c r="CB158" s="20">
        <f t="shared" si="171"/>
        <v>640.57875641162809</v>
      </c>
      <c r="CC158" s="59">
        <f t="shared" si="119"/>
        <v>933.91208974496135</v>
      </c>
      <c r="CD158" s="59">
        <f ca="1">AVERAGE(OFFSET($CC$3,0,0,'Données projet'!$E$12+1,1))-AVERAGE(OFFSET($H$3,0,0,'Données projet'!$E$12+1,1))</f>
        <v>270.30888762640245</v>
      </c>
      <c r="CE158" s="59">
        <f t="shared" si="148"/>
        <v>202.23783851977691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0.1801715344239857</v>
      </c>
      <c r="CL158" s="21">
        <f>EXP(-LN(2)/25)*CL157+(1-EXP(-LN(2)/25))/(LN(2)/25)*Calculateur!CG158*Calculateur!CI158*VLOOKUP('Données projet'!$B$12,Paramètres!$A$1:$I$89,3,0)*0.475*44/12</f>
        <v>0.38422525538252339</v>
      </c>
      <c r="CM158" s="21">
        <f>EXP(-LN(2)/2)*CM157+(1-EXP(-LN(2)/2))/(LN(2)/2)*CG158*CJ158*VLOOKUP('Données projet'!$B$12,Paramètres!$A$1:$I$89,3,0)*0.475*44/12</f>
        <v>2.8354595002925516E-18</v>
      </c>
      <c r="CN158" s="22">
        <f t="shared" si="172"/>
        <v>0.56439678980650909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-5.1159076974727213E-13</v>
      </c>
      <c r="CU158" s="17">
        <f>CT158*VLOOKUP('Données projet'!$B$13,Paramètres!$A$1:$I$89,3,0)*VLOOKUP('Données projet'!$B$13,Paramètres!$A$1:$I$89,5,0)</f>
        <v>-4.0702161641092972E-13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260.20517190557814</v>
      </c>
      <c r="CZ158" s="59">
        <f t="shared" si="150"/>
        <v>307.22009971147133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0.27447871198359391</v>
      </c>
      <c r="DG158" s="21">
        <f>EXP(-LN(2)/25)*DG157+(1-EXP(-LN(2)/25))/(LN(2)/25)*Calculateur!DB158*Calculateur!DD158*VLOOKUP('Données projet'!$B$13,Paramètres!$A$1:$I$89,3,0)*0.475*44/12</f>
        <v>0.64123758514990625</v>
      </c>
      <c r="DH158" s="21">
        <f>EXP(-LN(2)/2)*DH157+(1-EXP(-LN(2)/2))/(LN(2)/2)*DB158*DE158*VLOOKUP('Données projet'!$B$13,Paramètres!$A$1:$I$89,3,0)*0.475*44/12</f>
        <v>3.6858892963178879E-18</v>
      </c>
      <c r="DI158" s="22">
        <f t="shared" si="175"/>
        <v>0.91571629713350022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4.5474735088646412E-13</v>
      </c>
      <c r="DP158" s="17">
        <f>DO158*VLOOKUP('Données projet'!$B$14,Paramètres!$A$1:$I$89,3,0)*VLOOKUP('Données projet'!$B$14,Paramètres!$A$1:$I$89,5,0)</f>
        <v>4.6111381379887462E-13</v>
      </c>
      <c r="DQ158" s="13">
        <f t="shared" si="176"/>
        <v>5.7981965206434308E-12</v>
      </c>
      <c r="DR158" s="20">
        <f t="shared" si="177"/>
        <v>1.0901632165820347E-11</v>
      </c>
      <c r="DS158" s="59">
        <f t="shared" si="125"/>
        <v>293.33333333334423</v>
      </c>
      <c r="DT158" s="59">
        <f ca="1">AVERAGE(OFFSET($DS$3,0,0,'Données projet'!$E$14+1,1))-AVERAGE(OFFSET($H$3,0,0,'Données projet'!$E$14+1,1))</f>
        <v>263.15518481854753</v>
      </c>
      <c r="DU158" s="59">
        <f t="shared" si="152"/>
        <v>210.80755370263819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0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-5.1159076974727213E-13</v>
      </c>
      <c r="EK158" s="17">
        <f>EJ158*VLOOKUP('Données projet'!$B$15,Paramètres!$A$1:$I$89,3,0)*VLOOKUP('Données projet'!$B$15,Paramètres!$A$1:$I$89,5,0)</f>
        <v>-3.4317508834647017E-13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207.93042467236967</v>
      </c>
      <c r="EP158" s="59">
        <f t="shared" si="154"/>
        <v>250.70954318710835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0.23142322775087301</v>
      </c>
      <c r="EW158" s="21">
        <f>EXP(-LN(2)/25)*EW157+(1-EXP(-LN(2)/25))/(LN(2)/25)*Calculateur!ER158*Calculateur!ET158*VLOOKUP('Données projet'!$B$15,Paramètres!$A$1:$I$89,3,0)*0.475*44/12</f>
        <v>0.54065129728325501</v>
      </c>
      <c r="EX158" s="21">
        <f>EXP(-LN(2)/2)*EX157+(1-EXP(-LN(2)/2))/(LN(2)/2)*ER158*EU158*VLOOKUP('Données projet'!$B$15,Paramètres!$A$1:$I$89,3,0)*0.475*44/12</f>
        <v>3.1077105831699838E-18</v>
      </c>
      <c r="EY158" s="22">
        <f t="shared" si="181"/>
        <v>0.77207452503412799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4.5474735088646412E-13</v>
      </c>
      <c r="FF158" s="17">
        <f>FE158*VLOOKUP('Données projet'!$B$16,Paramètres!$A$1:$I$89,3,0)*VLOOKUP('Données projet'!$B$16,Paramètres!$A$1:$I$89,5,0)</f>
        <v>4.8949004849418999E-13</v>
      </c>
      <c r="FG158" s="13">
        <f t="shared" si="182"/>
        <v>6.1123715499968684E-12</v>
      </c>
      <c r="FH158" s="20">
        <f t="shared" si="183"/>
        <v>1.1498242284038591E-11</v>
      </c>
      <c r="FI158" s="59">
        <f t="shared" si="131"/>
        <v>293.3333333333448</v>
      </c>
      <c r="FJ158" s="59">
        <f ca="1">AVERAGE(OFFSET($FI$3,0,0,'Données projet'!$E$16+1,1))-AVERAGE(OFFSET($H$3,0,0,'Données projet'!$E$16+1,1))</f>
        <v>286.77702855541287</v>
      </c>
      <c r="FK158" s="59">
        <f t="shared" si="156"/>
        <v>227.12211541860779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0</v>
      </c>
      <c r="FR158" s="21">
        <f>EXP(-LN(2)/25)*FR157+(1-EXP(-LN(2)/25))/(LN(2)/25)*Calculateur!FM158*Calculateur!FO158*VLOOKUP('Données projet'!$B$16,Paramètres!$A$1:$I$89,3,0)*0.475*44/12</f>
        <v>0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0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5.6843418860808015E-13</v>
      </c>
      <c r="GA158" s="17">
        <f>FZ158*VLOOKUP('Données projet'!$B$17,Paramètres!$A$1:$I$89,3,0)*VLOOKUP('Données projet'!$B$17,Paramètres!$A$1:$I$89,5,0)</f>
        <v>2.6602720026858149E-13</v>
      </c>
      <c r="GB158" s="13">
        <f t="shared" si="185"/>
        <v>3.5662905043956649E-12</v>
      </c>
      <c r="GC158" s="20">
        <f t="shared" si="186"/>
        <v>6.6746200022902298E-12</v>
      </c>
      <c r="GD158" s="59">
        <f t="shared" si="134"/>
        <v>293.33333333333997</v>
      </c>
      <c r="GE158" s="59">
        <f ca="1">AVERAGE(OFFSET($GD$3,0,0,'Données projet'!$E$17+1,1))-AVERAGE(OFFSET($H$3,0,0,'Données projet'!$E$17+1,1))</f>
        <v>123.2823358462245</v>
      </c>
      <c r="GF158" s="59">
        <f t="shared" si="158"/>
        <v>92.75115399786057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0</v>
      </c>
      <c r="GM158" s="21">
        <f>EXP(-LN(2)/25)*GM157+(1-EXP(-LN(2)/25))/(LN(2)/25)*Calculateur!GH158*Calculateur!GJ158*VLOOKUP('Données projet'!$B$17,Paramètres!$A$1:$I$89,3,0)*0.475*44/12</f>
        <v>0</v>
      </c>
      <c r="GN158" s="21">
        <f>EXP(-LN(2)/2)*GN157+(1-EXP(-LN(2)/2))/(LN(2)/2)*GH158*GK158*VLOOKUP('Données projet'!$B$17,Paramètres!$A$1:$I$89,3,0)*0.475*44/12</f>
        <v>0</v>
      </c>
      <c r="GO158" s="21">
        <f t="shared" si="187"/>
        <v>0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-2.8421709430404007E-13</v>
      </c>
      <c r="GV158" s="17">
        <f>GU158*VLOOKUP('Données projet'!$B$18,Paramètres!$A$1:$I$89,3,0)*VLOOKUP('Données projet'!$B$18,Paramètres!$A$1:$I$89,5,0)</f>
        <v>-1.69961822393816E-13</v>
      </c>
      <c r="GW158" s="13" t="e">
        <f t="shared" si="188"/>
        <v>#NUM!</v>
      </c>
      <c r="GX158" s="20" t="e">
        <f t="shared" si="189"/>
        <v>#NUM!</v>
      </c>
      <c r="GY158" s="59" t="e">
        <f t="shared" si="137"/>
        <v>#NUM!</v>
      </c>
      <c r="GZ158" s="59">
        <f ca="1">AVERAGE(OFFSET($GY$3,0,0,'Données projet'!$E$18+1,1))-AVERAGE(OFFSET($H$3,0,0,'Données projet'!$E$18+1,1))</f>
        <v>171.96009656745713</v>
      </c>
      <c r="HA158" s="59">
        <f t="shared" si="160"/>
        <v>172.37574906747716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>
        <f>EXP(-LN(2)/35)*HG157+(1-EXP(-LN(2)/35))/(LN(2)/35)*HC158*HD158*VLOOKUP('Données projet'!$B$18,Paramètres!$A$1:$I$89,3,0)*0.475*44/12</f>
        <v>0.14031436222432436</v>
      </c>
      <c r="HH158" s="21">
        <f>EXP(-LN(2)/25)*HH157+(1-EXP(-LN(2)/25))/(LN(2)/25)*Calculateur!HC158*Calculateur!HE158*VLOOKUP('Données projet'!$B$18,Paramètres!$A$1:$I$89,3,0)*0.475*44/12</f>
        <v>0.64240532877119449</v>
      </c>
      <c r="HI158" s="21">
        <f>EXP(-LN(2)/2)*HI157+(1-EXP(-LN(2)/2))/(LN(2)/2)*HC158*HF158*VLOOKUP('Données projet'!$B$18,Paramètres!$A$1:$I$89,3,0)*0.475*44/12</f>
        <v>1.8467938514648616E-18</v>
      </c>
      <c r="HJ158" s="22">
        <f t="shared" si="190"/>
        <v>0.78271969099551886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-2.2737367544323206E-13</v>
      </c>
      <c r="O159" s="13">
        <f>N159*VLOOKUP('Données projet'!$B$9,Paramètres!$A$1:$I$89,3,0)*VLOOKUP('Données projet'!$B$9,Paramètres!$A$1:$I$89,5,0)</f>
        <v>-1.2710188457276673E-13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255.5374979188561</v>
      </c>
      <c r="T159" s="59">
        <f t="shared" si="142"/>
        <v>343.10418468620901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0.25483333385249402</v>
      </c>
      <c r="AA159" s="21">
        <f>EXP(-LN(2)/25)*AA158+(1-EXP(-LN(2)/25))/(LN(2)/25)*Calculateur!V159*Calculateur!X159*VLOOKUP('Données projet'!$B$9,Paramètres!$A$1:$I$89,3,0)*0.475*44/12</f>
        <v>0.48511953140741609</v>
      </c>
      <c r="AB159" s="21">
        <f>EXP(-LN(2)/2)*AB158+(1-EXP(-LN(2)/2))/(LN(2)/2)*V159*Y159*VLOOKUP('Données projet'!$B$9,Paramètres!$A$1:$I$89,3,0)*0.475*44/12</f>
        <v>1.8351770618062051E-19</v>
      </c>
      <c r="AC159" s="22">
        <f t="shared" si="163"/>
        <v>0.73995286525991011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3.4106051316484809E-13</v>
      </c>
      <c r="AJ159" s="13">
        <f>AI159*VLOOKUP('Données projet'!$B$10,Paramètres!$A$1:$I$89,3,0)*VLOOKUP('Données projet'!$B$10,Paramètres!$A$1:$I$89,5,0)</f>
        <v>1.5961632016114892E-13</v>
      </c>
      <c r="AK159" s="13">
        <f t="shared" si="164"/>
        <v>2.2708641912150958E-12</v>
      </c>
      <c r="AL159" s="20">
        <f t="shared" si="165"/>
        <v>4.2330868906469593E-12</v>
      </c>
      <c r="AM159" s="59">
        <f t="shared" si="113"/>
        <v>293.33333333333752</v>
      </c>
      <c r="AN159" s="59">
        <f ca="1">AVERAGE(OFFSET($AM$3,0,0,'Données projet'!$E$10+1,1))-AVERAGE(OFFSET($H$3,0,0,'Données projet'!$E$10+1,1))</f>
        <v>158.58786357608489</v>
      </c>
      <c r="AO159" s="59">
        <f t="shared" si="144"/>
        <v>163.20074068819849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0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-1.7053025658242404E-13</v>
      </c>
      <c r="BE159" s="13">
        <f>BD159*VLOOKUP('Données projet'!$B$11,Paramètres!$A$1:$I$89,3,0)*VLOOKUP('Données projet'!$B$11,Paramètres!$A$1:$I$89,5,0)</f>
        <v>-1.0197709343628959E-13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243.85350804244348</v>
      </c>
      <c r="BJ159" s="59">
        <f t="shared" si="146"/>
        <v>304.60992308960545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0.37324228713630792</v>
      </c>
      <c r="BQ159" s="21">
        <f>EXP(-LN(2)/25)*BQ158+(1-EXP(-LN(2)/25))/(LN(2)/25)*Calculateur!BL159*Calculateur!BN159*VLOOKUP('Données projet'!$B$11,Paramètres!$A$1:$I$89,3,0)*0.475*44/12</f>
        <v>0.53887821981022865</v>
      </c>
      <c r="BR159" s="21">
        <f>EXP(-LN(2)/2)*BR158+(1-EXP(-LN(2)/2))/(LN(2)/2)*BL159*BO159*VLOOKUP('Données projet'!$B$11,Paramètres!$A$1:$I$89,3,0)*0.475*44/12</f>
        <v>4.0529933221109201E-19</v>
      </c>
      <c r="BS159" s="22">
        <f t="shared" si="169"/>
        <v>0.91212050694653657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497</v>
      </c>
      <c r="BZ159" s="13">
        <f>BY159*VLOOKUP('Données projet'!$B$12,Paramètres!$A$1:$I$89,3,0)*VLOOKUP('Données projet'!$B$12,Paramètres!$A$1:$I$89,5,0)</f>
        <v>297.20600000000002</v>
      </c>
      <c r="CA159" s="13">
        <f t="shared" si="170"/>
        <v>70.590415164571112</v>
      </c>
      <c r="CB159" s="20">
        <f t="shared" si="171"/>
        <v>640.57875641162809</v>
      </c>
      <c r="CC159" s="59">
        <f t="shared" si="119"/>
        <v>933.91208974496135</v>
      </c>
      <c r="CD159" s="59">
        <f ca="1">AVERAGE(OFFSET($CC$3,0,0,'Données projet'!$E$12+1,1))-AVERAGE(OFFSET($H$3,0,0,'Données projet'!$E$12+1,1))</f>
        <v>270.30888762640245</v>
      </c>
      <c r="CE159" s="59">
        <f t="shared" si="148"/>
        <v>202.23783851977691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0.17663848052771622</v>
      </c>
      <c r="CL159" s="21">
        <f>EXP(-LN(2)/25)*CL158+(1-EXP(-LN(2)/25))/(LN(2)/25)*Calculateur!CG159*Calculateur!CI159*VLOOKUP('Données projet'!$B$12,Paramètres!$A$1:$I$89,3,0)*0.475*44/12</f>
        <v>0.37371859556856024</v>
      </c>
      <c r="CM159" s="21">
        <f>EXP(-LN(2)/2)*CM158+(1-EXP(-LN(2)/2))/(LN(2)/2)*CG159*CJ159*VLOOKUP('Données projet'!$B$12,Paramètres!$A$1:$I$89,3,0)*0.475*44/12</f>
        <v>2.0049726404366827E-18</v>
      </c>
      <c r="CN159" s="22">
        <f t="shared" si="172"/>
        <v>0.55035707609627649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-5.1159076974727213E-13</v>
      </c>
      <c r="CU159" s="17">
        <f>CT159*VLOOKUP('Données projet'!$B$13,Paramètres!$A$1:$I$89,3,0)*VLOOKUP('Données projet'!$B$13,Paramètres!$A$1:$I$89,5,0)</f>
        <v>-4.0702161641092972E-13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260.20517190557814</v>
      </c>
      <c r="CZ159" s="59">
        <f t="shared" si="150"/>
        <v>307.22009971147133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0.26909635185707903</v>
      </c>
      <c r="DG159" s="21">
        <f>EXP(-LN(2)/25)*DG158+(1-EXP(-LN(2)/25))/(LN(2)/25)*Calculateur!DB159*Calculateur!DD159*VLOOKUP('Données projet'!$B$13,Paramètres!$A$1:$I$89,3,0)*0.475*44/12</f>
        <v>0.62370290966276298</v>
      </c>
      <c r="DH159" s="21">
        <f>EXP(-LN(2)/2)*DH158+(1-EXP(-LN(2)/2))/(LN(2)/2)*DB159*DE159*VLOOKUP('Données projet'!$B$13,Paramètres!$A$1:$I$89,3,0)*0.475*44/12</f>
        <v>2.6063173161292904E-18</v>
      </c>
      <c r="DI159" s="22">
        <f t="shared" si="175"/>
        <v>0.89279926151984201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4.5474735088646412E-13</v>
      </c>
      <c r="DP159" s="17">
        <f>DO159*VLOOKUP('Données projet'!$B$14,Paramètres!$A$1:$I$89,3,0)*VLOOKUP('Données projet'!$B$14,Paramètres!$A$1:$I$89,5,0)</f>
        <v>4.6111381379887462E-13</v>
      </c>
      <c r="DQ159" s="13">
        <f t="shared" si="176"/>
        <v>5.7981965206434308E-12</v>
      </c>
      <c r="DR159" s="20">
        <f t="shared" si="177"/>
        <v>1.0901632165820347E-11</v>
      </c>
      <c r="DS159" s="59">
        <f t="shared" si="125"/>
        <v>293.33333333334423</v>
      </c>
      <c r="DT159" s="59">
        <f ca="1">AVERAGE(OFFSET($DS$3,0,0,'Données projet'!$E$14+1,1))-AVERAGE(OFFSET($H$3,0,0,'Données projet'!$E$14+1,1))</f>
        <v>263.15518481854753</v>
      </c>
      <c r="DU159" s="59">
        <f t="shared" si="152"/>
        <v>210.80755370263819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0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-5.1159076974727213E-13</v>
      </c>
      <c r="EK159" s="17">
        <f>EJ159*VLOOKUP('Données projet'!$B$15,Paramètres!$A$1:$I$89,3,0)*VLOOKUP('Données projet'!$B$15,Paramètres!$A$1:$I$89,5,0)</f>
        <v>-3.4317508834647017E-13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207.93042467236967</v>
      </c>
      <c r="EP159" s="59">
        <f t="shared" si="154"/>
        <v>250.70954318710835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0.22688515940890949</v>
      </c>
      <c r="EW159" s="21">
        <f>EXP(-LN(2)/25)*EW158+(1-EXP(-LN(2)/25))/(LN(2)/25)*Calculateur!ER159*Calculateur!ET159*VLOOKUP('Données projet'!$B$15,Paramètres!$A$1:$I$89,3,0)*0.475*44/12</f>
        <v>0.52586715912742832</v>
      </c>
      <c r="EX159" s="21">
        <f>EXP(-LN(2)/2)*EX158+(1-EXP(-LN(2)/2))/(LN(2)/2)*ER159*EU159*VLOOKUP('Données projet'!$B$15,Paramètres!$A$1:$I$89,3,0)*0.475*44/12</f>
        <v>2.1974832273246957E-18</v>
      </c>
      <c r="EY159" s="22">
        <f t="shared" si="181"/>
        <v>0.75275231853633784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4.5474735088646412E-13</v>
      </c>
      <c r="FF159" s="17">
        <f>FE159*VLOOKUP('Données projet'!$B$16,Paramètres!$A$1:$I$89,3,0)*VLOOKUP('Données projet'!$B$16,Paramètres!$A$1:$I$89,5,0)</f>
        <v>4.8949004849418999E-13</v>
      </c>
      <c r="FG159" s="13">
        <f t="shared" si="182"/>
        <v>6.1123715499968684E-12</v>
      </c>
      <c r="FH159" s="20">
        <f t="shared" si="183"/>
        <v>1.1498242284038591E-11</v>
      </c>
      <c r="FI159" s="59">
        <f t="shared" si="131"/>
        <v>293.3333333333448</v>
      </c>
      <c r="FJ159" s="59">
        <f ca="1">AVERAGE(OFFSET($FI$3,0,0,'Données projet'!$E$16+1,1))-AVERAGE(OFFSET($H$3,0,0,'Données projet'!$E$16+1,1))</f>
        <v>286.77702855541287</v>
      </c>
      <c r="FK159" s="59">
        <f t="shared" si="156"/>
        <v>227.12211541860779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0</v>
      </c>
      <c r="FR159" s="21">
        <f>EXP(-LN(2)/25)*FR158+(1-EXP(-LN(2)/25))/(LN(2)/25)*Calculateur!FM159*Calculateur!FO159*VLOOKUP('Données projet'!$B$16,Paramètres!$A$1:$I$89,3,0)*0.475*44/12</f>
        <v>0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0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5.6843418860808015E-13</v>
      </c>
      <c r="GA159" s="17">
        <f>FZ159*VLOOKUP('Données projet'!$B$17,Paramètres!$A$1:$I$89,3,0)*VLOOKUP('Données projet'!$B$17,Paramètres!$A$1:$I$89,5,0)</f>
        <v>2.6602720026858149E-13</v>
      </c>
      <c r="GB159" s="13">
        <f t="shared" si="185"/>
        <v>3.5662905043956649E-12</v>
      </c>
      <c r="GC159" s="20">
        <f t="shared" si="186"/>
        <v>6.6746200022902298E-12</v>
      </c>
      <c r="GD159" s="59">
        <f t="shared" si="134"/>
        <v>293.33333333333997</v>
      </c>
      <c r="GE159" s="59">
        <f ca="1">AVERAGE(OFFSET($GD$3,0,0,'Données projet'!$E$17+1,1))-AVERAGE(OFFSET($H$3,0,0,'Données projet'!$E$17+1,1))</f>
        <v>123.2823358462245</v>
      </c>
      <c r="GF159" s="59">
        <f t="shared" si="158"/>
        <v>92.75115399786057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0</v>
      </c>
      <c r="GM159" s="21">
        <f>EXP(-LN(2)/25)*GM158+(1-EXP(-LN(2)/25))/(LN(2)/25)*Calculateur!GH159*Calculateur!GJ159*VLOOKUP('Données projet'!$B$17,Paramètres!$A$1:$I$89,3,0)*0.475*44/12</f>
        <v>0</v>
      </c>
      <c r="GN159" s="21">
        <f>EXP(-LN(2)/2)*GN158+(1-EXP(-LN(2)/2))/(LN(2)/2)*GH159*GK159*VLOOKUP('Données projet'!$B$17,Paramètres!$A$1:$I$89,3,0)*0.475*44/12</f>
        <v>0</v>
      </c>
      <c r="GO159" s="21">
        <f t="shared" si="187"/>
        <v>0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-2.8421709430404007E-13</v>
      </c>
      <c r="GV159" s="17">
        <f>GU159*VLOOKUP('Données projet'!$B$18,Paramètres!$A$1:$I$89,3,0)*VLOOKUP('Données projet'!$B$18,Paramètres!$A$1:$I$89,5,0)</f>
        <v>-1.69961822393816E-13</v>
      </c>
      <c r="GW159" s="13" t="e">
        <f t="shared" si="188"/>
        <v>#NUM!</v>
      </c>
      <c r="GX159" s="20" t="e">
        <f t="shared" si="189"/>
        <v>#NUM!</v>
      </c>
      <c r="GY159" s="59" t="e">
        <f t="shared" si="137"/>
        <v>#NUM!</v>
      </c>
      <c r="GZ159" s="59">
        <f ca="1">AVERAGE(OFFSET($GY$3,0,0,'Données projet'!$E$18+1,1))-AVERAGE(OFFSET($H$3,0,0,'Données projet'!$E$18+1,1))</f>
        <v>171.96009656745713</v>
      </c>
      <c r="HA159" s="59">
        <f t="shared" si="160"/>
        <v>172.37574906747716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>
        <f>EXP(-LN(2)/35)*HG158+(1-EXP(-LN(2)/35))/(LN(2)/35)*HC159*HD159*VLOOKUP('Données projet'!$B$18,Paramètres!$A$1:$I$89,3,0)*0.475*44/12</f>
        <v>0.13756288316441567</v>
      </c>
      <c r="HH159" s="21">
        <f>EXP(-LN(2)/25)*HH158+(1-EXP(-LN(2)/25))/(LN(2)/25)*Calculateur!HC159*Calculateur!HE159*VLOOKUP('Données projet'!$B$18,Paramètres!$A$1:$I$89,3,0)*0.475*44/12</f>
        <v>0.62483872127331819</v>
      </c>
      <c r="HI159" s="21">
        <f>EXP(-LN(2)/2)*HI158+(1-EXP(-LN(2)/2))/(LN(2)/2)*HC159*HF159*VLOOKUP('Données projet'!$B$18,Paramètres!$A$1:$I$89,3,0)*0.475*44/12</f>
        <v>1.3058804558244253E-18</v>
      </c>
      <c r="HJ159" s="22">
        <f t="shared" si="190"/>
        <v>0.76240160443773386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-2.2737367544323206E-13</v>
      </c>
      <c r="O160" s="13">
        <f>N160*VLOOKUP('Données projet'!$B$9,Paramètres!$A$1:$I$89,3,0)*VLOOKUP('Données projet'!$B$9,Paramètres!$A$1:$I$89,5,0)</f>
        <v>-1.2710188457276673E-13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255.5374979188561</v>
      </c>
      <c r="T160" s="59">
        <f t="shared" si="142"/>
        <v>343.10418468620901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0.24983620760863254</v>
      </c>
      <c r="AA160" s="21">
        <f>EXP(-LN(2)/25)*AA159+(1-EXP(-LN(2)/25))/(LN(2)/25)*Calculateur!V160*Calculateur!X160*VLOOKUP('Données projet'!$B$9,Paramètres!$A$1:$I$89,3,0)*0.475*44/12</f>
        <v>0.47185391230975288</v>
      </c>
      <c r="AB160" s="21">
        <f>EXP(-LN(2)/2)*AB159+(1-EXP(-LN(2)/2))/(LN(2)/2)*V160*Y160*VLOOKUP('Données projet'!$B$9,Paramètres!$A$1:$I$89,3,0)*0.475*44/12</f>
        <v>1.2976661450811714E-19</v>
      </c>
      <c r="AC160" s="22">
        <f t="shared" si="163"/>
        <v>0.72169011991838539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3.4106051316484809E-13</v>
      </c>
      <c r="AJ160" s="13">
        <f>AI160*VLOOKUP('Données projet'!$B$10,Paramètres!$A$1:$I$89,3,0)*VLOOKUP('Données projet'!$B$10,Paramètres!$A$1:$I$89,5,0)</f>
        <v>1.5961632016114892E-13</v>
      </c>
      <c r="AK160" s="13">
        <f t="shared" si="164"/>
        <v>2.2708641912150958E-12</v>
      </c>
      <c r="AL160" s="20">
        <f t="shared" si="165"/>
        <v>4.2330868906469593E-12</v>
      </c>
      <c r="AM160" s="59">
        <f t="shared" si="113"/>
        <v>293.33333333333752</v>
      </c>
      <c r="AN160" s="59">
        <f ca="1">AVERAGE(OFFSET($AM$3,0,0,'Données projet'!$E$10+1,1))-AVERAGE(OFFSET($H$3,0,0,'Données projet'!$E$10+1,1))</f>
        <v>158.58786357608489</v>
      </c>
      <c r="AO160" s="59">
        <f t="shared" si="144"/>
        <v>163.20074068819849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0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-1.7053025658242404E-13</v>
      </c>
      <c r="BE160" s="13">
        <f>BD160*VLOOKUP('Données projet'!$B$11,Paramètres!$A$1:$I$89,3,0)*VLOOKUP('Données projet'!$B$11,Paramètres!$A$1:$I$89,5,0)</f>
        <v>-1.0197709343628959E-13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243.85350804244348</v>
      </c>
      <c r="BJ160" s="59">
        <f t="shared" si="146"/>
        <v>304.60992308960545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0.36592323354088097</v>
      </c>
      <c r="BQ160" s="21">
        <f>EXP(-LN(2)/25)*BQ159+(1-EXP(-LN(2)/25))/(LN(2)/25)*Calculateur!BL160*Calculateur!BN160*VLOOKUP('Données projet'!$B$11,Paramètres!$A$1:$I$89,3,0)*0.475*44/12</f>
        <v>0.524142566551144</v>
      </c>
      <c r="BR160" s="21">
        <f>EXP(-LN(2)/2)*BR159+(1-EXP(-LN(2)/2))/(LN(2)/2)*BL160*BO160*VLOOKUP('Données projet'!$B$11,Paramètres!$A$1:$I$89,3,0)*0.475*44/12</f>
        <v>2.8658990621684247E-19</v>
      </c>
      <c r="BS160" s="22">
        <f t="shared" si="169"/>
        <v>0.89006580009202496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497</v>
      </c>
      <c r="BZ160" s="13">
        <f>BY160*VLOOKUP('Données projet'!$B$12,Paramètres!$A$1:$I$89,3,0)*VLOOKUP('Données projet'!$B$12,Paramètres!$A$1:$I$89,5,0)</f>
        <v>297.20600000000002</v>
      </c>
      <c r="CA160" s="13">
        <f t="shared" si="170"/>
        <v>70.590415164571112</v>
      </c>
      <c r="CB160" s="20">
        <f t="shared" si="171"/>
        <v>640.57875641162809</v>
      </c>
      <c r="CC160" s="59">
        <f t="shared" si="119"/>
        <v>933.91208974496135</v>
      </c>
      <c r="CD160" s="59">
        <f ca="1">AVERAGE(OFFSET($CC$3,0,0,'Données projet'!$E$12+1,1))-AVERAGE(OFFSET($H$3,0,0,'Données projet'!$E$12+1,1))</f>
        <v>270.30888762640245</v>
      </c>
      <c r="CE160" s="59">
        <f t="shared" si="148"/>
        <v>202.23783851977691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0.17317470766340251</v>
      </c>
      <c r="CL160" s="21">
        <f>EXP(-LN(2)/25)*CL159+(1-EXP(-LN(2)/25))/(LN(2)/25)*Calculateur!CG160*Calculateur!CI160*VLOOKUP('Données projet'!$B$12,Paramètres!$A$1:$I$89,3,0)*0.475*44/12</f>
        <v>0.36349924091973118</v>
      </c>
      <c r="CM160" s="21">
        <f>EXP(-LN(2)/2)*CM159+(1-EXP(-LN(2)/2))/(LN(2)/2)*CG160*CJ160*VLOOKUP('Données projet'!$B$12,Paramètres!$A$1:$I$89,3,0)*0.475*44/12</f>
        <v>1.4177297501462758E-18</v>
      </c>
      <c r="CN160" s="22">
        <f t="shared" si="172"/>
        <v>0.53667394858313366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-5.1159076974727213E-13</v>
      </c>
      <c r="CU160" s="17">
        <f>CT160*VLOOKUP('Données projet'!$B$13,Paramètres!$A$1:$I$89,3,0)*VLOOKUP('Données projet'!$B$13,Paramètres!$A$1:$I$89,5,0)</f>
        <v>-4.0702161641092972E-13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260.20517190557814</v>
      </c>
      <c r="CZ160" s="59">
        <f t="shared" si="150"/>
        <v>307.22009971147133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0.26381953652972961</v>
      </c>
      <c r="DG160" s="21">
        <f>EXP(-LN(2)/25)*DG159+(1-EXP(-LN(2)/25))/(LN(2)/25)*Calculateur!DB160*Calculateur!DD160*VLOOKUP('Données projet'!$B$13,Paramètres!$A$1:$I$89,3,0)*0.475*44/12</f>
        <v>0.60664772079892415</v>
      </c>
      <c r="DH160" s="21">
        <f>EXP(-LN(2)/2)*DH159+(1-EXP(-LN(2)/2))/(LN(2)/2)*DB160*DE160*VLOOKUP('Données projet'!$B$13,Paramètres!$A$1:$I$89,3,0)*0.475*44/12</f>
        <v>1.842944648158944E-18</v>
      </c>
      <c r="DI160" s="22">
        <f t="shared" si="175"/>
        <v>0.87046725732865382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4.5474735088646412E-13</v>
      </c>
      <c r="DP160" s="17">
        <f>DO160*VLOOKUP('Données projet'!$B$14,Paramètres!$A$1:$I$89,3,0)*VLOOKUP('Données projet'!$B$14,Paramètres!$A$1:$I$89,5,0)</f>
        <v>4.6111381379887462E-13</v>
      </c>
      <c r="DQ160" s="13">
        <f t="shared" si="176"/>
        <v>5.7981965206434308E-12</v>
      </c>
      <c r="DR160" s="20">
        <f t="shared" si="177"/>
        <v>1.0901632165820347E-11</v>
      </c>
      <c r="DS160" s="59">
        <f t="shared" si="125"/>
        <v>293.33333333334423</v>
      </c>
      <c r="DT160" s="59">
        <f ca="1">AVERAGE(OFFSET($DS$3,0,0,'Données projet'!$E$14+1,1))-AVERAGE(OFFSET($H$3,0,0,'Données projet'!$E$14+1,1))</f>
        <v>263.15518481854753</v>
      </c>
      <c r="DU160" s="59">
        <f t="shared" si="152"/>
        <v>210.80755370263819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0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-5.1159076974727213E-13</v>
      </c>
      <c r="EK160" s="17">
        <f>EJ160*VLOOKUP('Données projet'!$B$15,Paramètres!$A$1:$I$89,3,0)*VLOOKUP('Données projet'!$B$15,Paramètres!$A$1:$I$89,5,0)</f>
        <v>-3.4317508834647017E-13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207.93042467236967</v>
      </c>
      <c r="EP160" s="59">
        <f t="shared" si="154"/>
        <v>250.70954318710835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0.22243607981918351</v>
      </c>
      <c r="EW160" s="21">
        <f>EXP(-LN(2)/25)*EW159+(1-EXP(-LN(2)/25))/(LN(2)/25)*Calculateur!ER160*Calculateur!ET160*VLOOKUP('Données projet'!$B$15,Paramètres!$A$1:$I$89,3,0)*0.475*44/12</f>
        <v>0.51148729400693682</v>
      </c>
      <c r="EX160" s="21">
        <f>EXP(-LN(2)/2)*EX159+(1-EXP(-LN(2)/2))/(LN(2)/2)*ER160*EU160*VLOOKUP('Données projet'!$B$15,Paramètres!$A$1:$I$89,3,0)*0.475*44/12</f>
        <v>1.5538552915849919E-18</v>
      </c>
      <c r="EY160" s="22">
        <f t="shared" si="181"/>
        <v>0.73392337382612038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4.5474735088646412E-13</v>
      </c>
      <c r="FF160" s="17">
        <f>FE160*VLOOKUP('Données projet'!$B$16,Paramètres!$A$1:$I$89,3,0)*VLOOKUP('Données projet'!$B$16,Paramètres!$A$1:$I$89,5,0)</f>
        <v>4.8949004849418999E-13</v>
      </c>
      <c r="FG160" s="13">
        <f t="shared" si="182"/>
        <v>6.1123715499968684E-12</v>
      </c>
      <c r="FH160" s="20">
        <f t="shared" si="183"/>
        <v>1.1498242284038591E-11</v>
      </c>
      <c r="FI160" s="59">
        <f t="shared" si="131"/>
        <v>293.3333333333448</v>
      </c>
      <c r="FJ160" s="59">
        <f ca="1">AVERAGE(OFFSET($FI$3,0,0,'Données projet'!$E$16+1,1))-AVERAGE(OFFSET($H$3,0,0,'Données projet'!$E$16+1,1))</f>
        <v>286.77702855541287</v>
      </c>
      <c r="FK160" s="59">
        <f t="shared" si="156"/>
        <v>227.12211541860779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0</v>
      </c>
      <c r="FR160" s="21">
        <f>EXP(-LN(2)/25)*FR159+(1-EXP(-LN(2)/25))/(LN(2)/25)*Calculateur!FM160*Calculateur!FO160*VLOOKUP('Données projet'!$B$16,Paramètres!$A$1:$I$89,3,0)*0.475*44/12</f>
        <v>0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0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5.6843418860808015E-13</v>
      </c>
      <c r="GA160" s="17">
        <f>FZ160*VLOOKUP('Données projet'!$B$17,Paramètres!$A$1:$I$89,3,0)*VLOOKUP('Données projet'!$B$17,Paramètres!$A$1:$I$89,5,0)</f>
        <v>2.6602720026858149E-13</v>
      </c>
      <c r="GB160" s="13">
        <f t="shared" si="185"/>
        <v>3.5662905043956649E-12</v>
      </c>
      <c r="GC160" s="20">
        <f t="shared" si="186"/>
        <v>6.6746200022902298E-12</v>
      </c>
      <c r="GD160" s="59">
        <f t="shared" si="134"/>
        <v>293.33333333333997</v>
      </c>
      <c r="GE160" s="59">
        <f ca="1">AVERAGE(OFFSET($GD$3,0,0,'Données projet'!$E$17+1,1))-AVERAGE(OFFSET($H$3,0,0,'Données projet'!$E$17+1,1))</f>
        <v>123.2823358462245</v>
      </c>
      <c r="GF160" s="59">
        <f t="shared" si="158"/>
        <v>92.75115399786057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0</v>
      </c>
      <c r="GM160" s="21">
        <f>EXP(-LN(2)/25)*GM159+(1-EXP(-LN(2)/25))/(LN(2)/25)*Calculateur!GH160*Calculateur!GJ160*VLOOKUP('Données projet'!$B$17,Paramètres!$A$1:$I$89,3,0)*0.475*44/12</f>
        <v>0</v>
      </c>
      <c r="GN160" s="21">
        <f>EXP(-LN(2)/2)*GN159+(1-EXP(-LN(2)/2))/(LN(2)/2)*GH160*GK160*VLOOKUP('Données projet'!$B$17,Paramètres!$A$1:$I$89,3,0)*0.475*44/12</f>
        <v>0</v>
      </c>
      <c r="GO160" s="21">
        <f t="shared" si="187"/>
        <v>0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-2.8421709430404007E-13</v>
      </c>
      <c r="GV160" s="17">
        <f>GU160*VLOOKUP('Données projet'!$B$18,Paramètres!$A$1:$I$89,3,0)*VLOOKUP('Données projet'!$B$18,Paramètres!$A$1:$I$89,5,0)</f>
        <v>-1.69961822393816E-13</v>
      </c>
      <c r="GW160" s="13" t="e">
        <f t="shared" si="188"/>
        <v>#NUM!</v>
      </c>
      <c r="GX160" s="20" t="e">
        <f t="shared" si="189"/>
        <v>#NUM!</v>
      </c>
      <c r="GY160" s="59" t="e">
        <f t="shared" si="137"/>
        <v>#NUM!</v>
      </c>
      <c r="GZ160" s="59">
        <f ca="1">AVERAGE(OFFSET($GY$3,0,0,'Données projet'!$E$18+1,1))-AVERAGE(OFFSET($H$3,0,0,'Données projet'!$E$18+1,1))</f>
        <v>171.96009656745713</v>
      </c>
      <c r="HA160" s="59">
        <f t="shared" si="160"/>
        <v>172.37574906747716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>
        <f>EXP(-LN(2)/35)*HG159+(1-EXP(-LN(2)/35))/(LN(2)/35)*HC160*HD160*VLOOKUP('Données projet'!$B$18,Paramètres!$A$1:$I$89,3,0)*0.475*44/12</f>
        <v>0.13486535893063528</v>
      </c>
      <c r="HH160" s="21">
        <f>EXP(-LN(2)/25)*HH159+(1-EXP(-LN(2)/25))/(LN(2)/25)*Calculateur!HC160*Calculateur!HE160*VLOOKUP('Données projet'!$B$18,Paramètres!$A$1:$I$89,3,0)*0.475*44/12</f>
        <v>0.60775247358125906</v>
      </c>
      <c r="HI160" s="21">
        <f>EXP(-LN(2)/2)*HI159+(1-EXP(-LN(2)/2))/(LN(2)/2)*HC160*HF160*VLOOKUP('Données projet'!$B$18,Paramètres!$A$1:$I$89,3,0)*0.475*44/12</f>
        <v>9.233969257324308E-19</v>
      </c>
      <c r="HJ160" s="22">
        <f t="shared" si="190"/>
        <v>0.74261783251189439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-2.2737367544323206E-13</v>
      </c>
      <c r="O161" s="13">
        <f>N161*VLOOKUP('Données projet'!$B$9,Paramètres!$A$1:$I$89,3,0)*VLOOKUP('Données projet'!$B$9,Paramètres!$A$1:$I$89,5,0)</f>
        <v>-1.2710188457276673E-13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255.5374979188561</v>
      </c>
      <c r="T161" s="59">
        <f t="shared" si="142"/>
        <v>343.10418468620901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0.24493707196246711</v>
      </c>
      <c r="AA161" s="21">
        <f>EXP(-LN(2)/25)*AA160+(1-EXP(-LN(2)/25))/(LN(2)/25)*Calculateur!V161*Calculateur!X161*VLOOKUP('Données projet'!$B$9,Paramètres!$A$1:$I$89,3,0)*0.475*44/12</f>
        <v>0.45895104226392386</v>
      </c>
      <c r="AB161" s="21">
        <f>EXP(-LN(2)/2)*AB160+(1-EXP(-LN(2)/2))/(LN(2)/2)*V161*Y161*VLOOKUP('Données projet'!$B$9,Paramètres!$A$1:$I$89,3,0)*0.475*44/12</f>
        <v>9.1758853090310253E-20</v>
      </c>
      <c r="AC161" s="22">
        <f t="shared" si="163"/>
        <v>0.70388811422639097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3.4106051316484809E-13</v>
      </c>
      <c r="AJ161" s="13">
        <f>AI161*VLOOKUP('Données projet'!$B$10,Paramètres!$A$1:$I$89,3,0)*VLOOKUP('Données projet'!$B$10,Paramètres!$A$1:$I$89,5,0)</f>
        <v>1.5961632016114892E-13</v>
      </c>
      <c r="AK161" s="13">
        <f t="shared" si="164"/>
        <v>2.2708641912150958E-12</v>
      </c>
      <c r="AL161" s="20">
        <f t="shared" si="165"/>
        <v>4.2330868906469593E-12</v>
      </c>
      <c r="AM161" s="59">
        <f t="shared" si="113"/>
        <v>293.33333333333752</v>
      </c>
      <c r="AN161" s="59">
        <f ca="1">AVERAGE(OFFSET($AM$3,0,0,'Données projet'!$E$10+1,1))-AVERAGE(OFFSET($H$3,0,0,'Données projet'!$E$10+1,1))</f>
        <v>158.58786357608489</v>
      </c>
      <c r="AO161" s="59">
        <f t="shared" si="144"/>
        <v>163.20074068819849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0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-1.7053025658242404E-13</v>
      </c>
      <c r="BE161" s="13">
        <f>BD161*VLOOKUP('Données projet'!$B$11,Paramètres!$A$1:$I$89,3,0)*VLOOKUP('Données projet'!$B$11,Paramètres!$A$1:$I$89,5,0)</f>
        <v>-1.0197709343628959E-13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243.85350804244348</v>
      </c>
      <c r="BJ161" s="59">
        <f t="shared" si="146"/>
        <v>304.60992308960545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0.35874770212227847</v>
      </c>
      <c r="BQ161" s="21">
        <f>EXP(-LN(2)/25)*BQ160+(1-EXP(-LN(2)/25))/(LN(2)/25)*Calculateur!BL161*Calculateur!BN161*VLOOKUP('Données projet'!$B$11,Paramètres!$A$1:$I$89,3,0)*0.475*44/12</f>
        <v>0.50980986050534338</v>
      </c>
      <c r="BR161" s="21">
        <f>EXP(-LN(2)/2)*BR160+(1-EXP(-LN(2)/2))/(LN(2)/2)*BL161*BO161*VLOOKUP('Données projet'!$B$11,Paramètres!$A$1:$I$89,3,0)*0.475*44/12</f>
        <v>2.02649666105546E-19</v>
      </c>
      <c r="BS161" s="22">
        <f t="shared" si="169"/>
        <v>0.86855756262762185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497</v>
      </c>
      <c r="BZ161" s="13">
        <f>BY161*VLOOKUP('Données projet'!$B$12,Paramètres!$A$1:$I$89,3,0)*VLOOKUP('Données projet'!$B$12,Paramètres!$A$1:$I$89,5,0)</f>
        <v>297.20600000000002</v>
      </c>
      <c r="CA161" s="13">
        <f t="shared" si="170"/>
        <v>70.590415164571112</v>
      </c>
      <c r="CB161" s="20">
        <f t="shared" si="171"/>
        <v>640.57875641162809</v>
      </c>
      <c r="CC161" s="59">
        <f t="shared" si="119"/>
        <v>933.91208974496135</v>
      </c>
      <c r="CD161" s="59">
        <f ca="1">AVERAGE(OFFSET($CC$3,0,0,'Données projet'!$E$12+1,1))-AVERAGE(OFFSET($H$3,0,0,'Données projet'!$E$12+1,1))</f>
        <v>270.30888762640245</v>
      </c>
      <c r="CE161" s="59">
        <f t="shared" si="148"/>
        <v>202.23783851977691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0.16977885727226516</v>
      </c>
      <c r="CL161" s="21">
        <f>EXP(-LN(2)/25)*CL160+(1-EXP(-LN(2)/25))/(LN(2)/25)*Calculateur!CG161*Calculateur!CI161*VLOOKUP('Données projet'!$B$12,Paramètres!$A$1:$I$89,3,0)*0.475*44/12</f>
        <v>0.35355933506118686</v>
      </c>
      <c r="CM161" s="21">
        <f>EXP(-LN(2)/2)*CM160+(1-EXP(-LN(2)/2))/(LN(2)/2)*CG161*CJ161*VLOOKUP('Données projet'!$B$12,Paramètres!$A$1:$I$89,3,0)*0.475*44/12</f>
        <v>1.0024863202183413E-18</v>
      </c>
      <c r="CN161" s="22">
        <f t="shared" si="172"/>
        <v>0.52333819233345202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-5.1159076974727213E-13</v>
      </c>
      <c r="CU161" s="17">
        <f>CT161*VLOOKUP('Données projet'!$B$13,Paramètres!$A$1:$I$89,3,0)*VLOOKUP('Données projet'!$B$13,Paramètres!$A$1:$I$89,5,0)</f>
        <v>-4.0702161641092972E-13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260.20517190557814</v>
      </c>
      <c r="CZ161" s="59">
        <f t="shared" si="150"/>
        <v>307.22009971147133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0.25864619633240998</v>
      </c>
      <c r="DG161" s="21">
        <f>EXP(-LN(2)/25)*DG160+(1-EXP(-LN(2)/25))/(LN(2)/25)*Calculateur!DB161*Calculateur!DD161*VLOOKUP('Données projet'!$B$13,Paramètres!$A$1:$I$89,3,0)*0.475*44/12</f>
        <v>0.59005890697146046</v>
      </c>
      <c r="DH161" s="21">
        <f>EXP(-LN(2)/2)*DH160+(1-EXP(-LN(2)/2))/(LN(2)/2)*DB161*DE161*VLOOKUP('Données projet'!$B$13,Paramètres!$A$1:$I$89,3,0)*0.475*44/12</f>
        <v>1.3031586580646452E-18</v>
      </c>
      <c r="DI161" s="22">
        <f t="shared" si="175"/>
        <v>0.84870510330387039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4.5474735088646412E-13</v>
      </c>
      <c r="DP161" s="17">
        <f>DO161*VLOOKUP('Données projet'!$B$14,Paramètres!$A$1:$I$89,3,0)*VLOOKUP('Données projet'!$B$14,Paramètres!$A$1:$I$89,5,0)</f>
        <v>4.6111381379887462E-13</v>
      </c>
      <c r="DQ161" s="13">
        <f t="shared" si="176"/>
        <v>5.7981965206434308E-12</v>
      </c>
      <c r="DR161" s="20">
        <f t="shared" si="177"/>
        <v>1.0901632165820347E-11</v>
      </c>
      <c r="DS161" s="59">
        <f t="shared" si="125"/>
        <v>293.33333333334423</v>
      </c>
      <c r="DT161" s="59">
        <f ca="1">AVERAGE(OFFSET($DS$3,0,0,'Données projet'!$E$14+1,1))-AVERAGE(OFFSET($H$3,0,0,'Données projet'!$E$14+1,1))</f>
        <v>263.15518481854753</v>
      </c>
      <c r="DU161" s="59">
        <f t="shared" si="152"/>
        <v>210.80755370263819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0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-5.1159076974727213E-13</v>
      </c>
      <c r="EK161" s="17">
        <f>EJ161*VLOOKUP('Données projet'!$B$15,Paramètres!$A$1:$I$89,3,0)*VLOOKUP('Données projet'!$B$15,Paramètres!$A$1:$I$89,5,0)</f>
        <v>-3.4317508834647017E-13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207.93042467236967</v>
      </c>
      <c r="EP161" s="59">
        <f t="shared" si="154"/>
        <v>250.70954318710835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0.21807424396654146</v>
      </c>
      <c r="EW161" s="21">
        <f>EXP(-LN(2)/25)*EW160+(1-EXP(-LN(2)/25))/(LN(2)/25)*Calculateur!ER161*Calculateur!ET161*VLOOKUP('Données projet'!$B$15,Paramètres!$A$1:$I$89,3,0)*0.475*44/12</f>
        <v>0.49750064705436936</v>
      </c>
      <c r="EX161" s="21">
        <f>EXP(-LN(2)/2)*EX160+(1-EXP(-LN(2)/2))/(LN(2)/2)*ER161*EU161*VLOOKUP('Données projet'!$B$15,Paramètres!$A$1:$I$89,3,0)*0.475*44/12</f>
        <v>1.0987416136623479E-18</v>
      </c>
      <c r="EY161" s="22">
        <f t="shared" si="181"/>
        <v>0.71557489102091076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4.5474735088646412E-13</v>
      </c>
      <c r="FF161" s="17">
        <f>FE161*VLOOKUP('Données projet'!$B$16,Paramètres!$A$1:$I$89,3,0)*VLOOKUP('Données projet'!$B$16,Paramètres!$A$1:$I$89,5,0)</f>
        <v>4.8949004849418999E-13</v>
      </c>
      <c r="FG161" s="13">
        <f t="shared" si="182"/>
        <v>6.1123715499968684E-12</v>
      </c>
      <c r="FH161" s="20">
        <f t="shared" si="183"/>
        <v>1.1498242284038591E-11</v>
      </c>
      <c r="FI161" s="59">
        <f t="shared" si="131"/>
        <v>293.3333333333448</v>
      </c>
      <c r="FJ161" s="59">
        <f ca="1">AVERAGE(OFFSET($FI$3,0,0,'Données projet'!$E$16+1,1))-AVERAGE(OFFSET($H$3,0,0,'Données projet'!$E$16+1,1))</f>
        <v>286.77702855541287</v>
      </c>
      <c r="FK161" s="59">
        <f t="shared" si="156"/>
        <v>227.12211541860779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0</v>
      </c>
      <c r="FR161" s="21">
        <f>EXP(-LN(2)/25)*FR160+(1-EXP(-LN(2)/25))/(LN(2)/25)*Calculateur!FM161*Calculateur!FO161*VLOOKUP('Données projet'!$B$16,Paramètres!$A$1:$I$89,3,0)*0.475*44/12</f>
        <v>0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0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5.6843418860808015E-13</v>
      </c>
      <c r="GA161" s="17">
        <f>FZ161*VLOOKUP('Données projet'!$B$17,Paramètres!$A$1:$I$89,3,0)*VLOOKUP('Données projet'!$B$17,Paramètres!$A$1:$I$89,5,0)</f>
        <v>2.6602720026858149E-13</v>
      </c>
      <c r="GB161" s="13">
        <f t="shared" si="185"/>
        <v>3.5662905043956649E-12</v>
      </c>
      <c r="GC161" s="20">
        <f t="shared" si="186"/>
        <v>6.6746200022902298E-12</v>
      </c>
      <c r="GD161" s="59">
        <f t="shared" si="134"/>
        <v>293.33333333333997</v>
      </c>
      <c r="GE161" s="59">
        <f ca="1">AVERAGE(OFFSET($GD$3,0,0,'Données projet'!$E$17+1,1))-AVERAGE(OFFSET($H$3,0,0,'Données projet'!$E$17+1,1))</f>
        <v>123.2823358462245</v>
      </c>
      <c r="GF161" s="59">
        <f t="shared" si="158"/>
        <v>92.75115399786057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0</v>
      </c>
      <c r="GM161" s="21">
        <f>EXP(-LN(2)/25)*GM160+(1-EXP(-LN(2)/25))/(LN(2)/25)*Calculateur!GH161*Calculateur!GJ161*VLOOKUP('Données projet'!$B$17,Paramètres!$A$1:$I$89,3,0)*0.475*44/12</f>
        <v>0</v>
      </c>
      <c r="GN161" s="21">
        <f>EXP(-LN(2)/2)*GN160+(1-EXP(-LN(2)/2))/(LN(2)/2)*GH161*GK161*VLOOKUP('Données projet'!$B$17,Paramètres!$A$1:$I$89,3,0)*0.475*44/12</f>
        <v>0</v>
      </c>
      <c r="GO161" s="21">
        <f t="shared" si="187"/>
        <v>0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-2.8421709430404007E-13</v>
      </c>
      <c r="GV161" s="17">
        <f>GU161*VLOOKUP('Données projet'!$B$18,Paramètres!$A$1:$I$89,3,0)*VLOOKUP('Données projet'!$B$18,Paramètres!$A$1:$I$89,5,0)</f>
        <v>-1.69961822393816E-13</v>
      </c>
      <c r="GW161" s="13" t="e">
        <f t="shared" si="188"/>
        <v>#NUM!</v>
      </c>
      <c r="GX161" s="20" t="e">
        <f t="shared" si="189"/>
        <v>#NUM!</v>
      </c>
      <c r="GY161" s="59" t="e">
        <f t="shared" si="137"/>
        <v>#NUM!</v>
      </c>
      <c r="GZ161" s="59">
        <f ca="1">AVERAGE(OFFSET($GY$3,0,0,'Données projet'!$E$18+1,1))-AVERAGE(OFFSET($H$3,0,0,'Données projet'!$E$18+1,1))</f>
        <v>171.96009656745713</v>
      </c>
      <c r="HA161" s="59">
        <f t="shared" si="160"/>
        <v>172.37574906747716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>
        <f>EXP(-LN(2)/35)*HG160+(1-EXP(-LN(2)/35))/(LN(2)/35)*HC161*HD161*VLOOKUP('Données projet'!$B$18,Paramètres!$A$1:$I$89,3,0)*0.475*44/12</f>
        <v>0.13222073150175201</v>
      </c>
      <c r="HH161" s="21">
        <f>EXP(-LN(2)/25)*HH160+(1-EXP(-LN(2)/25))/(LN(2)/25)*Calculateur!HC161*Calculateur!HE161*VLOOKUP('Données projet'!$B$18,Paramètres!$A$1:$I$89,3,0)*0.475*44/12</f>
        <v>0.59113345023086594</v>
      </c>
      <c r="HI161" s="21">
        <f>EXP(-LN(2)/2)*HI160+(1-EXP(-LN(2)/2))/(LN(2)/2)*HC161*HF161*VLOOKUP('Données projet'!$B$18,Paramètres!$A$1:$I$89,3,0)*0.475*44/12</f>
        <v>6.5294022791221263E-19</v>
      </c>
      <c r="HJ161" s="22">
        <f t="shared" si="190"/>
        <v>0.7233541817326179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-2.2737367544323206E-13</v>
      </c>
      <c r="O162" s="13">
        <f>N162*VLOOKUP('Données projet'!$B$9,Paramètres!$A$1:$I$89,3,0)*VLOOKUP('Données projet'!$B$9,Paramètres!$A$1:$I$89,5,0)</f>
        <v>-1.2710188457276673E-13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255.5374979188561</v>
      </c>
      <c r="T162" s="59">
        <f t="shared" si="142"/>
        <v>343.10418468620901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0.2401340053781453</v>
      </c>
      <c r="AA162" s="21">
        <f>EXP(-LN(2)/25)*AA161+(1-EXP(-LN(2)/25))/(LN(2)/25)*Calculateur!V162*Calculateur!X162*VLOOKUP('Données projet'!$B$9,Paramètres!$A$1:$I$89,3,0)*0.475*44/12</f>
        <v>0.4464010018780305</v>
      </c>
      <c r="AB162" s="21">
        <f>EXP(-LN(2)/2)*AB161+(1-EXP(-LN(2)/2))/(LN(2)/2)*V162*Y162*VLOOKUP('Données projet'!$B$9,Paramètres!$A$1:$I$89,3,0)*0.475*44/12</f>
        <v>6.4883307254058571E-20</v>
      </c>
      <c r="AC162" s="22">
        <f t="shared" si="163"/>
        <v>0.68653500725617578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3.4106051316484809E-13</v>
      </c>
      <c r="AJ162" s="13">
        <f>AI162*VLOOKUP('Données projet'!$B$10,Paramètres!$A$1:$I$89,3,0)*VLOOKUP('Données projet'!$B$10,Paramètres!$A$1:$I$89,5,0)</f>
        <v>1.5961632016114892E-13</v>
      </c>
      <c r="AK162" s="13">
        <f t="shared" si="164"/>
        <v>2.2708641912150958E-12</v>
      </c>
      <c r="AL162" s="20">
        <f t="shared" si="165"/>
        <v>4.2330868906469593E-12</v>
      </c>
      <c r="AM162" s="59">
        <f t="shared" si="113"/>
        <v>293.33333333333752</v>
      </c>
      <c r="AN162" s="59">
        <f ca="1">AVERAGE(OFFSET($AM$3,0,0,'Données projet'!$E$10+1,1))-AVERAGE(OFFSET($H$3,0,0,'Données projet'!$E$10+1,1))</f>
        <v>158.58786357608489</v>
      </c>
      <c r="AO162" s="59">
        <f t="shared" si="144"/>
        <v>163.20074068819849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0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-1.7053025658242404E-13</v>
      </c>
      <c r="BE162" s="13">
        <f>BD162*VLOOKUP('Données projet'!$B$11,Paramètres!$A$1:$I$89,3,0)*VLOOKUP('Données projet'!$B$11,Paramètres!$A$1:$I$89,5,0)</f>
        <v>-1.0197709343628959E-13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243.85350804244348</v>
      </c>
      <c r="BJ162" s="59">
        <f t="shared" si="146"/>
        <v>304.60992308960545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0.35171287849815275</v>
      </c>
      <c r="BQ162" s="21">
        <f>EXP(-LN(2)/25)*BQ161+(1-EXP(-LN(2)/25))/(LN(2)/25)*Calculateur!BL162*Calculateur!BN162*VLOOKUP('Données projet'!$B$11,Paramètres!$A$1:$I$89,3,0)*0.475*44/12</f>
        <v>0.49586908306008937</v>
      </c>
      <c r="BR162" s="21">
        <f>EXP(-LN(2)/2)*BR161+(1-EXP(-LN(2)/2))/(LN(2)/2)*BL162*BO162*VLOOKUP('Données projet'!$B$11,Paramètres!$A$1:$I$89,3,0)*0.475*44/12</f>
        <v>1.4329495310842123E-19</v>
      </c>
      <c r="BS162" s="22">
        <f t="shared" si="169"/>
        <v>0.84758196155824206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497</v>
      </c>
      <c r="BZ162" s="13">
        <f>BY162*VLOOKUP('Données projet'!$B$12,Paramètres!$A$1:$I$89,3,0)*VLOOKUP('Données projet'!$B$12,Paramètres!$A$1:$I$89,5,0)</f>
        <v>297.20600000000002</v>
      </c>
      <c r="CA162" s="13">
        <f t="shared" si="170"/>
        <v>70.590415164571112</v>
      </c>
      <c r="CB162" s="20">
        <f t="shared" si="171"/>
        <v>640.57875641162809</v>
      </c>
      <c r="CC162" s="59">
        <f t="shared" si="119"/>
        <v>933.91208974496135</v>
      </c>
      <c r="CD162" s="59">
        <f ca="1">AVERAGE(OFFSET($CC$3,0,0,'Données projet'!$E$12+1,1))-AVERAGE(OFFSET($H$3,0,0,'Données projet'!$E$12+1,1))</f>
        <v>270.30888762640245</v>
      </c>
      <c r="CE162" s="59">
        <f t="shared" si="148"/>
        <v>202.23783851977691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0.16644959743603377</v>
      </c>
      <c r="CL162" s="21">
        <f>EXP(-LN(2)/25)*CL161+(1-EXP(-LN(2)/25))/(LN(2)/25)*Calculateur!CG162*Calculateur!CI162*VLOOKUP('Données projet'!$B$12,Paramètres!$A$1:$I$89,3,0)*0.475*44/12</f>
        <v>0.34389123645106134</v>
      </c>
      <c r="CM162" s="21">
        <f>EXP(-LN(2)/2)*CM161+(1-EXP(-LN(2)/2))/(LN(2)/2)*CG162*CJ162*VLOOKUP('Données projet'!$B$12,Paramètres!$A$1:$I$89,3,0)*0.475*44/12</f>
        <v>7.0886487507313791E-19</v>
      </c>
      <c r="CN162" s="22">
        <f t="shared" si="172"/>
        <v>0.51034083388709517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-5.1159076974727213E-13</v>
      </c>
      <c r="CU162" s="17">
        <f>CT162*VLOOKUP('Données projet'!$B$13,Paramètres!$A$1:$I$89,3,0)*VLOOKUP('Données projet'!$B$13,Paramètres!$A$1:$I$89,5,0)</f>
        <v>-4.0702161641092972E-13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260.20517190557814</v>
      </c>
      <c r="CZ162" s="59">
        <f t="shared" si="150"/>
        <v>307.22009971147133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0.2535743021809338</v>
      </c>
      <c r="DG162" s="21">
        <f>EXP(-LN(2)/25)*DG161+(1-EXP(-LN(2)/25))/(LN(2)/25)*Calculateur!DB162*Calculateur!DD162*VLOOKUP('Données projet'!$B$13,Paramètres!$A$1:$I$89,3,0)*0.475*44/12</f>
        <v>0.57392371513047657</v>
      </c>
      <c r="DH162" s="21">
        <f>EXP(-LN(2)/2)*DH161+(1-EXP(-LN(2)/2))/(LN(2)/2)*DB162*DE162*VLOOKUP('Données projet'!$B$13,Paramètres!$A$1:$I$89,3,0)*0.475*44/12</f>
        <v>9.2147232407947199E-19</v>
      </c>
      <c r="DI162" s="22">
        <f t="shared" si="175"/>
        <v>0.82749801731141037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4.5474735088646412E-13</v>
      </c>
      <c r="DP162" s="17">
        <f>DO162*VLOOKUP('Données projet'!$B$14,Paramètres!$A$1:$I$89,3,0)*VLOOKUP('Données projet'!$B$14,Paramètres!$A$1:$I$89,5,0)</f>
        <v>4.6111381379887462E-13</v>
      </c>
      <c r="DQ162" s="13">
        <f t="shared" si="176"/>
        <v>5.7981965206434308E-12</v>
      </c>
      <c r="DR162" s="20">
        <f t="shared" si="177"/>
        <v>1.0901632165820347E-11</v>
      </c>
      <c r="DS162" s="59">
        <f t="shared" si="125"/>
        <v>293.33333333334423</v>
      </c>
      <c r="DT162" s="59">
        <f ca="1">AVERAGE(OFFSET($DS$3,0,0,'Données projet'!$E$14+1,1))-AVERAGE(OFFSET($H$3,0,0,'Données projet'!$E$14+1,1))</f>
        <v>263.15518481854753</v>
      </c>
      <c r="DU162" s="59">
        <f t="shared" si="152"/>
        <v>210.80755370263819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0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-5.1159076974727213E-13</v>
      </c>
      <c r="EK162" s="17">
        <f>EJ162*VLOOKUP('Données projet'!$B$15,Paramètres!$A$1:$I$89,3,0)*VLOOKUP('Données projet'!$B$15,Paramètres!$A$1:$I$89,5,0)</f>
        <v>-3.4317508834647017E-13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207.93042467236967</v>
      </c>
      <c r="EP162" s="59">
        <f t="shared" si="154"/>
        <v>250.70954318710835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0.21379794105451255</v>
      </c>
      <c r="EW162" s="21">
        <f>EXP(-LN(2)/25)*EW161+(1-EXP(-LN(2)/25))/(LN(2)/25)*Calculateur!ER162*Calculateur!ET162*VLOOKUP('Données projet'!$B$15,Paramètres!$A$1:$I$89,3,0)*0.475*44/12</f>
        <v>0.48389646569824568</v>
      </c>
      <c r="EX162" s="21">
        <f>EXP(-LN(2)/2)*EX161+(1-EXP(-LN(2)/2))/(LN(2)/2)*ER162*EU162*VLOOKUP('Données projet'!$B$15,Paramètres!$A$1:$I$89,3,0)*0.475*44/12</f>
        <v>7.7692764579249595E-19</v>
      </c>
      <c r="EY162" s="22">
        <f t="shared" si="181"/>
        <v>0.69769440675275818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4.5474735088646412E-13</v>
      </c>
      <c r="FF162" s="17">
        <f>FE162*VLOOKUP('Données projet'!$B$16,Paramètres!$A$1:$I$89,3,0)*VLOOKUP('Données projet'!$B$16,Paramètres!$A$1:$I$89,5,0)</f>
        <v>4.8949004849418999E-13</v>
      </c>
      <c r="FG162" s="13">
        <f t="shared" si="182"/>
        <v>6.1123715499968684E-12</v>
      </c>
      <c r="FH162" s="20">
        <f t="shared" si="183"/>
        <v>1.1498242284038591E-11</v>
      </c>
      <c r="FI162" s="59">
        <f t="shared" si="131"/>
        <v>293.3333333333448</v>
      </c>
      <c r="FJ162" s="59">
        <f ca="1">AVERAGE(OFFSET($FI$3,0,0,'Données projet'!$E$16+1,1))-AVERAGE(OFFSET($H$3,0,0,'Données projet'!$E$16+1,1))</f>
        <v>286.77702855541287</v>
      </c>
      <c r="FK162" s="59">
        <f t="shared" si="156"/>
        <v>227.12211541860779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0</v>
      </c>
      <c r="FR162" s="21">
        <f>EXP(-LN(2)/25)*FR161+(1-EXP(-LN(2)/25))/(LN(2)/25)*Calculateur!FM162*Calculateur!FO162*VLOOKUP('Données projet'!$B$16,Paramètres!$A$1:$I$89,3,0)*0.475*44/12</f>
        <v>0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0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5.6843418860808015E-13</v>
      </c>
      <c r="GA162" s="17">
        <f>FZ162*VLOOKUP('Données projet'!$B$17,Paramètres!$A$1:$I$89,3,0)*VLOOKUP('Données projet'!$B$17,Paramètres!$A$1:$I$89,5,0)</f>
        <v>2.6602720026858149E-13</v>
      </c>
      <c r="GB162" s="13">
        <f t="shared" si="185"/>
        <v>3.5662905043956649E-12</v>
      </c>
      <c r="GC162" s="20">
        <f t="shared" si="186"/>
        <v>6.6746200022902298E-12</v>
      </c>
      <c r="GD162" s="59">
        <f t="shared" si="134"/>
        <v>293.33333333333997</v>
      </c>
      <c r="GE162" s="59">
        <f ca="1">AVERAGE(OFFSET($GD$3,0,0,'Données projet'!$E$17+1,1))-AVERAGE(OFFSET($H$3,0,0,'Données projet'!$E$17+1,1))</f>
        <v>123.2823358462245</v>
      </c>
      <c r="GF162" s="59">
        <f t="shared" si="158"/>
        <v>92.75115399786057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0</v>
      </c>
      <c r="GM162" s="21">
        <f>EXP(-LN(2)/25)*GM161+(1-EXP(-LN(2)/25))/(LN(2)/25)*Calculateur!GH162*Calculateur!GJ162*VLOOKUP('Données projet'!$B$17,Paramètres!$A$1:$I$89,3,0)*0.475*44/12</f>
        <v>0</v>
      </c>
      <c r="GN162" s="21">
        <f>EXP(-LN(2)/2)*GN161+(1-EXP(-LN(2)/2))/(LN(2)/2)*GH162*GK162*VLOOKUP('Données projet'!$B$17,Paramètres!$A$1:$I$89,3,0)*0.475*44/12</f>
        <v>0</v>
      </c>
      <c r="GO162" s="21">
        <f t="shared" si="187"/>
        <v>0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-2.8421709430404007E-13</v>
      </c>
      <c r="GV162" s="17">
        <f>GU162*VLOOKUP('Données projet'!$B$18,Paramètres!$A$1:$I$89,3,0)*VLOOKUP('Données projet'!$B$18,Paramètres!$A$1:$I$89,5,0)</f>
        <v>-1.69961822393816E-13</v>
      </c>
      <c r="GW162" s="13" t="e">
        <f t="shared" si="188"/>
        <v>#NUM!</v>
      </c>
      <c r="GX162" s="20" t="e">
        <f t="shared" si="189"/>
        <v>#NUM!</v>
      </c>
      <c r="GY162" s="59" t="e">
        <f t="shared" si="137"/>
        <v>#NUM!</v>
      </c>
      <c r="GZ162" s="59">
        <f ca="1">AVERAGE(OFFSET($GY$3,0,0,'Données projet'!$E$18+1,1))-AVERAGE(OFFSET($H$3,0,0,'Données projet'!$E$18+1,1))</f>
        <v>171.96009656745713</v>
      </c>
      <c r="HA162" s="59">
        <f t="shared" si="160"/>
        <v>172.37574906747716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>
        <f>EXP(-LN(2)/35)*HG161+(1-EXP(-LN(2)/35))/(LN(2)/35)*HC162*HD162*VLOOKUP('Données projet'!$B$18,Paramètres!$A$1:$I$89,3,0)*0.475*44/12</f>
        <v>0.12962796360368567</v>
      </c>
      <c r="HH162" s="21">
        <f>EXP(-LN(2)/25)*HH161+(1-EXP(-LN(2)/25))/(LN(2)/25)*Calculateur!HC162*Calculateur!HE162*VLOOKUP('Données projet'!$B$18,Paramètres!$A$1:$I$89,3,0)*0.475*44/12</f>
        <v>0.5749688749479458</v>
      </c>
      <c r="HI162" s="21">
        <f>EXP(-LN(2)/2)*HI161+(1-EXP(-LN(2)/2))/(LN(2)/2)*HC162*HF162*VLOOKUP('Données projet'!$B$18,Paramètres!$A$1:$I$89,3,0)*0.475*44/12</f>
        <v>4.616984628662154E-19</v>
      </c>
      <c r="HJ162" s="22">
        <f t="shared" si="190"/>
        <v>0.70459683855163147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-2.2737367544323206E-13</v>
      </c>
      <c r="O163" s="13">
        <f>N163*VLOOKUP('Données projet'!$B$9,Paramètres!$A$1:$I$89,3,0)*VLOOKUP('Données projet'!$B$9,Paramètres!$A$1:$I$89,5,0)</f>
        <v>-1.2710188457276673E-13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255.5374979188561</v>
      </c>
      <c r="T163" s="59">
        <f t="shared" si="142"/>
        <v>343.10418468620901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0.23542512399996071</v>
      </c>
      <c r="AA163" s="21">
        <f>EXP(-LN(2)/25)*AA162+(1-EXP(-LN(2)/25))/(LN(2)/25)*Calculateur!V163*Calculateur!X163*VLOOKUP('Données projet'!$B$9,Paramètres!$A$1:$I$89,3,0)*0.475*44/12</f>
        <v>0.43419414300646736</v>
      </c>
      <c r="AB163" s="21">
        <f>EXP(-LN(2)/2)*AB162+(1-EXP(-LN(2)/2))/(LN(2)/2)*V163*Y163*VLOOKUP('Données projet'!$B$9,Paramètres!$A$1:$I$89,3,0)*0.475*44/12</f>
        <v>4.5879426545155127E-20</v>
      </c>
      <c r="AC163" s="22">
        <f t="shared" si="163"/>
        <v>0.66961926700642804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3.4106051316484809E-13</v>
      </c>
      <c r="AJ163" s="13">
        <f>AI163*VLOOKUP('Données projet'!$B$10,Paramètres!$A$1:$I$89,3,0)*VLOOKUP('Données projet'!$B$10,Paramètres!$A$1:$I$89,5,0)</f>
        <v>1.5961632016114892E-13</v>
      </c>
      <c r="AK163" s="13">
        <f t="shared" si="164"/>
        <v>2.2708641912150958E-12</v>
      </c>
      <c r="AL163" s="20">
        <f t="shared" si="165"/>
        <v>4.2330868906469593E-12</v>
      </c>
      <c r="AM163" s="59">
        <f t="shared" si="113"/>
        <v>293.33333333333752</v>
      </c>
      <c r="AN163" s="59">
        <f ca="1">AVERAGE(OFFSET($AM$3,0,0,'Données projet'!$E$10+1,1))-AVERAGE(OFFSET($H$3,0,0,'Données projet'!$E$10+1,1))</f>
        <v>158.58786357608489</v>
      </c>
      <c r="AO163" s="59">
        <f t="shared" si="144"/>
        <v>163.20074068819849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0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-1.7053025658242404E-13</v>
      </c>
      <c r="BE163" s="13">
        <f>BD163*VLOOKUP('Données projet'!$B$11,Paramètres!$A$1:$I$89,3,0)*VLOOKUP('Données projet'!$B$11,Paramètres!$A$1:$I$89,5,0)</f>
        <v>-1.0197709343628959E-13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243.85350804244348</v>
      </c>
      <c r="BJ163" s="59">
        <f t="shared" si="146"/>
        <v>304.60992308960545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0.34481600347447738</v>
      </c>
      <c r="BQ163" s="21">
        <f>EXP(-LN(2)/25)*BQ162+(1-EXP(-LN(2)/25))/(LN(2)/25)*Calculateur!BL163*Calculateur!BN163*VLOOKUP('Données projet'!$B$11,Paramètres!$A$1:$I$89,3,0)*0.475*44/12</f>
        <v>0.48230951690718948</v>
      </c>
      <c r="BR163" s="21">
        <f>EXP(-LN(2)/2)*BR162+(1-EXP(-LN(2)/2))/(LN(2)/2)*BL163*BO163*VLOOKUP('Données projet'!$B$11,Paramètres!$A$1:$I$89,3,0)*0.475*44/12</f>
        <v>1.01324833052773E-19</v>
      </c>
      <c r="BS163" s="22">
        <f t="shared" si="169"/>
        <v>0.82712552038166687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497</v>
      </c>
      <c r="BZ163" s="13">
        <f>BY163*VLOOKUP('Données projet'!$B$12,Paramètres!$A$1:$I$89,3,0)*VLOOKUP('Données projet'!$B$12,Paramètres!$A$1:$I$89,5,0)</f>
        <v>297.20600000000002</v>
      </c>
      <c r="CA163" s="13">
        <f t="shared" si="170"/>
        <v>70.590415164571112</v>
      </c>
      <c r="CB163" s="20">
        <f t="shared" si="171"/>
        <v>640.57875641162809</v>
      </c>
      <c r="CC163" s="59">
        <f t="shared" si="119"/>
        <v>933.91208974496135</v>
      </c>
      <c r="CD163" s="59">
        <f ca="1">AVERAGE(OFFSET($CC$3,0,0,'Données projet'!$E$12+1,1))-AVERAGE(OFFSET($H$3,0,0,'Données projet'!$E$12+1,1))</f>
        <v>270.30888762640245</v>
      </c>
      <c r="CE163" s="59">
        <f t="shared" si="148"/>
        <v>202.23783851977691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0.1631856223545429</v>
      </c>
      <c r="CL163" s="21">
        <f>EXP(-LN(2)/25)*CL162+(1-EXP(-LN(2)/25))/(LN(2)/25)*Calculateur!CG163*Calculateur!CI163*VLOOKUP('Données projet'!$B$12,Paramètres!$A$1:$I$89,3,0)*0.475*44/12</f>
        <v>0.3344875125058529</v>
      </c>
      <c r="CM163" s="21">
        <f>EXP(-LN(2)/2)*CM162+(1-EXP(-LN(2)/2))/(LN(2)/2)*CG163*CJ163*VLOOKUP('Données projet'!$B$12,Paramètres!$A$1:$I$89,3,0)*0.475*44/12</f>
        <v>5.0124316010917067E-19</v>
      </c>
      <c r="CN163" s="22">
        <f t="shared" si="172"/>
        <v>0.49767313486039577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-5.1159076974727213E-13</v>
      </c>
      <c r="CU163" s="17">
        <f>CT163*VLOOKUP('Données projet'!$B$13,Paramètres!$A$1:$I$89,3,0)*VLOOKUP('Données projet'!$B$13,Paramètres!$A$1:$I$89,5,0)</f>
        <v>-4.0702161641092972E-13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260.20517190557814</v>
      </c>
      <c r="CZ163" s="59">
        <f t="shared" si="150"/>
        <v>307.22009971147133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0.24860186478021812</v>
      </c>
      <c r="DG163" s="21">
        <f>EXP(-LN(2)/25)*DG162+(1-EXP(-LN(2)/25))/(LN(2)/25)*Calculateur!DB163*Calculateur!DD163*VLOOKUP('Données projet'!$B$13,Paramètres!$A$1:$I$89,3,0)*0.475*44/12</f>
        <v>0.55822974095889721</v>
      </c>
      <c r="DH163" s="21">
        <f>EXP(-LN(2)/2)*DH162+(1-EXP(-LN(2)/2))/(LN(2)/2)*DB163*DE163*VLOOKUP('Données projet'!$B$13,Paramètres!$A$1:$I$89,3,0)*0.475*44/12</f>
        <v>6.5157932903232261E-19</v>
      </c>
      <c r="DI163" s="22">
        <f t="shared" si="175"/>
        <v>0.80683160573911539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4.5474735088646412E-13</v>
      </c>
      <c r="DP163" s="17">
        <f>DO163*VLOOKUP('Données projet'!$B$14,Paramètres!$A$1:$I$89,3,0)*VLOOKUP('Données projet'!$B$14,Paramètres!$A$1:$I$89,5,0)</f>
        <v>4.6111381379887462E-13</v>
      </c>
      <c r="DQ163" s="13">
        <f t="shared" si="176"/>
        <v>5.7981965206434308E-12</v>
      </c>
      <c r="DR163" s="20">
        <f t="shared" si="177"/>
        <v>1.0901632165820347E-11</v>
      </c>
      <c r="DS163" s="59">
        <f t="shared" si="125"/>
        <v>293.33333333334423</v>
      </c>
      <c r="DT163" s="59">
        <f ca="1">AVERAGE(OFFSET($DS$3,0,0,'Données projet'!$E$14+1,1))-AVERAGE(OFFSET($H$3,0,0,'Données projet'!$E$14+1,1))</f>
        <v>263.15518481854753</v>
      </c>
      <c r="DU163" s="59">
        <f t="shared" si="152"/>
        <v>210.80755370263819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0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-5.1159076974727213E-13</v>
      </c>
      <c r="EK163" s="17">
        <f>EJ163*VLOOKUP('Données projet'!$B$15,Paramètres!$A$1:$I$89,3,0)*VLOOKUP('Données projet'!$B$15,Paramètres!$A$1:$I$89,5,0)</f>
        <v>-3.4317508834647017E-13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207.93042467236967</v>
      </c>
      <c r="EP163" s="59">
        <f t="shared" si="154"/>
        <v>250.70954318710835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0.2096054938343013</v>
      </c>
      <c r="EW163" s="21">
        <f>EXP(-LN(2)/25)*EW162+(1-EXP(-LN(2)/25))/(LN(2)/25)*Calculateur!ER163*Calculateur!ET163*VLOOKUP('Données projet'!$B$15,Paramètres!$A$1:$I$89,3,0)*0.475*44/12</f>
        <v>0.470664291396718</v>
      </c>
      <c r="EX163" s="21">
        <f>EXP(-LN(2)/2)*EX162+(1-EXP(-LN(2)/2))/(LN(2)/2)*ER163*EU163*VLOOKUP('Données projet'!$B$15,Paramètres!$A$1:$I$89,3,0)*0.475*44/12</f>
        <v>5.4937080683117393E-19</v>
      </c>
      <c r="EY163" s="22">
        <f t="shared" si="181"/>
        <v>0.68026978523101933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4.5474735088646412E-13</v>
      </c>
      <c r="FF163" s="17">
        <f>FE163*VLOOKUP('Données projet'!$B$16,Paramètres!$A$1:$I$89,3,0)*VLOOKUP('Données projet'!$B$16,Paramètres!$A$1:$I$89,5,0)</f>
        <v>4.8949004849418999E-13</v>
      </c>
      <c r="FG163" s="13">
        <f t="shared" si="182"/>
        <v>6.1123715499968684E-12</v>
      </c>
      <c r="FH163" s="20">
        <f t="shared" si="183"/>
        <v>1.1498242284038591E-11</v>
      </c>
      <c r="FI163" s="59">
        <f t="shared" si="131"/>
        <v>293.3333333333448</v>
      </c>
      <c r="FJ163" s="59">
        <f ca="1">AVERAGE(OFFSET($FI$3,0,0,'Données projet'!$E$16+1,1))-AVERAGE(OFFSET($H$3,0,0,'Données projet'!$E$16+1,1))</f>
        <v>286.77702855541287</v>
      </c>
      <c r="FK163" s="59">
        <f t="shared" si="156"/>
        <v>227.12211541860779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0</v>
      </c>
      <c r="FR163" s="21">
        <f>EXP(-LN(2)/25)*FR162+(1-EXP(-LN(2)/25))/(LN(2)/25)*Calculateur!FM163*Calculateur!FO163*VLOOKUP('Données projet'!$B$16,Paramètres!$A$1:$I$89,3,0)*0.475*44/12</f>
        <v>0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0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5.6843418860808015E-13</v>
      </c>
      <c r="GA163" s="17">
        <f>FZ163*VLOOKUP('Données projet'!$B$17,Paramètres!$A$1:$I$89,3,0)*VLOOKUP('Données projet'!$B$17,Paramètres!$A$1:$I$89,5,0)</f>
        <v>2.6602720026858149E-13</v>
      </c>
      <c r="GB163" s="13">
        <f t="shared" si="185"/>
        <v>3.5662905043956649E-12</v>
      </c>
      <c r="GC163" s="20">
        <f t="shared" si="186"/>
        <v>6.6746200022902298E-12</v>
      </c>
      <c r="GD163" s="59">
        <f t="shared" si="134"/>
        <v>293.33333333333997</v>
      </c>
      <c r="GE163" s="59">
        <f ca="1">AVERAGE(OFFSET($GD$3,0,0,'Données projet'!$E$17+1,1))-AVERAGE(OFFSET($H$3,0,0,'Données projet'!$E$17+1,1))</f>
        <v>123.2823358462245</v>
      </c>
      <c r="GF163" s="59">
        <f t="shared" si="158"/>
        <v>92.75115399786057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0</v>
      </c>
      <c r="GM163" s="21">
        <f>EXP(-LN(2)/25)*GM162+(1-EXP(-LN(2)/25))/(LN(2)/25)*Calculateur!GH163*Calculateur!GJ163*VLOOKUP('Données projet'!$B$17,Paramètres!$A$1:$I$89,3,0)*0.475*44/12</f>
        <v>0</v>
      </c>
      <c r="GN163" s="21">
        <f>EXP(-LN(2)/2)*GN162+(1-EXP(-LN(2)/2))/(LN(2)/2)*GH163*GK163*VLOOKUP('Données projet'!$B$17,Paramètres!$A$1:$I$89,3,0)*0.475*44/12</f>
        <v>0</v>
      </c>
      <c r="GO163" s="21">
        <f t="shared" si="187"/>
        <v>0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-2.8421709430404007E-13</v>
      </c>
      <c r="GV163" s="17">
        <f>GU163*VLOOKUP('Données projet'!$B$18,Paramètres!$A$1:$I$89,3,0)*VLOOKUP('Données projet'!$B$18,Paramètres!$A$1:$I$89,5,0)</f>
        <v>-1.69961822393816E-13</v>
      </c>
      <c r="GW163" s="13" t="e">
        <f t="shared" si="188"/>
        <v>#NUM!</v>
      </c>
      <c r="GX163" s="20" t="e">
        <f t="shared" si="189"/>
        <v>#NUM!</v>
      </c>
      <c r="GY163" s="59" t="e">
        <f t="shared" si="137"/>
        <v>#NUM!</v>
      </c>
      <c r="GZ163" s="59">
        <f ca="1">AVERAGE(OFFSET($GY$3,0,0,'Données projet'!$E$18+1,1))-AVERAGE(OFFSET($H$3,0,0,'Données projet'!$E$18+1,1))</f>
        <v>171.96009656745713</v>
      </c>
      <c r="HA163" s="59">
        <f t="shared" si="160"/>
        <v>172.37574906747716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>
        <f>EXP(-LN(2)/35)*HG162+(1-EXP(-LN(2)/35))/(LN(2)/35)*HC163*HD163*VLOOKUP('Données projet'!$B$18,Paramètres!$A$1:$I$89,3,0)*0.475*44/12</f>
        <v>0.12708603830266815</v>
      </c>
      <c r="HH163" s="21">
        <f>EXP(-LN(2)/25)*HH162+(1-EXP(-LN(2)/25))/(LN(2)/25)*Calculateur!HC163*Calculateur!HE163*VLOOKUP('Données projet'!$B$18,Paramètres!$A$1:$I$89,3,0)*0.475*44/12</f>
        <v>0.55924632082619519</v>
      </c>
      <c r="HI163" s="21">
        <f>EXP(-LN(2)/2)*HI162+(1-EXP(-LN(2)/2))/(LN(2)/2)*HC163*HF163*VLOOKUP('Données projet'!$B$18,Paramètres!$A$1:$I$89,3,0)*0.475*44/12</f>
        <v>3.2647011395610631E-19</v>
      </c>
      <c r="HJ163" s="22">
        <f t="shared" si="190"/>
        <v>0.68633235912886337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-2.2737367544323206E-13</v>
      </c>
      <c r="O164" s="13">
        <f>N164*VLOOKUP('Données projet'!$B$9,Paramètres!$A$1:$I$89,3,0)*VLOOKUP('Données projet'!$B$9,Paramètres!$A$1:$I$89,5,0)</f>
        <v>-1.2710188457276673E-13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255.5374979188561</v>
      </c>
      <c r="T164" s="59">
        <f t="shared" si="142"/>
        <v>343.10418468620901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0.23080858091346829</v>
      </c>
      <c r="AA164" s="21">
        <f>EXP(-LN(2)/25)*AA163+(1-EXP(-LN(2)/25))/(LN(2)/25)*Calculateur!V164*Calculateur!X164*VLOOKUP('Données projet'!$B$9,Paramètres!$A$1:$I$89,3,0)*0.475*44/12</f>
        <v>0.42232108133267787</v>
      </c>
      <c r="AB164" s="21">
        <f>EXP(-LN(2)/2)*AB163+(1-EXP(-LN(2)/2))/(LN(2)/2)*V164*Y164*VLOOKUP('Données projet'!$B$9,Paramètres!$A$1:$I$89,3,0)*0.475*44/12</f>
        <v>3.2441653627029286E-20</v>
      </c>
      <c r="AC164" s="22">
        <f t="shared" si="163"/>
        <v>0.65312966224614621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3.4106051316484809E-13</v>
      </c>
      <c r="AJ164" s="13">
        <f>AI164*VLOOKUP('Données projet'!$B$10,Paramètres!$A$1:$I$89,3,0)*VLOOKUP('Données projet'!$B$10,Paramètres!$A$1:$I$89,5,0)</f>
        <v>1.5961632016114892E-13</v>
      </c>
      <c r="AK164" s="13">
        <f t="shared" si="164"/>
        <v>2.2708641912150958E-12</v>
      </c>
      <c r="AL164" s="20">
        <f t="shared" si="165"/>
        <v>4.2330868906469593E-12</v>
      </c>
      <c r="AM164" s="59">
        <f t="shared" si="113"/>
        <v>293.33333333333752</v>
      </c>
      <c r="AN164" s="59">
        <f ca="1">AVERAGE(OFFSET($AM$3,0,0,'Données projet'!$E$10+1,1))-AVERAGE(OFFSET($H$3,0,0,'Données projet'!$E$10+1,1))</f>
        <v>158.58786357608489</v>
      </c>
      <c r="AO164" s="59">
        <f t="shared" si="144"/>
        <v>163.20074068819849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0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-1.7053025658242404E-13</v>
      </c>
      <c r="BE164" s="13">
        <f>BD164*VLOOKUP('Données projet'!$B$11,Paramètres!$A$1:$I$89,3,0)*VLOOKUP('Données projet'!$B$11,Paramètres!$A$1:$I$89,5,0)</f>
        <v>-1.0197709343628959E-13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243.85350804244348</v>
      </c>
      <c r="BJ164" s="59">
        <f t="shared" si="146"/>
        <v>304.60992308960545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0.33805437196333793</v>
      </c>
      <c r="BQ164" s="21">
        <f>EXP(-LN(2)/25)*BQ163+(1-EXP(-LN(2)/25))/(LN(2)/25)*Calculateur!BL164*Calculateur!BN164*VLOOKUP('Données projet'!$B$11,Paramètres!$A$1:$I$89,3,0)*0.475*44/12</f>
        <v>0.46912073780380725</v>
      </c>
      <c r="BR164" s="21">
        <f>EXP(-LN(2)/2)*BR163+(1-EXP(-LN(2)/2))/(LN(2)/2)*BL164*BO164*VLOOKUP('Données projet'!$B$11,Paramètres!$A$1:$I$89,3,0)*0.475*44/12</f>
        <v>7.1647476554210616E-20</v>
      </c>
      <c r="BS164" s="22">
        <f t="shared" si="169"/>
        <v>0.80717510976714513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497</v>
      </c>
      <c r="BZ164" s="13">
        <f>BY164*VLOOKUP('Données projet'!$B$12,Paramètres!$A$1:$I$89,3,0)*VLOOKUP('Données projet'!$B$12,Paramètres!$A$1:$I$89,5,0)</f>
        <v>297.20600000000002</v>
      </c>
      <c r="CA164" s="13">
        <f t="shared" si="170"/>
        <v>70.590415164571112</v>
      </c>
      <c r="CB164" s="20">
        <f t="shared" si="171"/>
        <v>640.57875641162809</v>
      </c>
      <c r="CC164" s="59">
        <f t="shared" si="119"/>
        <v>933.91208974496135</v>
      </c>
      <c r="CD164" s="59">
        <f ca="1">AVERAGE(OFFSET($CC$3,0,0,'Données projet'!$E$12+1,1))-AVERAGE(OFFSET($H$3,0,0,'Données projet'!$E$12+1,1))</f>
        <v>270.30888762640245</v>
      </c>
      <c r="CE164" s="59">
        <f t="shared" si="148"/>
        <v>202.23783851977691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0.15998565183357183</v>
      </c>
      <c r="CL164" s="21">
        <f>EXP(-LN(2)/25)*CL163+(1-EXP(-LN(2)/25))/(LN(2)/25)*Calculateur!CG164*Calculateur!CI164*VLOOKUP('Données projet'!$B$12,Paramètres!$A$1:$I$89,3,0)*0.475*44/12</f>
        <v>0.32534093388644653</v>
      </c>
      <c r="CM164" s="21">
        <f>EXP(-LN(2)/2)*CM163+(1-EXP(-LN(2)/2))/(LN(2)/2)*CG164*CJ164*VLOOKUP('Données projet'!$B$12,Paramètres!$A$1:$I$89,3,0)*0.475*44/12</f>
        <v>3.5443243753656895E-19</v>
      </c>
      <c r="CN164" s="22">
        <f t="shared" si="172"/>
        <v>0.48532658572001836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-5.1159076974727213E-13</v>
      </c>
      <c r="CU164" s="17">
        <f>CT164*VLOOKUP('Données projet'!$B$13,Paramètres!$A$1:$I$89,3,0)*VLOOKUP('Données projet'!$B$13,Paramètres!$A$1:$I$89,5,0)</f>
        <v>-4.0702161641092972E-13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260.20517190557814</v>
      </c>
      <c r="CZ164" s="59">
        <f t="shared" si="150"/>
        <v>307.22009971147133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0.24372693384404312</v>
      </c>
      <c r="DG164" s="21">
        <f>EXP(-LN(2)/25)*DG163+(1-EXP(-LN(2)/25))/(LN(2)/25)*Calculateur!DB164*Calculateur!DD164*VLOOKUP('Données projet'!$B$13,Paramètres!$A$1:$I$89,3,0)*0.475*44/12</f>
        <v>0.54296491933634994</v>
      </c>
      <c r="DH164" s="21">
        <f>EXP(-LN(2)/2)*DH163+(1-EXP(-LN(2)/2))/(LN(2)/2)*DB164*DE164*VLOOKUP('Données projet'!$B$13,Paramètres!$A$1:$I$89,3,0)*0.475*44/12</f>
        <v>4.6073616203973599E-19</v>
      </c>
      <c r="DI164" s="22">
        <f t="shared" si="175"/>
        <v>0.78669185318039303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4.5474735088646412E-13</v>
      </c>
      <c r="DP164" s="17">
        <f>DO164*VLOOKUP('Données projet'!$B$14,Paramètres!$A$1:$I$89,3,0)*VLOOKUP('Données projet'!$B$14,Paramètres!$A$1:$I$89,5,0)</f>
        <v>4.6111381379887462E-13</v>
      </c>
      <c r="DQ164" s="13">
        <f t="shared" si="176"/>
        <v>5.7981965206434308E-12</v>
      </c>
      <c r="DR164" s="20">
        <f t="shared" si="177"/>
        <v>1.0901632165820347E-11</v>
      </c>
      <c r="DS164" s="59">
        <f t="shared" si="125"/>
        <v>293.33333333334423</v>
      </c>
      <c r="DT164" s="59">
        <f ca="1">AVERAGE(OFFSET($DS$3,0,0,'Données projet'!$E$14+1,1))-AVERAGE(OFFSET($H$3,0,0,'Données projet'!$E$14+1,1))</f>
        <v>263.15518481854753</v>
      </c>
      <c r="DU164" s="59">
        <f t="shared" si="152"/>
        <v>210.80755370263819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0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-5.1159076974727213E-13</v>
      </c>
      <c r="EK164" s="17">
        <f>EJ164*VLOOKUP('Données projet'!$B$15,Paramètres!$A$1:$I$89,3,0)*VLOOKUP('Données projet'!$B$15,Paramètres!$A$1:$I$89,5,0)</f>
        <v>-3.4317508834647017E-13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207.93042467236967</v>
      </c>
      <c r="EP164" s="59">
        <f t="shared" si="154"/>
        <v>250.70954318710835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0.20549525794693807</v>
      </c>
      <c r="EW164" s="21">
        <f>EXP(-LN(2)/25)*EW163+(1-EXP(-LN(2)/25))/(LN(2)/25)*Calculateur!ER164*Calculateur!ET164*VLOOKUP('Données projet'!$B$15,Paramètres!$A$1:$I$89,3,0)*0.475*44/12</f>
        <v>0.4577939515973154</v>
      </c>
      <c r="EX164" s="21">
        <f>EXP(-LN(2)/2)*EX163+(1-EXP(-LN(2)/2))/(LN(2)/2)*ER164*EU164*VLOOKUP('Données projet'!$B$15,Paramètres!$A$1:$I$89,3,0)*0.475*44/12</f>
        <v>3.8846382289624797E-19</v>
      </c>
      <c r="EY164" s="22">
        <f t="shared" si="181"/>
        <v>0.66328920954425352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4.5474735088646412E-13</v>
      </c>
      <c r="FF164" s="17">
        <f>FE164*VLOOKUP('Données projet'!$B$16,Paramètres!$A$1:$I$89,3,0)*VLOOKUP('Données projet'!$B$16,Paramètres!$A$1:$I$89,5,0)</f>
        <v>4.8949004849418999E-13</v>
      </c>
      <c r="FG164" s="13">
        <f t="shared" si="182"/>
        <v>6.1123715499968684E-12</v>
      </c>
      <c r="FH164" s="20">
        <f t="shared" si="183"/>
        <v>1.1498242284038591E-11</v>
      </c>
      <c r="FI164" s="59">
        <f t="shared" si="131"/>
        <v>293.3333333333448</v>
      </c>
      <c r="FJ164" s="59">
        <f ca="1">AVERAGE(OFFSET($FI$3,0,0,'Données projet'!$E$16+1,1))-AVERAGE(OFFSET($H$3,0,0,'Données projet'!$E$16+1,1))</f>
        <v>286.77702855541287</v>
      </c>
      <c r="FK164" s="59">
        <f t="shared" si="156"/>
        <v>227.12211541860779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0</v>
      </c>
      <c r="FR164" s="21">
        <f>EXP(-LN(2)/25)*FR163+(1-EXP(-LN(2)/25))/(LN(2)/25)*Calculateur!FM164*Calculateur!FO164*VLOOKUP('Données projet'!$B$16,Paramètres!$A$1:$I$89,3,0)*0.475*44/12</f>
        <v>0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0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5.6843418860808015E-13</v>
      </c>
      <c r="GA164" s="17">
        <f>FZ164*VLOOKUP('Données projet'!$B$17,Paramètres!$A$1:$I$89,3,0)*VLOOKUP('Données projet'!$B$17,Paramètres!$A$1:$I$89,5,0)</f>
        <v>2.6602720026858149E-13</v>
      </c>
      <c r="GB164" s="13">
        <f t="shared" si="185"/>
        <v>3.5662905043956649E-12</v>
      </c>
      <c r="GC164" s="20">
        <f t="shared" si="186"/>
        <v>6.6746200022902298E-12</v>
      </c>
      <c r="GD164" s="59">
        <f t="shared" si="134"/>
        <v>293.33333333333997</v>
      </c>
      <c r="GE164" s="59">
        <f ca="1">AVERAGE(OFFSET($GD$3,0,0,'Données projet'!$E$17+1,1))-AVERAGE(OFFSET($H$3,0,0,'Données projet'!$E$17+1,1))</f>
        <v>123.2823358462245</v>
      </c>
      <c r="GF164" s="59">
        <f t="shared" si="158"/>
        <v>92.75115399786057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0</v>
      </c>
      <c r="GM164" s="21">
        <f>EXP(-LN(2)/25)*GM163+(1-EXP(-LN(2)/25))/(LN(2)/25)*Calculateur!GH164*Calculateur!GJ164*VLOOKUP('Données projet'!$B$17,Paramètres!$A$1:$I$89,3,0)*0.475*44/12</f>
        <v>0</v>
      </c>
      <c r="GN164" s="21">
        <f>EXP(-LN(2)/2)*GN163+(1-EXP(-LN(2)/2))/(LN(2)/2)*GH164*GK164*VLOOKUP('Données projet'!$B$17,Paramètres!$A$1:$I$89,3,0)*0.475*44/12</f>
        <v>0</v>
      </c>
      <c r="GO164" s="21">
        <f t="shared" si="187"/>
        <v>0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-2.8421709430404007E-13</v>
      </c>
      <c r="GV164" s="17">
        <f>GU164*VLOOKUP('Données projet'!$B$18,Paramètres!$A$1:$I$89,3,0)*VLOOKUP('Données projet'!$B$18,Paramètres!$A$1:$I$89,5,0)</f>
        <v>-1.69961822393816E-13</v>
      </c>
      <c r="GW164" s="13" t="e">
        <f t="shared" si="188"/>
        <v>#NUM!</v>
      </c>
      <c r="GX164" s="20" t="e">
        <f t="shared" si="189"/>
        <v>#NUM!</v>
      </c>
      <c r="GY164" s="59" t="e">
        <f t="shared" si="137"/>
        <v>#NUM!</v>
      </c>
      <c r="GZ164" s="59">
        <f ca="1">AVERAGE(OFFSET($GY$3,0,0,'Données projet'!$E$18+1,1))-AVERAGE(OFFSET($H$3,0,0,'Données projet'!$E$18+1,1))</f>
        <v>171.96009656745713</v>
      </c>
      <c r="HA164" s="59">
        <f t="shared" si="160"/>
        <v>172.37574906747716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>
        <f>EXP(-LN(2)/35)*HG163+(1-EXP(-LN(2)/35))/(LN(2)/35)*HC164*HD164*VLOOKUP('Données projet'!$B$18,Paramètres!$A$1:$I$89,3,0)*0.475*44/12</f>
        <v>0.12459395860638224</v>
      </c>
      <c r="HH164" s="21">
        <f>EXP(-LN(2)/25)*HH163+(1-EXP(-LN(2)/25))/(LN(2)/25)*Calculateur!HC164*Calculateur!HE164*VLOOKUP('Données projet'!$B$18,Paramètres!$A$1:$I$89,3,0)*0.475*44/12</f>
        <v>0.54395370077371707</v>
      </c>
      <c r="HI164" s="21">
        <f>EXP(-LN(2)/2)*HI163+(1-EXP(-LN(2)/2))/(LN(2)/2)*HC164*HF164*VLOOKUP('Données projet'!$B$18,Paramètres!$A$1:$I$89,3,0)*0.475*44/12</f>
        <v>2.308492314331077E-19</v>
      </c>
      <c r="HJ164" s="22">
        <f t="shared" si="190"/>
        <v>0.6685476593800993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-2.2737367544323206E-13</v>
      </c>
      <c r="O165" s="13">
        <f>N165*VLOOKUP('Données projet'!$B$9,Paramètres!$A$1:$I$89,3,0)*VLOOKUP('Données projet'!$B$9,Paramètres!$A$1:$I$89,5,0)</f>
        <v>-1.2710188457276673E-13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255.5374979188561</v>
      </c>
      <c r="T165" s="59">
        <f t="shared" si="142"/>
        <v>343.10418468620901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0.22628256542108874</v>
      </c>
      <c r="AA165" s="21">
        <f>EXP(-LN(2)/25)*AA164+(1-EXP(-LN(2)/25))/(LN(2)/25)*Calculateur!V165*Calculateur!X165*VLOOKUP('Données projet'!$B$9,Paramètres!$A$1:$I$89,3,0)*0.475*44/12</f>
        <v>0.41077268915473536</v>
      </c>
      <c r="AB165" s="21">
        <f>EXP(-LN(2)/2)*AB164+(1-EXP(-LN(2)/2))/(LN(2)/2)*V165*Y165*VLOOKUP('Données projet'!$B$9,Paramètres!$A$1:$I$89,3,0)*0.475*44/12</f>
        <v>2.2939713272577563E-20</v>
      </c>
      <c r="AC165" s="22">
        <f t="shared" si="163"/>
        <v>0.63705525457582413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3.4106051316484809E-13</v>
      </c>
      <c r="AJ165" s="13">
        <f>AI165*VLOOKUP('Données projet'!$B$10,Paramètres!$A$1:$I$89,3,0)*VLOOKUP('Données projet'!$B$10,Paramètres!$A$1:$I$89,5,0)</f>
        <v>1.5961632016114892E-13</v>
      </c>
      <c r="AK165" s="13">
        <f t="shared" si="164"/>
        <v>2.2708641912150958E-12</v>
      </c>
      <c r="AL165" s="20">
        <f t="shared" si="165"/>
        <v>4.2330868906469593E-12</v>
      </c>
      <c r="AM165" s="59">
        <f t="shared" si="113"/>
        <v>293.33333333333752</v>
      </c>
      <c r="AN165" s="59">
        <f ca="1">AVERAGE(OFFSET($AM$3,0,0,'Données projet'!$E$10+1,1))-AVERAGE(OFFSET($H$3,0,0,'Données projet'!$E$10+1,1))</f>
        <v>158.58786357608489</v>
      </c>
      <c r="AO165" s="59">
        <f t="shared" si="144"/>
        <v>163.20074068819849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0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-1.7053025658242404E-13</v>
      </c>
      <c r="BE165" s="13">
        <f>BD165*VLOOKUP('Données projet'!$B$11,Paramètres!$A$1:$I$89,3,0)*VLOOKUP('Données projet'!$B$11,Paramètres!$A$1:$I$89,5,0)</f>
        <v>-1.0197709343628959E-13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243.85350804244348</v>
      </c>
      <c r="BJ165" s="59">
        <f t="shared" si="146"/>
        <v>304.60992308960545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0.3314253319219439</v>
      </c>
      <c r="BQ165" s="21">
        <f>EXP(-LN(2)/25)*BQ164+(1-EXP(-LN(2)/25))/(LN(2)/25)*Calculateur!BL165*Calculateur!BN165*VLOOKUP('Données projet'!$B$11,Paramètres!$A$1:$I$89,3,0)*0.475*44/12</f>
        <v>0.45629260655857473</v>
      </c>
      <c r="BR165" s="21">
        <f>EXP(-LN(2)/2)*BR164+(1-EXP(-LN(2)/2))/(LN(2)/2)*BL165*BO165*VLOOKUP('Données projet'!$B$11,Paramètres!$A$1:$I$89,3,0)*0.475*44/12</f>
        <v>5.0662416526386501E-20</v>
      </c>
      <c r="BS165" s="22">
        <f t="shared" si="169"/>
        <v>0.78771793848051863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497</v>
      </c>
      <c r="BZ165" s="13">
        <f>BY165*VLOOKUP('Données projet'!$B$12,Paramètres!$A$1:$I$89,3,0)*VLOOKUP('Données projet'!$B$12,Paramètres!$A$1:$I$89,5,0)</f>
        <v>297.20600000000002</v>
      </c>
      <c r="CA165" s="13">
        <f t="shared" si="170"/>
        <v>70.590415164571112</v>
      </c>
      <c r="CB165" s="20">
        <f t="shared" si="171"/>
        <v>640.57875641162809</v>
      </c>
      <c r="CC165" s="59">
        <f t="shared" si="119"/>
        <v>933.91208974496135</v>
      </c>
      <c r="CD165" s="59">
        <f ca="1">AVERAGE(OFFSET($CC$3,0,0,'Données projet'!$E$12+1,1))-AVERAGE(OFFSET($H$3,0,0,'Données projet'!$E$12+1,1))</f>
        <v>270.30888762640245</v>
      </c>
      <c r="CE165" s="59">
        <f t="shared" si="148"/>
        <v>202.23783851977691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0.15684843078272773</v>
      </c>
      <c r="CL165" s="21">
        <f>EXP(-LN(2)/25)*CL164+(1-EXP(-LN(2)/25))/(LN(2)/25)*Calculateur!CG165*Calculateur!CI165*VLOOKUP('Données projet'!$B$12,Paramètres!$A$1:$I$89,3,0)*0.475*44/12</f>
        <v>0.31644446894038553</v>
      </c>
      <c r="CM165" s="21">
        <f>EXP(-LN(2)/2)*CM164+(1-EXP(-LN(2)/2))/(LN(2)/2)*CG165*CJ165*VLOOKUP('Données projet'!$B$12,Paramètres!$A$1:$I$89,3,0)*0.475*44/12</f>
        <v>2.5062158005458534E-19</v>
      </c>
      <c r="CN165" s="22">
        <f t="shared" si="172"/>
        <v>0.47329289972311328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-5.1159076974727213E-13</v>
      </c>
      <c r="CU165" s="17">
        <f>CT165*VLOOKUP('Données projet'!$B$13,Paramètres!$A$1:$I$89,3,0)*VLOOKUP('Données projet'!$B$13,Paramètres!$A$1:$I$89,5,0)</f>
        <v>-4.0702161641092972E-13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260.20517190557814</v>
      </c>
      <c r="CZ165" s="59">
        <f t="shared" si="150"/>
        <v>307.22009971147133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0.23894759733011225</v>
      </c>
      <c r="DG165" s="21">
        <f>EXP(-LN(2)/25)*DG164+(1-EXP(-LN(2)/25))/(LN(2)/25)*Calculateur!DB165*Calculateur!DD165*VLOOKUP('Données projet'!$B$13,Paramètres!$A$1:$I$89,3,0)*0.475*44/12</f>
        <v>0.52811751506381333</v>
      </c>
      <c r="DH165" s="21">
        <f>EXP(-LN(2)/2)*DH164+(1-EXP(-LN(2)/2))/(LN(2)/2)*DB165*DE165*VLOOKUP('Données projet'!$B$13,Paramètres!$A$1:$I$89,3,0)*0.475*44/12</f>
        <v>3.2578966451616131E-19</v>
      </c>
      <c r="DI165" s="22">
        <f t="shared" si="175"/>
        <v>0.76706511239392561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4.5474735088646412E-13</v>
      </c>
      <c r="DP165" s="17">
        <f>DO165*VLOOKUP('Données projet'!$B$14,Paramètres!$A$1:$I$89,3,0)*VLOOKUP('Données projet'!$B$14,Paramètres!$A$1:$I$89,5,0)</f>
        <v>4.6111381379887462E-13</v>
      </c>
      <c r="DQ165" s="13">
        <f t="shared" si="176"/>
        <v>5.7981965206434308E-12</v>
      </c>
      <c r="DR165" s="20">
        <f t="shared" si="177"/>
        <v>1.0901632165820347E-11</v>
      </c>
      <c r="DS165" s="59">
        <f t="shared" si="125"/>
        <v>293.33333333334423</v>
      </c>
      <c r="DT165" s="59">
        <f ca="1">AVERAGE(OFFSET($DS$3,0,0,'Données projet'!$E$14+1,1))-AVERAGE(OFFSET($H$3,0,0,'Données projet'!$E$14+1,1))</f>
        <v>263.15518481854753</v>
      </c>
      <c r="DU165" s="59">
        <f t="shared" si="152"/>
        <v>210.80755370263819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0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-5.1159076974727213E-13</v>
      </c>
      <c r="EK165" s="17">
        <f>EJ165*VLOOKUP('Données projet'!$B$15,Paramètres!$A$1:$I$89,3,0)*VLOOKUP('Données projet'!$B$15,Paramètres!$A$1:$I$89,5,0)</f>
        <v>-3.4317508834647017E-13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207.93042467236967</v>
      </c>
      <c r="EP165" s="59">
        <f t="shared" si="154"/>
        <v>250.70954318710835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0.2014656212783297</v>
      </c>
      <c r="EW165" s="21">
        <f>EXP(-LN(2)/25)*EW164+(1-EXP(-LN(2)/25))/(LN(2)/25)*Calculateur!ER165*Calculateur!ET165*VLOOKUP('Données projet'!$B$15,Paramètres!$A$1:$I$89,3,0)*0.475*44/12</f>
        <v>0.44527555191654922</v>
      </c>
      <c r="EX165" s="21">
        <f>EXP(-LN(2)/2)*EX164+(1-EXP(-LN(2)/2))/(LN(2)/2)*ER165*EU165*VLOOKUP('Données projet'!$B$15,Paramètres!$A$1:$I$89,3,0)*0.475*44/12</f>
        <v>2.7468540341558696E-19</v>
      </c>
      <c r="EY165" s="22">
        <f t="shared" si="181"/>
        <v>0.64674117319487889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4.5474735088646412E-13</v>
      </c>
      <c r="FF165" s="17">
        <f>FE165*VLOOKUP('Données projet'!$B$16,Paramètres!$A$1:$I$89,3,0)*VLOOKUP('Données projet'!$B$16,Paramètres!$A$1:$I$89,5,0)</f>
        <v>4.8949004849418999E-13</v>
      </c>
      <c r="FG165" s="13">
        <f t="shared" si="182"/>
        <v>6.1123715499968684E-12</v>
      </c>
      <c r="FH165" s="20">
        <f t="shared" si="183"/>
        <v>1.1498242284038591E-11</v>
      </c>
      <c r="FI165" s="59">
        <f t="shared" si="131"/>
        <v>293.3333333333448</v>
      </c>
      <c r="FJ165" s="59">
        <f ca="1">AVERAGE(OFFSET($FI$3,0,0,'Données projet'!$E$16+1,1))-AVERAGE(OFFSET($H$3,0,0,'Données projet'!$E$16+1,1))</f>
        <v>286.77702855541287</v>
      </c>
      <c r="FK165" s="59">
        <f t="shared" si="156"/>
        <v>227.12211541860779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0</v>
      </c>
      <c r="FR165" s="21">
        <f>EXP(-LN(2)/25)*FR164+(1-EXP(-LN(2)/25))/(LN(2)/25)*Calculateur!FM165*Calculateur!FO165*VLOOKUP('Données projet'!$B$16,Paramètres!$A$1:$I$89,3,0)*0.475*44/12</f>
        <v>0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0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5.6843418860808015E-13</v>
      </c>
      <c r="GA165" s="17">
        <f>FZ165*VLOOKUP('Données projet'!$B$17,Paramètres!$A$1:$I$89,3,0)*VLOOKUP('Données projet'!$B$17,Paramètres!$A$1:$I$89,5,0)</f>
        <v>2.6602720026858149E-13</v>
      </c>
      <c r="GB165" s="13">
        <f t="shared" si="185"/>
        <v>3.5662905043956649E-12</v>
      </c>
      <c r="GC165" s="20">
        <f t="shared" si="186"/>
        <v>6.6746200022902298E-12</v>
      </c>
      <c r="GD165" s="59">
        <f t="shared" si="134"/>
        <v>293.33333333333997</v>
      </c>
      <c r="GE165" s="59">
        <f ca="1">AVERAGE(OFFSET($GD$3,0,0,'Données projet'!$E$17+1,1))-AVERAGE(OFFSET($H$3,0,0,'Données projet'!$E$17+1,1))</f>
        <v>123.2823358462245</v>
      </c>
      <c r="GF165" s="59">
        <f t="shared" si="158"/>
        <v>92.75115399786057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0</v>
      </c>
      <c r="GM165" s="21">
        <f>EXP(-LN(2)/25)*GM164+(1-EXP(-LN(2)/25))/(LN(2)/25)*Calculateur!GH165*Calculateur!GJ165*VLOOKUP('Données projet'!$B$17,Paramètres!$A$1:$I$89,3,0)*0.475*44/12</f>
        <v>0</v>
      </c>
      <c r="GN165" s="21">
        <f>EXP(-LN(2)/2)*GN164+(1-EXP(-LN(2)/2))/(LN(2)/2)*GH165*GK165*VLOOKUP('Données projet'!$B$17,Paramètres!$A$1:$I$89,3,0)*0.475*44/12</f>
        <v>0</v>
      </c>
      <c r="GO165" s="21">
        <f t="shared" si="187"/>
        <v>0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-2.8421709430404007E-13</v>
      </c>
      <c r="GV165" s="17">
        <f>GU165*VLOOKUP('Données projet'!$B$18,Paramètres!$A$1:$I$89,3,0)*VLOOKUP('Données projet'!$B$18,Paramètres!$A$1:$I$89,5,0)</f>
        <v>-1.69961822393816E-13</v>
      </c>
      <c r="GW165" s="13" t="e">
        <f t="shared" si="188"/>
        <v>#NUM!</v>
      </c>
      <c r="GX165" s="20" t="e">
        <f t="shared" si="189"/>
        <v>#NUM!</v>
      </c>
      <c r="GY165" s="59" t="e">
        <f t="shared" si="137"/>
        <v>#NUM!</v>
      </c>
      <c r="GZ165" s="59">
        <f ca="1">AVERAGE(OFFSET($GY$3,0,0,'Données projet'!$E$18+1,1))-AVERAGE(OFFSET($H$3,0,0,'Données projet'!$E$18+1,1))</f>
        <v>171.96009656745713</v>
      </c>
      <c r="HA165" s="59">
        <f t="shared" si="160"/>
        <v>172.37574906747716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>
        <f>EXP(-LN(2)/35)*HG164+(1-EXP(-LN(2)/35))/(LN(2)/35)*HC165*HD165*VLOOKUP('Données projet'!$B$18,Paramètres!$A$1:$I$89,3,0)*0.475*44/12</f>
        <v>0.12215074707292196</v>
      </c>
      <c r="HH165" s="21">
        <f>EXP(-LN(2)/25)*HH164+(1-EXP(-LN(2)/25))/(LN(2)/25)*Calculateur!HC165*Calculateur!HE165*VLOOKUP('Données projet'!$B$18,Paramètres!$A$1:$I$89,3,0)*0.475*44/12</f>
        <v>0.52907925822077784</v>
      </c>
      <c r="HI165" s="21">
        <f>EXP(-LN(2)/2)*HI164+(1-EXP(-LN(2)/2))/(LN(2)/2)*HC165*HF165*VLOOKUP('Données projet'!$B$18,Paramètres!$A$1:$I$89,3,0)*0.475*44/12</f>
        <v>1.6323505697805316E-19</v>
      </c>
      <c r="HJ165" s="22">
        <f t="shared" si="190"/>
        <v>0.65123000529369979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-2.2737367544323206E-13</v>
      </c>
      <c r="O166" s="13">
        <f>N166*VLOOKUP('Données projet'!$B$9,Paramètres!$A$1:$I$89,3,0)*VLOOKUP('Données projet'!$B$9,Paramètres!$A$1:$I$89,5,0)</f>
        <v>-1.2710188457276673E-13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255.5374979188561</v>
      </c>
      <c r="T166" s="59">
        <f t="shared" si="142"/>
        <v>343.10418468620901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0.22184530233191788</v>
      </c>
      <c r="AA166" s="21">
        <f>EXP(-LN(2)/25)*AA165+(1-EXP(-LN(2)/25))/(LN(2)/25)*Calculateur!V166*Calculateur!X166*VLOOKUP('Données projet'!$B$9,Paramètres!$A$1:$I$89,3,0)*0.475*44/12</f>
        <v>0.39954008836820221</v>
      </c>
      <c r="AB166" s="21">
        <f>EXP(-LN(2)/2)*AB165+(1-EXP(-LN(2)/2))/(LN(2)/2)*V166*Y166*VLOOKUP('Données projet'!$B$9,Paramètres!$A$1:$I$89,3,0)*0.475*44/12</f>
        <v>1.6220826813514643E-20</v>
      </c>
      <c r="AC166" s="22">
        <f t="shared" si="163"/>
        <v>0.62138539070012011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3.4106051316484809E-13</v>
      </c>
      <c r="AJ166" s="13">
        <f>AI166*VLOOKUP('Données projet'!$B$10,Paramètres!$A$1:$I$89,3,0)*VLOOKUP('Données projet'!$B$10,Paramètres!$A$1:$I$89,5,0)</f>
        <v>1.5961632016114892E-13</v>
      </c>
      <c r="AK166" s="13">
        <f t="shared" si="164"/>
        <v>2.2708641912150958E-12</v>
      </c>
      <c r="AL166" s="20">
        <f t="shared" si="165"/>
        <v>4.2330868906469593E-12</v>
      </c>
      <c r="AM166" s="59">
        <f t="shared" si="113"/>
        <v>293.33333333333752</v>
      </c>
      <c r="AN166" s="59">
        <f ca="1">AVERAGE(OFFSET($AM$3,0,0,'Données projet'!$E$10+1,1))-AVERAGE(OFFSET($H$3,0,0,'Données projet'!$E$10+1,1))</f>
        <v>158.58786357608489</v>
      </c>
      <c r="AO166" s="59">
        <f t="shared" si="144"/>
        <v>163.20074068819849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0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-1.7053025658242404E-13</v>
      </c>
      <c r="BE166" s="13">
        <f>BD166*VLOOKUP('Données projet'!$B$11,Paramètres!$A$1:$I$89,3,0)*VLOOKUP('Données projet'!$B$11,Paramètres!$A$1:$I$89,5,0)</f>
        <v>-1.0197709343628959E-13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243.85350804244348</v>
      </c>
      <c r="BJ166" s="59">
        <f t="shared" si="146"/>
        <v>304.60992308960545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0.32492628331244644</v>
      </c>
      <c r="BQ166" s="21">
        <f>EXP(-LN(2)/25)*BQ165+(1-EXP(-LN(2)/25))/(LN(2)/25)*Calculateur!BL166*Calculateur!BN166*VLOOKUP('Données projet'!$B$11,Paramètres!$A$1:$I$89,3,0)*0.475*44/12</f>
        <v>0.44381526123684517</v>
      </c>
      <c r="BR166" s="21">
        <f>EXP(-LN(2)/2)*BR165+(1-EXP(-LN(2)/2))/(LN(2)/2)*BL166*BO166*VLOOKUP('Données projet'!$B$11,Paramètres!$A$1:$I$89,3,0)*0.475*44/12</f>
        <v>3.5823738277105308E-20</v>
      </c>
      <c r="BS166" s="22">
        <f t="shared" si="169"/>
        <v>0.76874154454929156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497</v>
      </c>
      <c r="BZ166" s="13">
        <f>BY166*VLOOKUP('Données projet'!$B$12,Paramètres!$A$1:$I$89,3,0)*VLOOKUP('Données projet'!$B$12,Paramètres!$A$1:$I$89,5,0)</f>
        <v>297.20600000000002</v>
      </c>
      <c r="CA166" s="13">
        <f t="shared" si="170"/>
        <v>70.590415164571112</v>
      </c>
      <c r="CB166" s="20">
        <f t="shared" si="171"/>
        <v>640.57875641162809</v>
      </c>
      <c r="CC166" s="59">
        <f t="shared" si="119"/>
        <v>933.91208974496135</v>
      </c>
      <c r="CD166" s="59">
        <f ca="1">AVERAGE(OFFSET($CC$3,0,0,'Données projet'!$E$12+1,1))-AVERAGE(OFFSET($H$3,0,0,'Données projet'!$E$12+1,1))</f>
        <v>270.30888762640245</v>
      </c>
      <c r="CE166" s="59">
        <f t="shared" si="148"/>
        <v>202.23783851977691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0.15377272872317477</v>
      </c>
      <c r="CL166" s="21">
        <f>EXP(-LN(2)/25)*CL165+(1-EXP(-LN(2)/25))/(LN(2)/25)*Calculateur!CG166*Calculateur!CI166*VLOOKUP('Données projet'!$B$12,Paramètres!$A$1:$I$89,3,0)*0.475*44/12</f>
        <v>0.3077912782961193</v>
      </c>
      <c r="CM166" s="21">
        <f>EXP(-LN(2)/2)*CM165+(1-EXP(-LN(2)/2))/(LN(2)/2)*CG166*CJ166*VLOOKUP('Données projet'!$B$12,Paramètres!$A$1:$I$89,3,0)*0.475*44/12</f>
        <v>1.7721621876828448E-19</v>
      </c>
      <c r="CN166" s="22">
        <f t="shared" si="172"/>
        <v>0.46156400701929406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-5.1159076974727213E-13</v>
      </c>
      <c r="CU166" s="17">
        <f>CT166*VLOOKUP('Données projet'!$B$13,Paramètres!$A$1:$I$89,3,0)*VLOOKUP('Données projet'!$B$13,Paramètres!$A$1:$I$89,5,0)</f>
        <v>-4.0702161641092972E-13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260.20517190557814</v>
      </c>
      <c r="CZ166" s="59">
        <f t="shared" si="150"/>
        <v>307.22009971147133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0.23426198069011214</v>
      </c>
      <c r="DG166" s="21">
        <f>EXP(-LN(2)/25)*DG165+(1-EXP(-LN(2)/25))/(LN(2)/25)*Calculateur!DB166*Calculateur!DD166*VLOOKUP('Données projet'!$B$13,Paramètres!$A$1:$I$89,3,0)*0.475*44/12</f>
        <v>0.51367611384190026</v>
      </c>
      <c r="DH166" s="21">
        <f>EXP(-LN(2)/2)*DH165+(1-EXP(-LN(2)/2))/(LN(2)/2)*DB166*DE166*VLOOKUP('Données projet'!$B$13,Paramètres!$A$1:$I$89,3,0)*0.475*44/12</f>
        <v>2.30368081019868E-19</v>
      </c>
      <c r="DI166" s="22">
        <f t="shared" si="175"/>
        <v>0.74793809453201243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4.5474735088646412E-13</v>
      </c>
      <c r="DP166" s="17">
        <f>DO166*VLOOKUP('Données projet'!$B$14,Paramètres!$A$1:$I$89,3,0)*VLOOKUP('Données projet'!$B$14,Paramètres!$A$1:$I$89,5,0)</f>
        <v>4.6111381379887462E-13</v>
      </c>
      <c r="DQ166" s="13">
        <f t="shared" si="176"/>
        <v>5.7981965206434308E-12</v>
      </c>
      <c r="DR166" s="20">
        <f t="shared" si="177"/>
        <v>1.0901632165820347E-11</v>
      </c>
      <c r="DS166" s="59">
        <f t="shared" si="125"/>
        <v>293.33333333334423</v>
      </c>
      <c r="DT166" s="59">
        <f ca="1">AVERAGE(OFFSET($DS$3,0,0,'Données projet'!$E$14+1,1))-AVERAGE(OFFSET($H$3,0,0,'Données projet'!$E$14+1,1))</f>
        <v>263.15518481854753</v>
      </c>
      <c r="DU166" s="59">
        <f t="shared" si="152"/>
        <v>210.80755370263819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0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-5.1159076974727213E-13</v>
      </c>
      <c r="EK166" s="17">
        <f>EJ166*VLOOKUP('Données projet'!$B$15,Paramètres!$A$1:$I$89,3,0)*VLOOKUP('Données projet'!$B$15,Paramètres!$A$1:$I$89,5,0)</f>
        <v>-3.4317508834647017E-13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207.93042467236967</v>
      </c>
      <c r="EP166" s="59">
        <f t="shared" si="154"/>
        <v>250.70954318710835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0.19751500332695707</v>
      </c>
      <c r="EW166" s="21">
        <f>EXP(-LN(2)/25)*EW165+(1-EXP(-LN(2)/25))/(LN(2)/25)*Calculateur!ER166*Calculateur!ET166*VLOOKUP('Données projet'!$B$15,Paramètres!$A$1:$I$89,3,0)*0.475*44/12</f>
        <v>0.43309946853336762</v>
      </c>
      <c r="EX166" s="21">
        <f>EXP(-LN(2)/2)*EX165+(1-EXP(-LN(2)/2))/(LN(2)/2)*ER166*EU166*VLOOKUP('Données projet'!$B$15,Paramètres!$A$1:$I$89,3,0)*0.475*44/12</f>
        <v>1.9423191144812399E-19</v>
      </c>
      <c r="EY166" s="22">
        <f t="shared" si="181"/>
        <v>0.63061447186032471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4.5474735088646412E-13</v>
      </c>
      <c r="FF166" s="17">
        <f>FE166*VLOOKUP('Données projet'!$B$16,Paramètres!$A$1:$I$89,3,0)*VLOOKUP('Données projet'!$B$16,Paramètres!$A$1:$I$89,5,0)</f>
        <v>4.8949004849418999E-13</v>
      </c>
      <c r="FG166" s="13">
        <f t="shared" si="182"/>
        <v>6.1123715499968684E-12</v>
      </c>
      <c r="FH166" s="20">
        <f t="shared" si="183"/>
        <v>1.1498242284038591E-11</v>
      </c>
      <c r="FI166" s="59">
        <f t="shared" si="131"/>
        <v>293.3333333333448</v>
      </c>
      <c r="FJ166" s="59">
        <f ca="1">AVERAGE(OFFSET($FI$3,0,0,'Données projet'!$E$16+1,1))-AVERAGE(OFFSET($H$3,0,0,'Données projet'!$E$16+1,1))</f>
        <v>286.77702855541287</v>
      </c>
      <c r="FK166" s="59">
        <f t="shared" si="156"/>
        <v>227.12211541860779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0</v>
      </c>
      <c r="FR166" s="21">
        <f>EXP(-LN(2)/25)*FR165+(1-EXP(-LN(2)/25))/(LN(2)/25)*Calculateur!FM166*Calculateur!FO166*VLOOKUP('Données projet'!$B$16,Paramètres!$A$1:$I$89,3,0)*0.475*44/12</f>
        <v>0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0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5.6843418860808015E-13</v>
      </c>
      <c r="GA166" s="17">
        <f>FZ166*VLOOKUP('Données projet'!$B$17,Paramètres!$A$1:$I$89,3,0)*VLOOKUP('Données projet'!$B$17,Paramètres!$A$1:$I$89,5,0)</f>
        <v>2.6602720026858149E-13</v>
      </c>
      <c r="GB166" s="13">
        <f t="shared" si="185"/>
        <v>3.5662905043956649E-12</v>
      </c>
      <c r="GC166" s="20">
        <f t="shared" si="186"/>
        <v>6.6746200022902298E-12</v>
      </c>
      <c r="GD166" s="59">
        <f t="shared" si="134"/>
        <v>293.33333333333997</v>
      </c>
      <c r="GE166" s="59">
        <f ca="1">AVERAGE(OFFSET($GD$3,0,0,'Données projet'!$E$17+1,1))-AVERAGE(OFFSET($H$3,0,0,'Données projet'!$E$17+1,1))</f>
        <v>123.2823358462245</v>
      </c>
      <c r="GF166" s="59">
        <f t="shared" si="158"/>
        <v>92.75115399786057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0</v>
      </c>
      <c r="GM166" s="21">
        <f>EXP(-LN(2)/25)*GM165+(1-EXP(-LN(2)/25))/(LN(2)/25)*Calculateur!GH166*Calculateur!GJ166*VLOOKUP('Données projet'!$B$17,Paramètres!$A$1:$I$89,3,0)*0.475*44/12</f>
        <v>0</v>
      </c>
      <c r="GN166" s="21">
        <f>EXP(-LN(2)/2)*GN165+(1-EXP(-LN(2)/2))/(LN(2)/2)*GH166*GK166*VLOOKUP('Données projet'!$B$17,Paramètres!$A$1:$I$89,3,0)*0.475*44/12</f>
        <v>0</v>
      </c>
      <c r="GO166" s="21">
        <f t="shared" si="187"/>
        <v>0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-2.8421709430404007E-13</v>
      </c>
      <c r="GV166" s="17">
        <f>GU166*VLOOKUP('Données projet'!$B$18,Paramètres!$A$1:$I$89,3,0)*VLOOKUP('Données projet'!$B$18,Paramètres!$A$1:$I$89,5,0)</f>
        <v>-1.69961822393816E-13</v>
      </c>
      <c r="GW166" s="13" t="e">
        <f t="shared" si="188"/>
        <v>#NUM!</v>
      </c>
      <c r="GX166" s="20" t="e">
        <f t="shared" si="189"/>
        <v>#NUM!</v>
      </c>
      <c r="GY166" s="59" t="e">
        <f t="shared" si="137"/>
        <v>#NUM!</v>
      </c>
      <c r="GZ166" s="59">
        <f ca="1">AVERAGE(OFFSET($GY$3,0,0,'Données projet'!$E$18+1,1))-AVERAGE(OFFSET($H$3,0,0,'Données projet'!$E$18+1,1))</f>
        <v>171.96009656745713</v>
      </c>
      <c r="HA166" s="59">
        <f t="shared" si="160"/>
        <v>172.37574906747716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>
        <f>EXP(-LN(2)/35)*HG165+(1-EXP(-LN(2)/35))/(LN(2)/35)*HC166*HD166*VLOOKUP('Données projet'!$B$18,Paramètres!$A$1:$I$89,3,0)*0.475*44/12</f>
        <v>0.11975544542742096</v>
      </c>
      <c r="HH166" s="21">
        <f>EXP(-LN(2)/25)*HH165+(1-EXP(-LN(2)/25))/(LN(2)/25)*Calculateur!HC166*Calculateur!HE166*VLOOKUP('Données projet'!$B$18,Paramètres!$A$1:$I$89,3,0)*0.475*44/12</f>
        <v>0.5146115580816617</v>
      </c>
      <c r="HI166" s="21">
        <f>EXP(-LN(2)/2)*HI165+(1-EXP(-LN(2)/2))/(LN(2)/2)*HC166*HF166*VLOOKUP('Données projet'!$B$18,Paramètres!$A$1:$I$89,3,0)*0.475*44/12</f>
        <v>1.1542461571655385E-19</v>
      </c>
      <c r="HJ166" s="22">
        <f t="shared" si="190"/>
        <v>0.63436700350908271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-2.2737367544323206E-13</v>
      </c>
      <c r="O167" s="13">
        <f>N167*VLOOKUP('Données projet'!$B$9,Paramètres!$A$1:$I$89,3,0)*VLOOKUP('Données projet'!$B$9,Paramètres!$A$1:$I$89,5,0)</f>
        <v>-1.2710188457276673E-13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255.5374979188561</v>
      </c>
      <c r="T167" s="59">
        <f t="shared" si="142"/>
        <v>343.10418468620901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0.21749505126546242</v>
      </c>
      <c r="AA167" s="21">
        <f>EXP(-LN(2)/25)*AA166+(1-EXP(-LN(2)/25))/(LN(2)/25)*Calculateur!V167*Calculateur!X167*VLOOKUP('Données projet'!$B$9,Paramètres!$A$1:$I$89,3,0)*0.475*44/12</f>
        <v>0.38861464364087361</v>
      </c>
      <c r="AB167" s="21">
        <f>EXP(-LN(2)/2)*AB166+(1-EXP(-LN(2)/2))/(LN(2)/2)*V167*Y167*VLOOKUP('Données projet'!$B$9,Paramètres!$A$1:$I$89,3,0)*0.475*44/12</f>
        <v>1.1469856636288782E-20</v>
      </c>
      <c r="AC167" s="22">
        <f t="shared" si="163"/>
        <v>0.60610969490633604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3.4106051316484809E-13</v>
      </c>
      <c r="AJ167" s="13">
        <f>AI167*VLOOKUP('Données projet'!$B$10,Paramètres!$A$1:$I$89,3,0)*VLOOKUP('Données projet'!$B$10,Paramètres!$A$1:$I$89,5,0)</f>
        <v>1.5961632016114892E-13</v>
      </c>
      <c r="AK167" s="13">
        <f t="shared" si="164"/>
        <v>2.2708641912150958E-12</v>
      </c>
      <c r="AL167" s="20">
        <f t="shared" si="165"/>
        <v>4.2330868906469593E-12</v>
      </c>
      <c r="AM167" s="59">
        <f t="shared" si="113"/>
        <v>293.33333333333752</v>
      </c>
      <c r="AN167" s="59">
        <f ca="1">AVERAGE(OFFSET($AM$3,0,0,'Données projet'!$E$10+1,1))-AVERAGE(OFFSET($H$3,0,0,'Données projet'!$E$10+1,1))</f>
        <v>158.58786357608489</v>
      </c>
      <c r="AO167" s="59">
        <f t="shared" si="144"/>
        <v>163.20074068819849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0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-1.7053025658242404E-13</v>
      </c>
      <c r="BE167" s="13">
        <f>BD167*VLOOKUP('Données projet'!$B$11,Paramètres!$A$1:$I$89,3,0)*VLOOKUP('Données projet'!$B$11,Paramètres!$A$1:$I$89,5,0)</f>
        <v>-1.0197709343628959E-13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243.85350804244348</v>
      </c>
      <c r="BJ167" s="59">
        <f t="shared" si="146"/>
        <v>304.60992308960545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0.31855467708215301</v>
      </c>
      <c r="BQ167" s="21">
        <f>EXP(-LN(2)/25)*BQ166+(1-EXP(-LN(2)/25))/(LN(2)/25)*Calculateur!BL167*Calculateur!BN167*VLOOKUP('Données projet'!$B$11,Paramètres!$A$1:$I$89,3,0)*0.475*44/12</f>
        <v>0.43167910957909339</v>
      </c>
      <c r="BR167" s="21">
        <f>EXP(-LN(2)/2)*BR166+(1-EXP(-LN(2)/2))/(LN(2)/2)*BL167*BO167*VLOOKUP('Données projet'!$B$11,Paramètres!$A$1:$I$89,3,0)*0.475*44/12</f>
        <v>2.533120826319325E-20</v>
      </c>
      <c r="BS167" s="22">
        <f t="shared" si="169"/>
        <v>0.7502337866612464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497</v>
      </c>
      <c r="BZ167" s="13">
        <f>BY167*VLOOKUP('Données projet'!$B$12,Paramètres!$A$1:$I$89,3,0)*VLOOKUP('Données projet'!$B$12,Paramètres!$A$1:$I$89,5,0)</f>
        <v>297.20600000000002</v>
      </c>
      <c r="CA167" s="13">
        <f t="shared" si="170"/>
        <v>70.590415164571112</v>
      </c>
      <c r="CB167" s="20">
        <f t="shared" si="171"/>
        <v>640.57875641162809</v>
      </c>
      <c r="CC167" s="59">
        <f t="shared" si="119"/>
        <v>933.91208974496135</v>
      </c>
      <c r="CD167" s="59">
        <f ca="1">AVERAGE(OFFSET($CC$3,0,0,'Données projet'!$E$12+1,1))-AVERAGE(OFFSET($H$3,0,0,'Données projet'!$E$12+1,1))</f>
        <v>270.30888762640245</v>
      </c>
      <c r="CE167" s="59">
        <f t="shared" si="148"/>
        <v>202.23783851977691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0.15075733930501664</v>
      </c>
      <c r="CL167" s="21">
        <f>EXP(-LN(2)/25)*CL166+(1-EXP(-LN(2)/25))/(LN(2)/25)*Calculateur!CG167*Calculateur!CI167*VLOOKUP('Données projet'!$B$12,Paramètres!$A$1:$I$89,3,0)*0.475*44/12</f>
        <v>0.29937470960507206</v>
      </c>
      <c r="CM167" s="21">
        <f>EXP(-LN(2)/2)*CM166+(1-EXP(-LN(2)/2))/(LN(2)/2)*CG167*CJ167*VLOOKUP('Données projet'!$B$12,Paramètres!$A$1:$I$89,3,0)*0.475*44/12</f>
        <v>1.2531079002729267E-19</v>
      </c>
      <c r="CN167" s="22">
        <f t="shared" si="172"/>
        <v>0.45013204891008873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-5.1159076974727213E-13</v>
      </c>
      <c r="CU167" s="17">
        <f>CT167*VLOOKUP('Données projet'!$B$13,Paramètres!$A$1:$I$89,3,0)*VLOOKUP('Données projet'!$B$13,Paramètres!$A$1:$I$89,5,0)</f>
        <v>-4.0702161641092972E-13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260.20517190557814</v>
      </c>
      <c r="CZ167" s="59">
        <f t="shared" si="150"/>
        <v>307.22009971147133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0.22966824613447848</v>
      </c>
      <c r="DG167" s="21">
        <f>EXP(-LN(2)/25)*DG166+(1-EXP(-LN(2)/25))/(LN(2)/25)*Calculateur!DB167*Calculateur!DD167*VLOOKUP('Données projet'!$B$13,Paramètres!$A$1:$I$89,3,0)*0.475*44/12</f>
        <v>0.49962961349584067</v>
      </c>
      <c r="DH167" s="21">
        <f>EXP(-LN(2)/2)*DH166+(1-EXP(-LN(2)/2))/(LN(2)/2)*DB167*DE167*VLOOKUP('Données projet'!$B$13,Paramètres!$A$1:$I$89,3,0)*0.475*44/12</f>
        <v>1.6289483225808065E-19</v>
      </c>
      <c r="DI167" s="22">
        <f t="shared" si="175"/>
        <v>0.72929785963031912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4.5474735088646412E-13</v>
      </c>
      <c r="DP167" s="17">
        <f>DO167*VLOOKUP('Données projet'!$B$14,Paramètres!$A$1:$I$89,3,0)*VLOOKUP('Données projet'!$B$14,Paramètres!$A$1:$I$89,5,0)</f>
        <v>4.6111381379887462E-13</v>
      </c>
      <c r="DQ167" s="13">
        <f t="shared" si="176"/>
        <v>5.7981965206434308E-12</v>
      </c>
      <c r="DR167" s="20">
        <f t="shared" si="177"/>
        <v>1.0901632165820347E-11</v>
      </c>
      <c r="DS167" s="59">
        <f t="shared" si="125"/>
        <v>293.33333333334423</v>
      </c>
      <c r="DT167" s="59">
        <f ca="1">AVERAGE(OFFSET($DS$3,0,0,'Données projet'!$E$14+1,1))-AVERAGE(OFFSET($H$3,0,0,'Données projet'!$E$14+1,1))</f>
        <v>263.15518481854753</v>
      </c>
      <c r="DU167" s="59">
        <f t="shared" si="152"/>
        <v>210.80755370263819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0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-5.1159076974727213E-13</v>
      </c>
      <c r="EK167" s="17">
        <f>EJ167*VLOOKUP('Données projet'!$B$15,Paramètres!$A$1:$I$89,3,0)*VLOOKUP('Données projet'!$B$15,Paramètres!$A$1:$I$89,5,0)</f>
        <v>-3.4317508834647017E-13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207.93042467236967</v>
      </c>
      <c r="EP167" s="59">
        <f t="shared" si="154"/>
        <v>250.70954318710835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0.19364185458397182</v>
      </c>
      <c r="EW167" s="21">
        <f>EXP(-LN(2)/25)*EW166+(1-EXP(-LN(2)/25))/(LN(2)/25)*Calculateur!ER167*Calculateur!ET167*VLOOKUP('Données projet'!$B$15,Paramètres!$A$1:$I$89,3,0)*0.475*44/12</f>
        <v>0.42125634079061147</v>
      </c>
      <c r="EX167" s="21">
        <f>EXP(-LN(2)/2)*EX166+(1-EXP(-LN(2)/2))/(LN(2)/2)*ER167*EU167*VLOOKUP('Données projet'!$B$15,Paramètres!$A$1:$I$89,3,0)*0.475*44/12</f>
        <v>1.3734270170779348E-19</v>
      </c>
      <c r="EY167" s="22">
        <f t="shared" si="181"/>
        <v>0.61489819537458335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4.5474735088646412E-13</v>
      </c>
      <c r="FF167" s="17">
        <f>FE167*VLOOKUP('Données projet'!$B$16,Paramètres!$A$1:$I$89,3,0)*VLOOKUP('Données projet'!$B$16,Paramètres!$A$1:$I$89,5,0)</f>
        <v>4.8949004849418999E-13</v>
      </c>
      <c r="FG167" s="13">
        <f t="shared" si="182"/>
        <v>6.1123715499968684E-12</v>
      </c>
      <c r="FH167" s="20">
        <f t="shared" si="183"/>
        <v>1.1498242284038591E-11</v>
      </c>
      <c r="FI167" s="59">
        <f t="shared" si="131"/>
        <v>293.3333333333448</v>
      </c>
      <c r="FJ167" s="59">
        <f ca="1">AVERAGE(OFFSET($FI$3,0,0,'Données projet'!$E$16+1,1))-AVERAGE(OFFSET($H$3,0,0,'Données projet'!$E$16+1,1))</f>
        <v>286.77702855541287</v>
      </c>
      <c r="FK167" s="59">
        <f t="shared" si="156"/>
        <v>227.12211541860779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0</v>
      </c>
      <c r="FR167" s="21">
        <f>EXP(-LN(2)/25)*FR166+(1-EXP(-LN(2)/25))/(LN(2)/25)*Calculateur!FM167*Calculateur!FO167*VLOOKUP('Données projet'!$B$16,Paramètres!$A$1:$I$89,3,0)*0.475*44/12</f>
        <v>0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0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5.6843418860808015E-13</v>
      </c>
      <c r="GA167" s="17">
        <f>FZ167*VLOOKUP('Données projet'!$B$17,Paramètres!$A$1:$I$89,3,0)*VLOOKUP('Données projet'!$B$17,Paramètres!$A$1:$I$89,5,0)</f>
        <v>2.6602720026858149E-13</v>
      </c>
      <c r="GB167" s="13">
        <f t="shared" si="185"/>
        <v>3.5662905043956649E-12</v>
      </c>
      <c r="GC167" s="20">
        <f t="shared" si="186"/>
        <v>6.6746200022902298E-12</v>
      </c>
      <c r="GD167" s="59">
        <f t="shared" si="134"/>
        <v>293.33333333333997</v>
      </c>
      <c r="GE167" s="59">
        <f ca="1">AVERAGE(OFFSET($GD$3,0,0,'Données projet'!$E$17+1,1))-AVERAGE(OFFSET($H$3,0,0,'Données projet'!$E$17+1,1))</f>
        <v>123.2823358462245</v>
      </c>
      <c r="GF167" s="59">
        <f t="shared" si="158"/>
        <v>92.75115399786057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0</v>
      </c>
      <c r="GM167" s="21">
        <f>EXP(-LN(2)/25)*GM166+(1-EXP(-LN(2)/25))/(LN(2)/25)*Calculateur!GH167*Calculateur!GJ167*VLOOKUP('Données projet'!$B$17,Paramètres!$A$1:$I$89,3,0)*0.475*44/12</f>
        <v>0</v>
      </c>
      <c r="GN167" s="21">
        <f>EXP(-LN(2)/2)*GN166+(1-EXP(-LN(2)/2))/(LN(2)/2)*GH167*GK167*VLOOKUP('Données projet'!$B$17,Paramètres!$A$1:$I$89,3,0)*0.475*44/12</f>
        <v>0</v>
      </c>
      <c r="GO167" s="21">
        <f t="shared" si="187"/>
        <v>0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-2.8421709430404007E-13</v>
      </c>
      <c r="GV167" s="17">
        <f>GU167*VLOOKUP('Données projet'!$B$18,Paramètres!$A$1:$I$89,3,0)*VLOOKUP('Données projet'!$B$18,Paramètres!$A$1:$I$89,5,0)</f>
        <v>-1.69961822393816E-13</v>
      </c>
      <c r="GW167" s="13" t="e">
        <f t="shared" si="188"/>
        <v>#NUM!</v>
      </c>
      <c r="GX167" s="20" t="e">
        <f t="shared" si="189"/>
        <v>#NUM!</v>
      </c>
      <c r="GY167" s="59" t="e">
        <f t="shared" si="137"/>
        <v>#NUM!</v>
      </c>
      <c r="GZ167" s="59">
        <f ca="1">AVERAGE(OFFSET($GY$3,0,0,'Données projet'!$E$18+1,1))-AVERAGE(OFFSET($H$3,0,0,'Données projet'!$E$18+1,1))</f>
        <v>171.96009656745713</v>
      </c>
      <c r="HA167" s="59">
        <f t="shared" si="160"/>
        <v>172.37574906747716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>
        <f>EXP(-LN(2)/35)*HG166+(1-EXP(-LN(2)/35))/(LN(2)/35)*HC167*HD167*VLOOKUP('Données projet'!$B$18,Paramètres!$A$1:$I$89,3,0)*0.475*44/12</f>
        <v>0.11740711418619849</v>
      </c>
      <c r="HH167" s="21">
        <f>EXP(-LN(2)/25)*HH166+(1-EXP(-LN(2)/25))/(LN(2)/25)*Calculateur!HC167*Calculateur!HE167*VLOOKUP('Données projet'!$B$18,Paramètres!$A$1:$I$89,3,0)*0.475*44/12</f>
        <v>0.50053947796367293</v>
      </c>
      <c r="HI167" s="21">
        <f>EXP(-LN(2)/2)*HI166+(1-EXP(-LN(2)/2))/(LN(2)/2)*HC167*HF167*VLOOKUP('Données projet'!$B$18,Paramètres!$A$1:$I$89,3,0)*0.475*44/12</f>
        <v>8.1617528489026578E-20</v>
      </c>
      <c r="HJ167" s="22">
        <f t="shared" si="190"/>
        <v>0.61794659214987147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-2.2737367544323206E-13</v>
      </c>
      <c r="O168" s="13">
        <f>N168*VLOOKUP('Données projet'!$B$9,Paramètres!$A$1:$I$89,3,0)*VLOOKUP('Données projet'!$B$9,Paramètres!$A$1:$I$89,5,0)</f>
        <v>-1.2710188457276673E-13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255.5374979188561</v>
      </c>
      <c r="T168" s="59">
        <f t="shared" si="142"/>
        <v>343.10418468620901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0.213230105969029</v>
      </c>
      <c r="AA168" s="21">
        <f>EXP(-LN(2)/25)*AA167+(1-EXP(-LN(2)/25))/(LN(2)/25)*Calculateur!V168*Calculateur!X168*VLOOKUP('Données projet'!$B$9,Paramètres!$A$1:$I$89,3,0)*0.475*44/12</f>
        <v>0.377987955774158</v>
      </c>
      <c r="AB168" s="21">
        <f>EXP(-LN(2)/2)*AB167+(1-EXP(-LN(2)/2))/(LN(2)/2)*V168*Y168*VLOOKUP('Données projet'!$B$9,Paramètres!$A$1:$I$89,3,0)*0.475*44/12</f>
        <v>8.1104134067573214E-21</v>
      </c>
      <c r="AC168" s="22">
        <f t="shared" si="163"/>
        <v>0.59121806174318703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3.4106051316484809E-13</v>
      </c>
      <c r="AJ168" s="13">
        <f>AI168*VLOOKUP('Données projet'!$B$10,Paramètres!$A$1:$I$89,3,0)*VLOOKUP('Données projet'!$B$10,Paramètres!$A$1:$I$89,5,0)</f>
        <v>1.5961632016114892E-13</v>
      </c>
      <c r="AK168" s="13">
        <f t="shared" si="164"/>
        <v>2.2708641912150958E-12</v>
      </c>
      <c r="AL168" s="20">
        <f t="shared" si="165"/>
        <v>4.2330868906469593E-12</v>
      </c>
      <c r="AM168" s="59">
        <f t="shared" si="113"/>
        <v>293.33333333333752</v>
      </c>
      <c r="AN168" s="59">
        <f ca="1">AVERAGE(OFFSET($AM$3,0,0,'Données projet'!$E$10+1,1))-AVERAGE(OFFSET($H$3,0,0,'Données projet'!$E$10+1,1))</f>
        <v>158.58786357608489</v>
      </c>
      <c r="AO168" s="59">
        <f t="shared" si="144"/>
        <v>163.20074068819849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0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-1.7053025658242404E-13</v>
      </c>
      <c r="BE168" s="13">
        <f>BD168*VLOOKUP('Données projet'!$B$11,Paramètres!$A$1:$I$89,3,0)*VLOOKUP('Données projet'!$B$11,Paramètres!$A$1:$I$89,5,0)</f>
        <v>-1.0197709343628959E-13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243.85350804244348</v>
      </c>
      <c r="BJ168" s="59">
        <f t="shared" si="146"/>
        <v>304.60992308960545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0.31230801416373954</v>
      </c>
      <c r="BQ168" s="21">
        <f>EXP(-LN(2)/25)*BQ167+(1-EXP(-LN(2)/25))/(LN(2)/25)*Calculateur!BL168*Calculateur!BN168*VLOOKUP('Données projet'!$B$11,Paramètres!$A$1:$I$89,3,0)*0.475*44/12</f>
        <v>0.41987482162663531</v>
      </c>
      <c r="BR168" s="21">
        <f>EXP(-LN(2)/2)*BR167+(1-EXP(-LN(2)/2))/(LN(2)/2)*BL168*BO168*VLOOKUP('Données projet'!$B$11,Paramètres!$A$1:$I$89,3,0)*0.475*44/12</f>
        <v>1.7911869138552654E-20</v>
      </c>
      <c r="BS168" s="22">
        <f t="shared" si="169"/>
        <v>0.7321828357903748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497</v>
      </c>
      <c r="BZ168" s="13">
        <f>BY168*VLOOKUP('Données projet'!$B$12,Paramètres!$A$1:$I$89,3,0)*VLOOKUP('Données projet'!$B$12,Paramètres!$A$1:$I$89,5,0)</f>
        <v>297.20600000000002</v>
      </c>
      <c r="CA168" s="13">
        <f t="shared" si="170"/>
        <v>70.590415164571112</v>
      </c>
      <c r="CB168" s="20">
        <f t="shared" si="171"/>
        <v>640.57875641162809</v>
      </c>
      <c r="CC168" s="59">
        <f t="shared" si="119"/>
        <v>933.91208974496135</v>
      </c>
      <c r="CD168" s="59">
        <f ca="1">AVERAGE(OFFSET($CC$3,0,0,'Données projet'!$E$12+1,1))-AVERAGE(OFFSET($H$3,0,0,'Données projet'!$E$12+1,1))</f>
        <v>270.30888762640245</v>
      </c>
      <c r="CE168" s="59">
        <f t="shared" si="148"/>
        <v>202.23783851977691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0.14780107983414265</v>
      </c>
      <c r="CL168" s="21">
        <f>EXP(-LN(2)/25)*CL167+(1-EXP(-LN(2)/25))/(LN(2)/25)*Calculateur!CG168*Calculateur!CI168*VLOOKUP('Données projet'!$B$12,Paramètres!$A$1:$I$89,3,0)*0.475*44/12</f>
        <v>0.29118829242748961</v>
      </c>
      <c r="CM168" s="21">
        <f>EXP(-LN(2)/2)*CM167+(1-EXP(-LN(2)/2))/(LN(2)/2)*CG168*CJ168*VLOOKUP('Données projet'!$B$12,Paramètres!$A$1:$I$89,3,0)*0.475*44/12</f>
        <v>8.8608109384142239E-20</v>
      </c>
      <c r="CN168" s="22">
        <f t="shared" si="172"/>
        <v>0.43898937226163226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-5.1159076974727213E-13</v>
      </c>
      <c r="CU168" s="17">
        <f>CT168*VLOOKUP('Données projet'!$B$13,Paramètres!$A$1:$I$89,3,0)*VLOOKUP('Données projet'!$B$13,Paramètres!$A$1:$I$89,5,0)</f>
        <v>-4.0702161641092972E-13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260.20517190557814</v>
      </c>
      <c r="CZ168" s="59">
        <f t="shared" si="150"/>
        <v>307.22009971147133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0.22516459191157936</v>
      </c>
      <c r="DG168" s="21">
        <f>EXP(-LN(2)/25)*DG167+(1-EXP(-LN(2)/25))/(LN(2)/25)*Calculateur!DB168*Calculateur!DD168*VLOOKUP('Données projet'!$B$13,Paramètres!$A$1:$I$89,3,0)*0.475*44/12</f>
        <v>0.48596721544041743</v>
      </c>
      <c r="DH168" s="21">
        <f>EXP(-LN(2)/2)*DH167+(1-EXP(-LN(2)/2))/(LN(2)/2)*DB168*DE168*VLOOKUP('Données projet'!$B$13,Paramètres!$A$1:$I$89,3,0)*0.475*44/12</f>
        <v>1.15184040509934E-19</v>
      </c>
      <c r="DI168" s="22">
        <f t="shared" si="175"/>
        <v>0.71113180735199677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4.5474735088646412E-13</v>
      </c>
      <c r="DP168" s="17">
        <f>DO168*VLOOKUP('Données projet'!$B$14,Paramètres!$A$1:$I$89,3,0)*VLOOKUP('Données projet'!$B$14,Paramètres!$A$1:$I$89,5,0)</f>
        <v>4.6111381379887462E-13</v>
      </c>
      <c r="DQ168" s="13">
        <f t="shared" si="176"/>
        <v>5.7981965206434308E-12</v>
      </c>
      <c r="DR168" s="20">
        <f t="shared" si="177"/>
        <v>1.0901632165820347E-11</v>
      </c>
      <c r="DS168" s="59">
        <f t="shared" si="125"/>
        <v>293.33333333334423</v>
      </c>
      <c r="DT168" s="59">
        <f ca="1">AVERAGE(OFFSET($DS$3,0,0,'Données projet'!$E$14+1,1))-AVERAGE(OFFSET($H$3,0,0,'Données projet'!$E$14+1,1))</f>
        <v>263.15518481854753</v>
      </c>
      <c r="DU168" s="59">
        <f t="shared" si="152"/>
        <v>210.80755370263819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0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-5.1159076974727213E-13</v>
      </c>
      <c r="EK168" s="17">
        <f>EJ168*VLOOKUP('Données projet'!$B$15,Paramètres!$A$1:$I$89,3,0)*VLOOKUP('Données projet'!$B$15,Paramètres!$A$1:$I$89,5,0)</f>
        <v>-3.4317508834647017E-13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207.93042467236967</v>
      </c>
      <c r="EP168" s="59">
        <f t="shared" si="154"/>
        <v>250.70954318710835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0.18984465592544905</v>
      </c>
      <c r="EW168" s="21">
        <f>EXP(-LN(2)/25)*EW167+(1-EXP(-LN(2)/25))/(LN(2)/25)*Calculateur!ER168*Calculateur!ET168*VLOOKUP('Données projet'!$B$15,Paramètres!$A$1:$I$89,3,0)*0.475*44/12</f>
        <v>0.40973706399878401</v>
      </c>
      <c r="EX168" s="21">
        <f>EXP(-LN(2)/2)*EX167+(1-EXP(-LN(2)/2))/(LN(2)/2)*ER168*EU168*VLOOKUP('Données projet'!$B$15,Paramètres!$A$1:$I$89,3,0)*0.475*44/12</f>
        <v>9.7115955724061993E-20</v>
      </c>
      <c r="EY168" s="22">
        <f t="shared" si="181"/>
        <v>0.59958171992423304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4.5474735088646412E-13</v>
      </c>
      <c r="FF168" s="17">
        <f>FE168*VLOOKUP('Données projet'!$B$16,Paramètres!$A$1:$I$89,3,0)*VLOOKUP('Données projet'!$B$16,Paramètres!$A$1:$I$89,5,0)</f>
        <v>4.8949004849418999E-13</v>
      </c>
      <c r="FG168" s="13">
        <f t="shared" si="182"/>
        <v>6.1123715499968684E-12</v>
      </c>
      <c r="FH168" s="20">
        <f t="shared" si="183"/>
        <v>1.1498242284038591E-11</v>
      </c>
      <c r="FI168" s="59">
        <f t="shared" si="131"/>
        <v>293.3333333333448</v>
      </c>
      <c r="FJ168" s="59">
        <f ca="1">AVERAGE(OFFSET($FI$3,0,0,'Données projet'!$E$16+1,1))-AVERAGE(OFFSET($H$3,0,0,'Données projet'!$E$16+1,1))</f>
        <v>286.77702855541287</v>
      </c>
      <c r="FK168" s="59">
        <f t="shared" si="156"/>
        <v>227.12211541860779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0</v>
      </c>
      <c r="FR168" s="21">
        <f>EXP(-LN(2)/25)*FR167+(1-EXP(-LN(2)/25))/(LN(2)/25)*Calculateur!FM168*Calculateur!FO168*VLOOKUP('Données projet'!$B$16,Paramètres!$A$1:$I$89,3,0)*0.475*44/12</f>
        <v>0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0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5.6843418860808015E-13</v>
      </c>
      <c r="GA168" s="17">
        <f>FZ168*VLOOKUP('Données projet'!$B$17,Paramètres!$A$1:$I$89,3,0)*VLOOKUP('Données projet'!$B$17,Paramètres!$A$1:$I$89,5,0)</f>
        <v>2.6602720026858149E-13</v>
      </c>
      <c r="GB168" s="13">
        <f t="shared" si="185"/>
        <v>3.5662905043956649E-12</v>
      </c>
      <c r="GC168" s="20">
        <f t="shared" si="186"/>
        <v>6.6746200022902298E-12</v>
      </c>
      <c r="GD168" s="59">
        <f t="shared" si="134"/>
        <v>293.33333333333997</v>
      </c>
      <c r="GE168" s="59">
        <f ca="1">AVERAGE(OFFSET($GD$3,0,0,'Données projet'!$E$17+1,1))-AVERAGE(OFFSET($H$3,0,0,'Données projet'!$E$17+1,1))</f>
        <v>123.2823358462245</v>
      </c>
      <c r="GF168" s="59">
        <f t="shared" si="158"/>
        <v>92.75115399786057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0</v>
      </c>
      <c r="GM168" s="21">
        <f>EXP(-LN(2)/25)*GM167+(1-EXP(-LN(2)/25))/(LN(2)/25)*Calculateur!GH168*Calculateur!GJ168*VLOOKUP('Données projet'!$B$17,Paramètres!$A$1:$I$89,3,0)*0.475*44/12</f>
        <v>0</v>
      </c>
      <c r="GN168" s="21">
        <f>EXP(-LN(2)/2)*GN167+(1-EXP(-LN(2)/2))/(LN(2)/2)*GH168*GK168*VLOOKUP('Données projet'!$B$17,Paramètres!$A$1:$I$89,3,0)*0.475*44/12</f>
        <v>0</v>
      </c>
      <c r="GO168" s="21">
        <f t="shared" si="187"/>
        <v>0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-2.8421709430404007E-13</v>
      </c>
      <c r="GV168" s="17">
        <f>GU168*VLOOKUP('Données projet'!$B$18,Paramètres!$A$1:$I$89,3,0)*VLOOKUP('Données projet'!$B$18,Paramètres!$A$1:$I$89,5,0)</f>
        <v>-1.69961822393816E-13</v>
      </c>
      <c r="GW168" s="13" t="e">
        <f t="shared" si="188"/>
        <v>#NUM!</v>
      </c>
      <c r="GX168" s="20" t="e">
        <f t="shared" si="189"/>
        <v>#NUM!</v>
      </c>
      <c r="GY168" s="59" t="e">
        <f t="shared" si="137"/>
        <v>#NUM!</v>
      </c>
      <c r="GZ168" s="59">
        <f ca="1">AVERAGE(OFFSET($GY$3,0,0,'Données projet'!$E$18+1,1))-AVERAGE(OFFSET($H$3,0,0,'Données projet'!$E$18+1,1))</f>
        <v>171.96009656745713</v>
      </c>
      <c r="HA168" s="59">
        <f t="shared" si="160"/>
        <v>172.37574906747716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>
        <f>EXP(-LN(2)/35)*HG167+(1-EXP(-LN(2)/35))/(LN(2)/35)*HC168*HD168*VLOOKUP('Données projet'!$B$18,Paramètres!$A$1:$I$89,3,0)*0.475*44/12</f>
        <v>0.11510483228827577</v>
      </c>
      <c r="HH168" s="21">
        <f>EXP(-LN(2)/25)*HH167+(1-EXP(-LN(2)/25))/(LN(2)/25)*Calculateur!HC168*Calculateur!HE168*VLOOKUP('Données projet'!$B$18,Paramètres!$A$1:$I$89,3,0)*0.475*44/12</f>
        <v>0.48685219961652915</v>
      </c>
      <c r="HI168" s="21">
        <f>EXP(-LN(2)/2)*HI167+(1-EXP(-LN(2)/2))/(LN(2)/2)*HC168*HF168*VLOOKUP('Données projet'!$B$18,Paramètres!$A$1:$I$89,3,0)*0.475*44/12</f>
        <v>5.7712307858276925E-20</v>
      </c>
      <c r="HJ168" s="22">
        <f t="shared" si="190"/>
        <v>0.60195703190480487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-2.2737367544323206E-13</v>
      </c>
      <c r="O169" s="13">
        <f>N169*VLOOKUP('Données projet'!$B$9,Paramètres!$A$1:$I$89,3,0)*VLOOKUP('Données projet'!$B$9,Paramètres!$A$1:$I$89,5,0)</f>
        <v>-1.2710188457276673E-13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255.5374979188561</v>
      </c>
      <c r="T169" s="59">
        <f t="shared" si="142"/>
        <v>343.10418468620901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0.20904879364849888</v>
      </c>
      <c r="AA169" s="21">
        <f>EXP(-LN(2)/25)*AA168+(1-EXP(-LN(2)/25))/(LN(2)/25)*Calculateur!V169*Calculateur!X169*VLOOKUP('Données projet'!$B$9,Paramètres!$A$1:$I$89,3,0)*0.475*44/12</f>
        <v>0.36765185524599098</v>
      </c>
      <c r="AB169" s="21">
        <f>EXP(-LN(2)/2)*AB168+(1-EXP(-LN(2)/2))/(LN(2)/2)*V169*Y169*VLOOKUP('Données projet'!$B$9,Paramètres!$A$1:$I$89,3,0)*0.475*44/12</f>
        <v>5.7349283181443908E-21</v>
      </c>
      <c r="AC169" s="22">
        <f t="shared" si="163"/>
        <v>0.57670064889448991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3.4106051316484809E-13</v>
      </c>
      <c r="AJ169" s="13">
        <f>AI169*VLOOKUP('Données projet'!$B$10,Paramètres!$A$1:$I$89,3,0)*VLOOKUP('Données projet'!$B$10,Paramètres!$A$1:$I$89,5,0)</f>
        <v>1.5961632016114892E-13</v>
      </c>
      <c r="AK169" s="13">
        <f t="shared" si="164"/>
        <v>2.2708641912150958E-12</v>
      </c>
      <c r="AL169" s="20">
        <f t="shared" si="165"/>
        <v>4.2330868906469593E-12</v>
      </c>
      <c r="AM169" s="59">
        <f t="shared" si="113"/>
        <v>293.33333333333752</v>
      </c>
      <c r="AN169" s="59">
        <f ca="1">AVERAGE(OFFSET($AM$3,0,0,'Données projet'!$E$10+1,1))-AVERAGE(OFFSET($H$3,0,0,'Données projet'!$E$10+1,1))</f>
        <v>158.58786357608489</v>
      </c>
      <c r="AO169" s="59">
        <f t="shared" si="144"/>
        <v>163.20074068819849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0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-1.7053025658242404E-13</v>
      </c>
      <c r="BE169" s="13">
        <f>BD169*VLOOKUP('Données projet'!$B$11,Paramètres!$A$1:$I$89,3,0)*VLOOKUP('Données projet'!$B$11,Paramètres!$A$1:$I$89,5,0)</f>
        <v>-1.0197709343628959E-13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243.85350804244348</v>
      </c>
      <c r="BJ169" s="59">
        <f t="shared" si="146"/>
        <v>304.60992308960545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0.30618384449506802</v>
      </c>
      <c r="BQ169" s="21">
        <f>EXP(-LN(2)/25)*BQ168+(1-EXP(-LN(2)/25))/(LN(2)/25)*Calculateur!BL169*Calculateur!BN169*VLOOKUP('Données projet'!$B$11,Paramètres!$A$1:$I$89,3,0)*0.475*44/12</f>
        <v>0.40839332254899774</v>
      </c>
      <c r="BR169" s="21">
        <f>EXP(-LN(2)/2)*BR168+(1-EXP(-LN(2)/2))/(LN(2)/2)*BL169*BO169*VLOOKUP('Données projet'!$B$11,Paramètres!$A$1:$I$89,3,0)*0.475*44/12</f>
        <v>1.2665604131596625E-20</v>
      </c>
      <c r="BS169" s="22">
        <f t="shared" si="169"/>
        <v>0.71457716704406571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497</v>
      </c>
      <c r="BZ169" s="13">
        <f>BY169*VLOOKUP('Données projet'!$B$12,Paramètres!$A$1:$I$89,3,0)*VLOOKUP('Données projet'!$B$12,Paramètres!$A$1:$I$89,5,0)</f>
        <v>297.20600000000002</v>
      </c>
      <c r="CA169" s="13">
        <f t="shared" si="170"/>
        <v>70.590415164571112</v>
      </c>
      <c r="CB169" s="20">
        <f t="shared" si="171"/>
        <v>640.57875641162809</v>
      </c>
      <c r="CC169" s="59">
        <f t="shared" si="119"/>
        <v>933.91208974496135</v>
      </c>
      <c r="CD169" s="59">
        <f ca="1">AVERAGE(OFFSET($CC$3,0,0,'Données projet'!$E$12+1,1))-AVERAGE(OFFSET($H$3,0,0,'Données projet'!$E$12+1,1))</f>
        <v>270.30888762640245</v>
      </c>
      <c r="CE169" s="59">
        <f t="shared" si="148"/>
        <v>202.23783851977691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0.14490279080835225</v>
      </c>
      <c r="CL169" s="21">
        <f>EXP(-LN(2)/25)*CL168+(1-EXP(-LN(2)/25))/(LN(2)/25)*Calculateur!CG169*Calculateur!CI169*VLOOKUP('Données projet'!$B$12,Paramètres!$A$1:$I$89,3,0)*0.475*44/12</f>
        <v>0.28322573325813311</v>
      </c>
      <c r="CM169" s="21">
        <f>EXP(-LN(2)/2)*CM168+(1-EXP(-LN(2)/2))/(LN(2)/2)*CG169*CJ169*VLOOKUP('Données projet'!$B$12,Paramètres!$A$1:$I$89,3,0)*0.475*44/12</f>
        <v>6.2655395013646334E-20</v>
      </c>
      <c r="CN169" s="22">
        <f t="shared" si="172"/>
        <v>0.42812852406648538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-5.1159076974727213E-13</v>
      </c>
      <c r="CU169" s="17">
        <f>CT169*VLOOKUP('Données projet'!$B$13,Paramètres!$A$1:$I$89,3,0)*VLOOKUP('Données projet'!$B$13,Paramètres!$A$1:$I$89,5,0)</f>
        <v>-4.0702161641092972E-13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260.20517190557814</v>
      </c>
      <c r="CZ169" s="59">
        <f t="shared" si="150"/>
        <v>307.22009971147133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0.22074925160103348</v>
      </c>
      <c r="DG169" s="21">
        <f>EXP(-LN(2)/25)*DG168+(1-EXP(-LN(2)/25))/(LN(2)/25)*Calculateur!DB169*Calculateur!DD169*VLOOKUP('Données projet'!$B$13,Paramètres!$A$1:$I$89,3,0)*0.475*44/12</f>
        <v>0.47267841637829405</v>
      </c>
      <c r="DH169" s="21">
        <f>EXP(-LN(2)/2)*DH168+(1-EXP(-LN(2)/2))/(LN(2)/2)*DB169*DE169*VLOOKUP('Données projet'!$B$13,Paramètres!$A$1:$I$89,3,0)*0.475*44/12</f>
        <v>8.1447416129040326E-20</v>
      </c>
      <c r="DI169" s="22">
        <f t="shared" si="175"/>
        <v>0.69342766797932753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4.5474735088646412E-13</v>
      </c>
      <c r="DP169" s="17">
        <f>DO169*VLOOKUP('Données projet'!$B$14,Paramètres!$A$1:$I$89,3,0)*VLOOKUP('Données projet'!$B$14,Paramètres!$A$1:$I$89,5,0)</f>
        <v>4.6111381379887462E-13</v>
      </c>
      <c r="DQ169" s="13">
        <f t="shared" si="176"/>
        <v>5.7981965206434308E-12</v>
      </c>
      <c r="DR169" s="20">
        <f t="shared" si="177"/>
        <v>1.0901632165820347E-11</v>
      </c>
      <c r="DS169" s="59">
        <f t="shared" si="125"/>
        <v>293.33333333334423</v>
      </c>
      <c r="DT169" s="59">
        <f ca="1">AVERAGE(OFFSET($DS$3,0,0,'Données projet'!$E$14+1,1))-AVERAGE(OFFSET($H$3,0,0,'Données projet'!$E$14+1,1))</f>
        <v>263.15518481854753</v>
      </c>
      <c r="DU169" s="59">
        <f t="shared" si="152"/>
        <v>210.80755370263819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0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-5.1159076974727213E-13</v>
      </c>
      <c r="EK169" s="17">
        <f>EJ169*VLOOKUP('Données projet'!$B$15,Paramètres!$A$1:$I$89,3,0)*VLOOKUP('Données projet'!$B$15,Paramètres!$A$1:$I$89,5,0)</f>
        <v>-3.4317508834647017E-13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207.93042467236967</v>
      </c>
      <c r="EP169" s="59">
        <f t="shared" si="154"/>
        <v>250.70954318710835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0.18612191801655742</v>
      </c>
      <c r="EW169" s="21">
        <f>EXP(-LN(2)/25)*EW168+(1-EXP(-LN(2)/25))/(LN(2)/25)*Calculateur!ER169*Calculateur!ET169*VLOOKUP('Données projet'!$B$15,Paramètres!$A$1:$I$89,3,0)*0.475*44/12</f>
        <v>0.39853278243660151</v>
      </c>
      <c r="EX169" s="21">
        <f>EXP(-LN(2)/2)*EX168+(1-EXP(-LN(2)/2))/(LN(2)/2)*ER169*EU169*VLOOKUP('Données projet'!$B$15,Paramètres!$A$1:$I$89,3,0)*0.475*44/12</f>
        <v>6.8671350853896741E-20</v>
      </c>
      <c r="EY169" s="22">
        <f t="shared" si="181"/>
        <v>0.58465470045315893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4.5474735088646412E-13</v>
      </c>
      <c r="FF169" s="17">
        <f>FE169*VLOOKUP('Données projet'!$B$16,Paramètres!$A$1:$I$89,3,0)*VLOOKUP('Données projet'!$B$16,Paramètres!$A$1:$I$89,5,0)</f>
        <v>4.8949004849418999E-13</v>
      </c>
      <c r="FG169" s="13">
        <f t="shared" si="182"/>
        <v>6.1123715499968684E-12</v>
      </c>
      <c r="FH169" s="20">
        <f t="shared" si="183"/>
        <v>1.1498242284038591E-11</v>
      </c>
      <c r="FI169" s="59">
        <f t="shared" si="131"/>
        <v>293.3333333333448</v>
      </c>
      <c r="FJ169" s="59">
        <f ca="1">AVERAGE(OFFSET($FI$3,0,0,'Données projet'!$E$16+1,1))-AVERAGE(OFFSET($H$3,0,0,'Données projet'!$E$16+1,1))</f>
        <v>286.77702855541287</v>
      </c>
      <c r="FK169" s="59">
        <f t="shared" si="156"/>
        <v>227.12211541860779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0</v>
      </c>
      <c r="FR169" s="21">
        <f>EXP(-LN(2)/25)*FR168+(1-EXP(-LN(2)/25))/(LN(2)/25)*Calculateur!FM169*Calculateur!FO169*VLOOKUP('Données projet'!$B$16,Paramètres!$A$1:$I$89,3,0)*0.475*44/12</f>
        <v>0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0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5.6843418860808015E-13</v>
      </c>
      <c r="GA169" s="17">
        <f>FZ169*VLOOKUP('Données projet'!$B$17,Paramètres!$A$1:$I$89,3,0)*VLOOKUP('Données projet'!$B$17,Paramètres!$A$1:$I$89,5,0)</f>
        <v>2.6602720026858149E-13</v>
      </c>
      <c r="GB169" s="13">
        <f t="shared" si="185"/>
        <v>3.5662905043956649E-12</v>
      </c>
      <c r="GC169" s="20">
        <f t="shared" si="186"/>
        <v>6.6746200022902298E-12</v>
      </c>
      <c r="GD169" s="59">
        <f t="shared" si="134"/>
        <v>293.33333333333997</v>
      </c>
      <c r="GE169" s="59">
        <f ca="1">AVERAGE(OFFSET($GD$3,0,0,'Données projet'!$E$17+1,1))-AVERAGE(OFFSET($H$3,0,0,'Données projet'!$E$17+1,1))</f>
        <v>123.2823358462245</v>
      </c>
      <c r="GF169" s="59">
        <f t="shared" si="158"/>
        <v>92.75115399786057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0</v>
      </c>
      <c r="GM169" s="21">
        <f>EXP(-LN(2)/25)*GM168+(1-EXP(-LN(2)/25))/(LN(2)/25)*Calculateur!GH169*Calculateur!GJ169*VLOOKUP('Données projet'!$B$17,Paramètres!$A$1:$I$89,3,0)*0.475*44/12</f>
        <v>0</v>
      </c>
      <c r="GN169" s="21">
        <f>EXP(-LN(2)/2)*GN168+(1-EXP(-LN(2)/2))/(LN(2)/2)*GH169*GK169*VLOOKUP('Données projet'!$B$17,Paramètres!$A$1:$I$89,3,0)*0.475*44/12</f>
        <v>0</v>
      </c>
      <c r="GO169" s="21">
        <f t="shared" si="187"/>
        <v>0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-2.8421709430404007E-13</v>
      </c>
      <c r="GV169" s="17">
        <f>GU169*VLOOKUP('Données projet'!$B$18,Paramètres!$A$1:$I$89,3,0)*VLOOKUP('Données projet'!$B$18,Paramètres!$A$1:$I$89,5,0)</f>
        <v>-1.69961822393816E-13</v>
      </c>
      <c r="GW169" s="13" t="e">
        <f t="shared" si="188"/>
        <v>#NUM!</v>
      </c>
      <c r="GX169" s="20" t="e">
        <f t="shared" si="189"/>
        <v>#NUM!</v>
      </c>
      <c r="GY169" s="59" t="e">
        <f t="shared" si="137"/>
        <v>#NUM!</v>
      </c>
      <c r="GZ169" s="59">
        <f ca="1">AVERAGE(OFFSET($GY$3,0,0,'Données projet'!$E$18+1,1))-AVERAGE(OFFSET($H$3,0,0,'Données projet'!$E$18+1,1))</f>
        <v>171.96009656745713</v>
      </c>
      <c r="HA169" s="59">
        <f t="shared" si="160"/>
        <v>172.37574906747716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>
        <f>EXP(-LN(2)/35)*HG168+(1-EXP(-LN(2)/35))/(LN(2)/35)*HC169*HD169*VLOOKUP('Données projet'!$B$18,Paramètres!$A$1:$I$89,3,0)*0.475*44/12</f>
        <v>0.11284769673411801</v>
      </c>
      <c r="HH169" s="21">
        <f>EXP(-LN(2)/25)*HH168+(1-EXP(-LN(2)/25))/(LN(2)/25)*Calculateur!HC169*Calculateur!HE169*VLOOKUP('Données projet'!$B$18,Paramètres!$A$1:$I$89,3,0)*0.475*44/12</f>
        <v>0.4735392006155707</v>
      </c>
      <c r="HI169" s="21">
        <f>EXP(-LN(2)/2)*HI168+(1-EXP(-LN(2)/2))/(LN(2)/2)*HC169*HF169*VLOOKUP('Données projet'!$B$18,Paramètres!$A$1:$I$89,3,0)*0.475*44/12</f>
        <v>4.0808764244513289E-20</v>
      </c>
      <c r="HJ169" s="22">
        <f t="shared" si="190"/>
        <v>0.58638689734968874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-2.2737367544323206E-13</v>
      </c>
      <c r="O170" s="13">
        <f>N170*VLOOKUP('Données projet'!$B$9,Paramètres!$A$1:$I$89,3,0)*VLOOKUP('Données projet'!$B$9,Paramètres!$A$1:$I$89,5,0)</f>
        <v>-1.2710188457276673E-13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255.5374979188561</v>
      </c>
      <c r="T170" s="59">
        <f t="shared" si="142"/>
        <v>343.10418468620901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0.20494947431222565</v>
      </c>
      <c r="AA170" s="21">
        <f>EXP(-LN(2)/25)*AA169+(1-EXP(-LN(2)/25))/(LN(2)/25)*Calculateur!V170*Calculateur!X170*VLOOKUP('Données projet'!$B$9,Paramètres!$A$1:$I$89,3,0)*0.475*44/12</f>
        <v>0.35759839593031856</v>
      </c>
      <c r="AB170" s="21">
        <f>EXP(-LN(2)/2)*AB169+(1-EXP(-LN(2)/2))/(LN(2)/2)*V170*Y170*VLOOKUP('Données projet'!$B$9,Paramètres!$A$1:$I$89,3,0)*0.475*44/12</f>
        <v>4.0552067033786607E-21</v>
      </c>
      <c r="AC170" s="22">
        <f t="shared" si="163"/>
        <v>0.56254787024254416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3.4106051316484809E-13</v>
      </c>
      <c r="AJ170" s="13">
        <f>AI170*VLOOKUP('Données projet'!$B$10,Paramètres!$A$1:$I$89,3,0)*VLOOKUP('Données projet'!$B$10,Paramètres!$A$1:$I$89,5,0)</f>
        <v>1.5961632016114892E-13</v>
      </c>
      <c r="AK170" s="13">
        <f t="shared" si="164"/>
        <v>2.2708641912150958E-12</v>
      </c>
      <c r="AL170" s="20">
        <f t="shared" si="165"/>
        <v>4.2330868906469593E-12</v>
      </c>
      <c r="AM170" s="59">
        <f t="shared" si="113"/>
        <v>293.33333333333752</v>
      </c>
      <c r="AN170" s="59">
        <f ca="1">AVERAGE(OFFSET($AM$3,0,0,'Données projet'!$E$10+1,1))-AVERAGE(OFFSET($H$3,0,0,'Données projet'!$E$10+1,1))</f>
        <v>158.58786357608489</v>
      </c>
      <c r="AO170" s="59">
        <f t="shared" si="144"/>
        <v>163.20074068819849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0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-1.7053025658242404E-13</v>
      </c>
      <c r="BE170" s="13">
        <f>BD170*VLOOKUP('Données projet'!$B$11,Paramètres!$A$1:$I$89,3,0)*VLOOKUP('Données projet'!$B$11,Paramètres!$A$1:$I$89,5,0)</f>
        <v>-1.0197709343628959E-13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243.85350804244348</v>
      </c>
      <c r="BJ170" s="59">
        <f t="shared" si="146"/>
        <v>304.60992308960545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0.3001797660582245</v>
      </c>
      <c r="BQ170" s="21">
        <f>EXP(-LN(2)/25)*BQ169+(1-EXP(-LN(2)/25))/(LN(2)/25)*Calculateur!BL170*Calculateur!BN170*VLOOKUP('Données projet'!$B$11,Paramètres!$A$1:$I$89,3,0)*0.475*44/12</f>
        <v>0.39722578566742395</v>
      </c>
      <c r="BR170" s="21">
        <f>EXP(-LN(2)/2)*BR169+(1-EXP(-LN(2)/2))/(LN(2)/2)*BL170*BO170*VLOOKUP('Données projet'!$B$11,Paramètres!$A$1:$I$89,3,0)*0.475*44/12</f>
        <v>8.955934569276327E-21</v>
      </c>
      <c r="BS170" s="22">
        <f t="shared" si="169"/>
        <v>0.69740555172564844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497</v>
      </c>
      <c r="BZ170" s="13">
        <f>BY170*VLOOKUP('Données projet'!$B$12,Paramètres!$A$1:$I$89,3,0)*VLOOKUP('Données projet'!$B$12,Paramètres!$A$1:$I$89,5,0)</f>
        <v>297.20600000000002</v>
      </c>
      <c r="CA170" s="13">
        <f t="shared" si="170"/>
        <v>70.590415164571112</v>
      </c>
      <c r="CB170" s="20">
        <f t="shared" si="171"/>
        <v>640.57875641162809</v>
      </c>
      <c r="CC170" s="59">
        <f t="shared" si="119"/>
        <v>933.91208974496135</v>
      </c>
      <c r="CD170" s="59">
        <f ca="1">AVERAGE(OFFSET($CC$3,0,0,'Données projet'!$E$12+1,1))-AVERAGE(OFFSET($H$3,0,0,'Données projet'!$E$12+1,1))</f>
        <v>270.30888762640245</v>
      </c>
      <c r="CE170" s="59">
        <f t="shared" si="148"/>
        <v>202.23783851977691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0.14206133546257585</v>
      </c>
      <c r="CL170" s="21">
        <f>EXP(-LN(2)/25)*CL169+(1-EXP(-LN(2)/25))/(LN(2)/25)*Calculateur!CG170*Calculateur!CI170*VLOOKUP('Données projet'!$B$12,Paramètres!$A$1:$I$89,3,0)*0.475*44/12</f>
        <v>0.27548091068799546</v>
      </c>
      <c r="CM170" s="21">
        <f>EXP(-LN(2)/2)*CM169+(1-EXP(-LN(2)/2))/(LN(2)/2)*CG170*CJ170*VLOOKUP('Données projet'!$B$12,Paramètres!$A$1:$I$89,3,0)*0.475*44/12</f>
        <v>4.4304054692071119E-20</v>
      </c>
      <c r="CN170" s="22">
        <f t="shared" si="172"/>
        <v>0.41754224615057134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-5.1159076974727213E-13</v>
      </c>
      <c r="CU170" s="17">
        <f>CT170*VLOOKUP('Données projet'!$B$13,Paramètres!$A$1:$I$89,3,0)*VLOOKUP('Données projet'!$B$13,Paramètres!$A$1:$I$89,5,0)</f>
        <v>-4.0702161641092972E-13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260.20517190557814</v>
      </c>
      <c r="CZ170" s="59">
        <f t="shared" si="150"/>
        <v>307.22009971147133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0.21642049342088573</v>
      </c>
      <c r="DG170" s="21">
        <f>EXP(-LN(2)/25)*DG169+(1-EXP(-LN(2)/25))/(LN(2)/25)*Calculateur!DB170*Calculateur!DD170*VLOOKUP('Données projet'!$B$13,Paramètres!$A$1:$I$89,3,0)*0.475*44/12</f>
        <v>0.45975300022535198</v>
      </c>
      <c r="DH170" s="21">
        <f>EXP(-LN(2)/2)*DH169+(1-EXP(-LN(2)/2))/(LN(2)/2)*DB170*DE170*VLOOKUP('Données projet'!$B$13,Paramètres!$A$1:$I$89,3,0)*0.475*44/12</f>
        <v>5.7592020254966999E-20</v>
      </c>
      <c r="DI170" s="22">
        <f t="shared" si="175"/>
        <v>0.67617349364623769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4.5474735088646412E-13</v>
      </c>
      <c r="DP170" s="17">
        <f>DO170*VLOOKUP('Données projet'!$B$14,Paramètres!$A$1:$I$89,3,0)*VLOOKUP('Données projet'!$B$14,Paramètres!$A$1:$I$89,5,0)</f>
        <v>4.6111381379887462E-13</v>
      </c>
      <c r="DQ170" s="13">
        <f t="shared" si="176"/>
        <v>5.7981965206434308E-12</v>
      </c>
      <c r="DR170" s="20">
        <f t="shared" si="177"/>
        <v>1.0901632165820347E-11</v>
      </c>
      <c r="DS170" s="59">
        <f t="shared" si="125"/>
        <v>293.33333333334423</v>
      </c>
      <c r="DT170" s="59">
        <f ca="1">AVERAGE(OFFSET($DS$3,0,0,'Données projet'!$E$14+1,1))-AVERAGE(OFFSET($H$3,0,0,'Données projet'!$E$14+1,1))</f>
        <v>263.15518481854753</v>
      </c>
      <c r="DU170" s="59">
        <f t="shared" si="152"/>
        <v>210.80755370263819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0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-5.1159076974727213E-13</v>
      </c>
      <c r="EK170" s="17">
        <f>EJ170*VLOOKUP('Données projet'!$B$15,Paramètres!$A$1:$I$89,3,0)*VLOOKUP('Données projet'!$B$15,Paramètres!$A$1:$I$89,5,0)</f>
        <v>-3.4317508834647017E-13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207.93042467236967</v>
      </c>
      <c r="EP170" s="59">
        <f t="shared" si="154"/>
        <v>250.70954318710835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0.18247218072741322</v>
      </c>
      <c r="EW170" s="21">
        <f>EXP(-LN(2)/25)*EW169+(1-EXP(-LN(2)/25))/(LN(2)/25)*Calculateur!ER170*Calculateur!ET170*VLOOKUP('Données projet'!$B$15,Paramètres!$A$1:$I$89,3,0)*0.475*44/12</f>
        <v>0.38763488254294448</v>
      </c>
      <c r="EX170" s="21">
        <f>EXP(-LN(2)/2)*EX169+(1-EXP(-LN(2)/2))/(LN(2)/2)*ER170*EU170*VLOOKUP('Données projet'!$B$15,Paramètres!$A$1:$I$89,3,0)*0.475*44/12</f>
        <v>4.8557977862030997E-20</v>
      </c>
      <c r="EY170" s="22">
        <f t="shared" si="181"/>
        <v>0.57010706327035776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4.5474735088646412E-13</v>
      </c>
      <c r="FF170" s="17">
        <f>FE170*VLOOKUP('Données projet'!$B$16,Paramètres!$A$1:$I$89,3,0)*VLOOKUP('Données projet'!$B$16,Paramètres!$A$1:$I$89,5,0)</f>
        <v>4.8949004849418999E-13</v>
      </c>
      <c r="FG170" s="13">
        <f t="shared" si="182"/>
        <v>6.1123715499968684E-12</v>
      </c>
      <c r="FH170" s="20">
        <f t="shared" si="183"/>
        <v>1.1498242284038591E-11</v>
      </c>
      <c r="FI170" s="59">
        <f t="shared" si="131"/>
        <v>293.3333333333448</v>
      </c>
      <c r="FJ170" s="59">
        <f ca="1">AVERAGE(OFFSET($FI$3,0,0,'Données projet'!$E$16+1,1))-AVERAGE(OFFSET($H$3,0,0,'Données projet'!$E$16+1,1))</f>
        <v>286.77702855541287</v>
      </c>
      <c r="FK170" s="59">
        <f t="shared" si="156"/>
        <v>227.12211541860779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0</v>
      </c>
      <c r="FR170" s="21">
        <f>EXP(-LN(2)/25)*FR169+(1-EXP(-LN(2)/25))/(LN(2)/25)*Calculateur!FM170*Calculateur!FO170*VLOOKUP('Données projet'!$B$16,Paramètres!$A$1:$I$89,3,0)*0.475*44/12</f>
        <v>0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0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5.6843418860808015E-13</v>
      </c>
      <c r="GA170" s="17">
        <f>FZ170*VLOOKUP('Données projet'!$B$17,Paramètres!$A$1:$I$89,3,0)*VLOOKUP('Données projet'!$B$17,Paramètres!$A$1:$I$89,5,0)</f>
        <v>2.6602720026858149E-13</v>
      </c>
      <c r="GB170" s="13">
        <f t="shared" si="185"/>
        <v>3.5662905043956649E-12</v>
      </c>
      <c r="GC170" s="20">
        <f t="shared" si="186"/>
        <v>6.6746200022902298E-12</v>
      </c>
      <c r="GD170" s="59">
        <f t="shared" si="134"/>
        <v>293.33333333333997</v>
      </c>
      <c r="GE170" s="59">
        <f ca="1">AVERAGE(OFFSET($GD$3,0,0,'Données projet'!$E$17+1,1))-AVERAGE(OFFSET($H$3,0,0,'Données projet'!$E$17+1,1))</f>
        <v>123.2823358462245</v>
      </c>
      <c r="GF170" s="59">
        <f t="shared" si="158"/>
        <v>92.75115399786057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0</v>
      </c>
      <c r="GM170" s="21">
        <f>EXP(-LN(2)/25)*GM169+(1-EXP(-LN(2)/25))/(LN(2)/25)*Calculateur!GH170*Calculateur!GJ170*VLOOKUP('Données projet'!$B$17,Paramètres!$A$1:$I$89,3,0)*0.475*44/12</f>
        <v>0</v>
      </c>
      <c r="GN170" s="21">
        <f>EXP(-LN(2)/2)*GN169+(1-EXP(-LN(2)/2))/(LN(2)/2)*GH170*GK170*VLOOKUP('Données projet'!$B$17,Paramètres!$A$1:$I$89,3,0)*0.475*44/12</f>
        <v>0</v>
      </c>
      <c r="GO170" s="21">
        <f t="shared" si="187"/>
        <v>0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-2.8421709430404007E-13</v>
      </c>
      <c r="GV170" s="17">
        <f>GU170*VLOOKUP('Données projet'!$B$18,Paramètres!$A$1:$I$89,3,0)*VLOOKUP('Données projet'!$B$18,Paramètres!$A$1:$I$89,5,0)</f>
        <v>-1.69961822393816E-13</v>
      </c>
      <c r="GW170" s="13" t="e">
        <f t="shared" si="188"/>
        <v>#NUM!</v>
      </c>
      <c r="GX170" s="20" t="e">
        <f t="shared" si="189"/>
        <v>#NUM!</v>
      </c>
      <c r="GY170" s="59" t="e">
        <f t="shared" si="137"/>
        <v>#NUM!</v>
      </c>
      <c r="GZ170" s="59">
        <f ca="1">AVERAGE(OFFSET($GY$3,0,0,'Données projet'!$E$18+1,1))-AVERAGE(OFFSET($H$3,0,0,'Données projet'!$E$18+1,1))</f>
        <v>171.96009656745713</v>
      </c>
      <c r="HA170" s="59">
        <f t="shared" si="160"/>
        <v>172.37574906747716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>
        <f>EXP(-LN(2)/35)*HG169+(1-EXP(-LN(2)/35))/(LN(2)/35)*HC170*HD170*VLOOKUP('Données projet'!$B$18,Paramètres!$A$1:$I$89,3,0)*0.475*44/12</f>
        <v>0.11063482223146054</v>
      </c>
      <c r="HH170" s="21">
        <f>EXP(-LN(2)/25)*HH169+(1-EXP(-LN(2)/25))/(LN(2)/25)*Calculateur!HC170*Calculateur!HE170*VLOOKUP('Données projet'!$B$18,Paramètres!$A$1:$I$89,3,0)*0.475*44/12</f>
        <v>0.46059024627239364</v>
      </c>
      <c r="HI170" s="21">
        <f>EXP(-LN(2)/2)*HI169+(1-EXP(-LN(2)/2))/(LN(2)/2)*HC170*HF170*VLOOKUP('Données projet'!$B$18,Paramètres!$A$1:$I$89,3,0)*0.475*44/12</f>
        <v>2.8856153929138463E-20</v>
      </c>
      <c r="HJ170" s="22">
        <f t="shared" si="190"/>
        <v>0.57122506850385424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-2.2737367544323206E-13</v>
      </c>
      <c r="O171" s="13">
        <f>N171*VLOOKUP('Données projet'!$B$9,Paramètres!$A$1:$I$89,3,0)*VLOOKUP('Données projet'!$B$9,Paramètres!$A$1:$I$89,5,0)</f>
        <v>-1.2710188457276673E-13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255.5374979188561</v>
      </c>
      <c r="T171" s="59">
        <f t="shared" si="142"/>
        <v>343.10418468620901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0.20093054012779885</v>
      </c>
      <c r="AA171" s="21">
        <f>EXP(-LN(2)/25)*AA170+(1-EXP(-LN(2)/25))/(LN(2)/25)*Calculateur!V171*Calculateur!X171*VLOOKUP('Données projet'!$B$9,Paramètres!$A$1:$I$89,3,0)*0.475*44/12</f>
        <v>0.34781984898832163</v>
      </c>
      <c r="AB171" s="21">
        <f>EXP(-LN(2)/2)*AB170+(1-EXP(-LN(2)/2))/(LN(2)/2)*V171*Y171*VLOOKUP('Données projet'!$B$9,Paramètres!$A$1:$I$89,3,0)*0.475*44/12</f>
        <v>2.8674641590721954E-21</v>
      </c>
      <c r="AC171" s="22">
        <f t="shared" si="163"/>
        <v>0.54875038911612051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3.4106051316484809E-13</v>
      </c>
      <c r="AJ171" s="13">
        <f>AI171*VLOOKUP('Données projet'!$B$10,Paramètres!$A$1:$I$89,3,0)*VLOOKUP('Données projet'!$B$10,Paramètres!$A$1:$I$89,5,0)</f>
        <v>1.5961632016114892E-13</v>
      </c>
      <c r="AK171" s="13">
        <f t="shared" si="164"/>
        <v>2.2708641912150958E-12</v>
      </c>
      <c r="AL171" s="20">
        <f t="shared" si="165"/>
        <v>4.2330868906469593E-12</v>
      </c>
      <c r="AM171" s="59">
        <f t="shared" si="113"/>
        <v>293.33333333333752</v>
      </c>
      <c r="AN171" s="59">
        <f ca="1">AVERAGE(OFFSET($AM$3,0,0,'Données projet'!$E$10+1,1))-AVERAGE(OFFSET($H$3,0,0,'Données projet'!$E$10+1,1))</f>
        <v>158.58786357608489</v>
      </c>
      <c r="AO171" s="59">
        <f t="shared" si="144"/>
        <v>163.20074068819849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0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-1.7053025658242404E-13</v>
      </c>
      <c r="BE171" s="13">
        <f>BD171*VLOOKUP('Données projet'!$B$11,Paramètres!$A$1:$I$89,3,0)*VLOOKUP('Données projet'!$B$11,Paramètres!$A$1:$I$89,5,0)</f>
        <v>-1.0197709343628959E-13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243.85350804244348</v>
      </c>
      <c r="BJ171" s="59">
        <f t="shared" si="146"/>
        <v>304.60992308960545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0.29429342393740121</v>
      </c>
      <c r="BQ171" s="21">
        <f>EXP(-LN(2)/25)*BQ170+(1-EXP(-LN(2)/25))/(LN(2)/25)*Calculateur!BL171*Calculateur!BN171*VLOOKUP('Données projet'!$B$11,Paramètres!$A$1:$I$89,3,0)*0.475*44/12</f>
        <v>0.38636362566915206</v>
      </c>
      <c r="BR171" s="21">
        <f>EXP(-LN(2)/2)*BR170+(1-EXP(-LN(2)/2))/(LN(2)/2)*BL171*BO171*VLOOKUP('Données projet'!$B$11,Paramètres!$A$1:$I$89,3,0)*0.475*44/12</f>
        <v>6.3328020657983126E-21</v>
      </c>
      <c r="BS171" s="22">
        <f t="shared" si="169"/>
        <v>0.68065704960655327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497</v>
      </c>
      <c r="BZ171" s="13">
        <f>BY171*VLOOKUP('Données projet'!$B$12,Paramètres!$A$1:$I$89,3,0)*VLOOKUP('Données projet'!$B$12,Paramètres!$A$1:$I$89,5,0)</f>
        <v>297.20600000000002</v>
      </c>
      <c r="CA171" s="13">
        <f t="shared" si="170"/>
        <v>70.590415164571112</v>
      </c>
      <c r="CB171" s="20">
        <f t="shared" si="171"/>
        <v>640.57875641162809</v>
      </c>
      <c r="CC171" s="59">
        <f t="shared" si="119"/>
        <v>933.91208974496135</v>
      </c>
      <c r="CD171" s="59">
        <f ca="1">AVERAGE(OFFSET($CC$3,0,0,'Données projet'!$E$12+1,1))-AVERAGE(OFFSET($H$3,0,0,'Données projet'!$E$12+1,1))</f>
        <v>270.30888762640245</v>
      </c>
      <c r="CE171" s="59">
        <f t="shared" si="148"/>
        <v>202.23783851977691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0.1392755993230135</v>
      </c>
      <c r="CL171" s="21">
        <f>EXP(-LN(2)/25)*CL170+(1-EXP(-LN(2)/25))/(LN(2)/25)*Calculateur!CG171*Calculateur!CI171*VLOOKUP('Données projet'!$B$12,Paramètres!$A$1:$I$89,3,0)*0.475*44/12</f>
        <v>0.26794787069832077</v>
      </c>
      <c r="CM171" s="21">
        <f>EXP(-LN(2)/2)*CM170+(1-EXP(-LN(2)/2))/(LN(2)/2)*CG171*CJ171*VLOOKUP('Données projet'!$B$12,Paramètres!$A$1:$I$89,3,0)*0.475*44/12</f>
        <v>3.1327697506823167E-20</v>
      </c>
      <c r="CN171" s="22">
        <f t="shared" si="172"/>
        <v>0.4072234700213343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-5.1159076974727213E-13</v>
      </c>
      <c r="CU171" s="17">
        <f>CT171*VLOOKUP('Données projet'!$B$13,Paramètres!$A$1:$I$89,3,0)*VLOOKUP('Données projet'!$B$13,Paramètres!$A$1:$I$89,5,0)</f>
        <v>-4.0702161641092972E-13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260.20517190557814</v>
      </c>
      <c r="CZ171" s="59">
        <f t="shared" si="150"/>
        <v>307.22009971147133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0.21217661954836889</v>
      </c>
      <c r="DG171" s="21">
        <f>EXP(-LN(2)/25)*DG170+(1-EXP(-LN(2)/25))/(LN(2)/25)*Calculateur!DB171*Calculateur!DD171*VLOOKUP('Données projet'!$B$13,Paramètres!$A$1:$I$89,3,0)*0.475*44/12</f>
        <v>0.4471810302568302</v>
      </c>
      <c r="DH171" s="21">
        <f>EXP(-LN(2)/2)*DH170+(1-EXP(-LN(2)/2))/(LN(2)/2)*DB171*DE171*VLOOKUP('Données projet'!$B$13,Paramètres!$A$1:$I$89,3,0)*0.475*44/12</f>
        <v>4.0723708064520163E-20</v>
      </c>
      <c r="DI171" s="22">
        <f t="shared" si="175"/>
        <v>0.65935764980519906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4.5474735088646412E-13</v>
      </c>
      <c r="DP171" s="17">
        <f>DO171*VLOOKUP('Données projet'!$B$14,Paramètres!$A$1:$I$89,3,0)*VLOOKUP('Données projet'!$B$14,Paramètres!$A$1:$I$89,5,0)</f>
        <v>4.6111381379887462E-13</v>
      </c>
      <c r="DQ171" s="13">
        <f t="shared" si="176"/>
        <v>5.7981965206434308E-12</v>
      </c>
      <c r="DR171" s="20">
        <f t="shared" si="177"/>
        <v>1.0901632165820347E-11</v>
      </c>
      <c r="DS171" s="59">
        <f t="shared" si="125"/>
        <v>293.33333333334423</v>
      </c>
      <c r="DT171" s="59">
        <f ca="1">AVERAGE(OFFSET($DS$3,0,0,'Données projet'!$E$14+1,1))-AVERAGE(OFFSET($H$3,0,0,'Données projet'!$E$14+1,1))</f>
        <v>263.15518481854753</v>
      </c>
      <c r="DU171" s="59">
        <f t="shared" si="152"/>
        <v>210.80755370263819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0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-5.1159076974727213E-13</v>
      </c>
      <c r="EK171" s="17">
        <f>EJ171*VLOOKUP('Données projet'!$B$15,Paramètres!$A$1:$I$89,3,0)*VLOOKUP('Données projet'!$B$15,Paramètres!$A$1:$I$89,5,0)</f>
        <v>-3.4317508834647017E-13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207.93042467236967</v>
      </c>
      <c r="EP171" s="59">
        <f t="shared" si="154"/>
        <v>250.70954318710835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0.17889401256038923</v>
      </c>
      <c r="EW171" s="21">
        <f>EXP(-LN(2)/25)*EW170+(1-EXP(-LN(2)/25))/(LN(2)/25)*Calculateur!ER171*Calculateur!ET171*VLOOKUP('Données projet'!$B$15,Paramètres!$A$1:$I$89,3,0)*0.475*44/12</f>
        <v>0.37703498629497512</v>
      </c>
      <c r="EX171" s="21">
        <f>EXP(-LN(2)/2)*EX170+(1-EXP(-LN(2)/2))/(LN(2)/2)*ER171*EU171*VLOOKUP('Données projet'!$B$15,Paramètres!$A$1:$I$89,3,0)*0.475*44/12</f>
        <v>3.433567542694837E-20</v>
      </c>
      <c r="EY171" s="22">
        <f t="shared" si="181"/>
        <v>0.5559289988553644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4.5474735088646412E-13</v>
      </c>
      <c r="FF171" s="17">
        <f>FE171*VLOOKUP('Données projet'!$B$16,Paramètres!$A$1:$I$89,3,0)*VLOOKUP('Données projet'!$B$16,Paramètres!$A$1:$I$89,5,0)</f>
        <v>4.8949004849418999E-13</v>
      </c>
      <c r="FG171" s="13">
        <f t="shared" si="182"/>
        <v>6.1123715499968684E-12</v>
      </c>
      <c r="FH171" s="20">
        <f t="shared" si="183"/>
        <v>1.1498242284038591E-11</v>
      </c>
      <c r="FI171" s="59">
        <f t="shared" si="131"/>
        <v>293.3333333333448</v>
      </c>
      <c r="FJ171" s="59">
        <f ca="1">AVERAGE(OFFSET($FI$3,0,0,'Données projet'!$E$16+1,1))-AVERAGE(OFFSET($H$3,0,0,'Données projet'!$E$16+1,1))</f>
        <v>286.77702855541287</v>
      </c>
      <c r="FK171" s="59">
        <f t="shared" si="156"/>
        <v>227.12211541860779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0</v>
      </c>
      <c r="FR171" s="21">
        <f>EXP(-LN(2)/25)*FR170+(1-EXP(-LN(2)/25))/(LN(2)/25)*Calculateur!FM171*Calculateur!FO171*VLOOKUP('Données projet'!$B$16,Paramètres!$A$1:$I$89,3,0)*0.475*44/12</f>
        <v>0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0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5.6843418860808015E-13</v>
      </c>
      <c r="GA171" s="17">
        <f>FZ171*VLOOKUP('Données projet'!$B$17,Paramètres!$A$1:$I$89,3,0)*VLOOKUP('Données projet'!$B$17,Paramètres!$A$1:$I$89,5,0)</f>
        <v>2.6602720026858149E-13</v>
      </c>
      <c r="GB171" s="13">
        <f t="shared" si="185"/>
        <v>3.5662905043956649E-12</v>
      </c>
      <c r="GC171" s="20">
        <f t="shared" si="186"/>
        <v>6.6746200022902298E-12</v>
      </c>
      <c r="GD171" s="59">
        <f t="shared" si="134"/>
        <v>293.33333333333997</v>
      </c>
      <c r="GE171" s="59">
        <f ca="1">AVERAGE(OFFSET($GD$3,0,0,'Données projet'!$E$17+1,1))-AVERAGE(OFFSET($H$3,0,0,'Données projet'!$E$17+1,1))</f>
        <v>123.2823358462245</v>
      </c>
      <c r="GF171" s="59">
        <f t="shared" si="158"/>
        <v>92.75115399786057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0</v>
      </c>
      <c r="GM171" s="21">
        <f>EXP(-LN(2)/25)*GM170+(1-EXP(-LN(2)/25))/(LN(2)/25)*Calculateur!GH171*Calculateur!GJ171*VLOOKUP('Données projet'!$B$17,Paramètres!$A$1:$I$89,3,0)*0.475*44/12</f>
        <v>0</v>
      </c>
      <c r="GN171" s="21">
        <f>EXP(-LN(2)/2)*GN170+(1-EXP(-LN(2)/2))/(LN(2)/2)*GH171*GK171*VLOOKUP('Données projet'!$B$17,Paramètres!$A$1:$I$89,3,0)*0.475*44/12</f>
        <v>0</v>
      </c>
      <c r="GO171" s="21">
        <f t="shared" si="187"/>
        <v>0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-2.8421709430404007E-13</v>
      </c>
      <c r="GV171" s="17">
        <f>GU171*VLOOKUP('Données projet'!$B$18,Paramètres!$A$1:$I$89,3,0)*VLOOKUP('Données projet'!$B$18,Paramètres!$A$1:$I$89,5,0)</f>
        <v>-1.69961822393816E-13</v>
      </c>
      <c r="GW171" s="13" t="e">
        <f t="shared" si="188"/>
        <v>#NUM!</v>
      </c>
      <c r="GX171" s="20" t="e">
        <f t="shared" si="189"/>
        <v>#NUM!</v>
      </c>
      <c r="GY171" s="59" t="e">
        <f t="shared" si="137"/>
        <v>#NUM!</v>
      </c>
      <c r="GZ171" s="59">
        <f ca="1">AVERAGE(OFFSET($GY$3,0,0,'Données projet'!$E$18+1,1))-AVERAGE(OFFSET($H$3,0,0,'Données projet'!$E$18+1,1))</f>
        <v>171.96009656745713</v>
      </c>
      <c r="HA171" s="59">
        <f t="shared" si="160"/>
        <v>172.37574906747716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>
        <f>EXP(-LN(2)/35)*HG170+(1-EXP(-LN(2)/35))/(LN(2)/35)*HC171*HD171*VLOOKUP('Données projet'!$B$18,Paramètres!$A$1:$I$89,3,0)*0.475*44/12</f>
        <v>0.10846534084808</v>
      </c>
      <c r="HH171" s="21">
        <f>EXP(-LN(2)/25)*HH170+(1-EXP(-LN(2)/25))/(LN(2)/25)*Calculateur!HC171*Calculateur!HE171*VLOOKUP('Données projet'!$B$18,Paramètres!$A$1:$I$89,3,0)*0.475*44/12</f>
        <v>0.44799538176668668</v>
      </c>
      <c r="HI171" s="21">
        <f>EXP(-LN(2)/2)*HI170+(1-EXP(-LN(2)/2))/(LN(2)/2)*HC171*HF171*VLOOKUP('Données projet'!$B$18,Paramètres!$A$1:$I$89,3,0)*0.475*44/12</f>
        <v>2.0404382122256645E-20</v>
      </c>
      <c r="HJ171" s="22">
        <f t="shared" si="190"/>
        <v>0.55646072261476665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-2.2737367544323206E-13</v>
      </c>
      <c r="O172" s="13">
        <f>N172*VLOOKUP('Données projet'!$B$9,Paramètres!$A$1:$I$89,3,0)*VLOOKUP('Données projet'!$B$9,Paramètres!$A$1:$I$89,5,0)</f>
        <v>-1.2710188457276673E-13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255.5374979188561</v>
      </c>
      <c r="T172" s="59">
        <f t="shared" si="142"/>
        <v>343.10418468620901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0.19699041479142085</v>
      </c>
      <c r="AA172" s="21">
        <f>EXP(-LN(2)/25)*AA171+(1-EXP(-LN(2)/25))/(LN(2)/25)*Calculateur!V172*Calculateur!X172*VLOOKUP('Données projet'!$B$9,Paramètres!$A$1:$I$89,3,0)*0.475*44/12</f>
        <v>0.33830869692668508</v>
      </c>
      <c r="AB172" s="21">
        <f>EXP(-LN(2)/2)*AB171+(1-EXP(-LN(2)/2))/(LN(2)/2)*V172*Y172*VLOOKUP('Données projet'!$B$9,Paramètres!$A$1:$I$89,3,0)*0.475*44/12</f>
        <v>2.0276033516893304E-21</v>
      </c>
      <c r="AC172" s="22">
        <f t="shared" si="163"/>
        <v>0.53529911171810596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3.4106051316484809E-13</v>
      </c>
      <c r="AJ172" s="13">
        <f>AI172*VLOOKUP('Données projet'!$B$10,Paramètres!$A$1:$I$89,3,0)*VLOOKUP('Données projet'!$B$10,Paramètres!$A$1:$I$89,5,0)</f>
        <v>1.5961632016114892E-13</v>
      </c>
      <c r="AK172" s="13">
        <f t="shared" si="164"/>
        <v>2.2708641912150958E-12</v>
      </c>
      <c r="AL172" s="20">
        <f t="shared" si="165"/>
        <v>4.2330868906469593E-12</v>
      </c>
      <c r="AM172" s="59">
        <f t="shared" si="113"/>
        <v>293.33333333333752</v>
      </c>
      <c r="AN172" s="59">
        <f ca="1">AVERAGE(OFFSET($AM$3,0,0,'Données projet'!$E$10+1,1))-AVERAGE(OFFSET($H$3,0,0,'Données projet'!$E$10+1,1))</f>
        <v>158.58786357608489</v>
      </c>
      <c r="AO172" s="59">
        <f t="shared" si="144"/>
        <v>163.20074068819849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0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-1.7053025658242404E-13</v>
      </c>
      <c r="BE172" s="13">
        <f>BD172*VLOOKUP('Données projet'!$B$11,Paramètres!$A$1:$I$89,3,0)*VLOOKUP('Données projet'!$B$11,Paramètres!$A$1:$I$89,5,0)</f>
        <v>-1.0197709343628959E-13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243.85350804244348</v>
      </c>
      <c r="BJ172" s="59">
        <f t="shared" si="146"/>
        <v>304.60992308960545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0.28852250939525309</v>
      </c>
      <c r="BQ172" s="21">
        <f>EXP(-LN(2)/25)*BQ171+(1-EXP(-LN(2)/25))/(LN(2)/25)*Calculateur!BL172*Calculateur!BN172*VLOOKUP('Données projet'!$B$11,Paramètres!$A$1:$I$89,3,0)*0.475*44/12</f>
        <v>0.37579849200724907</v>
      </c>
      <c r="BR172" s="21">
        <f>EXP(-LN(2)/2)*BR171+(1-EXP(-LN(2)/2))/(LN(2)/2)*BL172*BO172*VLOOKUP('Données projet'!$B$11,Paramètres!$A$1:$I$89,3,0)*0.475*44/12</f>
        <v>4.4779672846381635E-21</v>
      </c>
      <c r="BS172" s="22">
        <f t="shared" si="169"/>
        <v>0.66432100140250216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497</v>
      </c>
      <c r="BZ172" s="13">
        <f>BY172*VLOOKUP('Données projet'!$B$12,Paramètres!$A$1:$I$89,3,0)*VLOOKUP('Données projet'!$B$12,Paramètres!$A$1:$I$89,5,0)</f>
        <v>297.20600000000002</v>
      </c>
      <c r="CA172" s="13">
        <f t="shared" si="170"/>
        <v>70.590415164571112</v>
      </c>
      <c r="CB172" s="20">
        <f t="shared" si="171"/>
        <v>640.57875641162809</v>
      </c>
      <c r="CC172" s="59">
        <f t="shared" si="119"/>
        <v>933.91208974496135</v>
      </c>
      <c r="CD172" s="59">
        <f ca="1">AVERAGE(OFFSET($CC$3,0,0,'Données projet'!$E$12+1,1))-AVERAGE(OFFSET($H$3,0,0,'Données projet'!$E$12+1,1))</f>
        <v>270.30888762640245</v>
      </c>
      <c r="CE172" s="59">
        <f t="shared" si="148"/>
        <v>202.23783851977691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0.13654448977001671</v>
      </c>
      <c r="CL172" s="21">
        <f>EXP(-LN(2)/25)*CL171+(1-EXP(-LN(2)/25))/(LN(2)/25)*Calculateur!CG172*Calculateur!CI172*VLOOKUP('Données projet'!$B$12,Paramètres!$A$1:$I$89,3,0)*0.475*44/12</f>
        <v>0.26062082208330906</v>
      </c>
      <c r="CM172" s="21">
        <f>EXP(-LN(2)/2)*CM171+(1-EXP(-LN(2)/2))/(LN(2)/2)*CG172*CJ172*VLOOKUP('Données projet'!$B$12,Paramètres!$A$1:$I$89,3,0)*0.475*44/12</f>
        <v>2.215202734603556E-20</v>
      </c>
      <c r="CN172" s="22">
        <f t="shared" si="172"/>
        <v>0.39716531185332576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-5.1159076974727213E-13</v>
      </c>
      <c r="CU172" s="17">
        <f>CT172*VLOOKUP('Données projet'!$B$13,Paramètres!$A$1:$I$89,3,0)*VLOOKUP('Données projet'!$B$13,Paramètres!$A$1:$I$89,5,0)</f>
        <v>-4.0702161641092972E-13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260.20517190557814</v>
      </c>
      <c r="CZ172" s="59">
        <f t="shared" si="150"/>
        <v>307.22009971147133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0.20801596545398462</v>
      </c>
      <c r="DG172" s="21">
        <f>EXP(-LN(2)/25)*DG171+(1-EXP(-LN(2)/25))/(LN(2)/25)*Calculateur!DB172*Calculateur!DD172*VLOOKUP('Données projet'!$B$13,Paramètres!$A$1:$I$89,3,0)*0.475*44/12</f>
        <v>0.43495284146822882</v>
      </c>
      <c r="DH172" s="21">
        <f>EXP(-LN(2)/2)*DH171+(1-EXP(-LN(2)/2))/(LN(2)/2)*DB172*DE172*VLOOKUP('Données projet'!$B$13,Paramètres!$A$1:$I$89,3,0)*0.475*44/12</f>
        <v>2.87960101274835E-20</v>
      </c>
      <c r="DI172" s="22">
        <f t="shared" si="175"/>
        <v>0.64296880692221348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4.5474735088646412E-13</v>
      </c>
      <c r="DP172" s="17">
        <f>DO172*VLOOKUP('Données projet'!$B$14,Paramètres!$A$1:$I$89,3,0)*VLOOKUP('Données projet'!$B$14,Paramètres!$A$1:$I$89,5,0)</f>
        <v>4.6111381379887462E-13</v>
      </c>
      <c r="DQ172" s="13">
        <f t="shared" si="176"/>
        <v>5.7981965206434308E-12</v>
      </c>
      <c r="DR172" s="20">
        <f t="shared" si="177"/>
        <v>1.0901632165820347E-11</v>
      </c>
      <c r="DS172" s="59">
        <f t="shared" si="125"/>
        <v>293.33333333334423</v>
      </c>
      <c r="DT172" s="59">
        <f ca="1">AVERAGE(OFFSET($DS$3,0,0,'Données projet'!$E$14+1,1))-AVERAGE(OFFSET($H$3,0,0,'Données projet'!$E$14+1,1))</f>
        <v>263.15518481854753</v>
      </c>
      <c r="DU172" s="59">
        <f t="shared" si="152"/>
        <v>210.80755370263819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0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-5.1159076974727213E-13</v>
      </c>
      <c r="EK172" s="17">
        <f>EJ172*VLOOKUP('Données projet'!$B$15,Paramètres!$A$1:$I$89,3,0)*VLOOKUP('Données projet'!$B$15,Paramètres!$A$1:$I$89,5,0)</f>
        <v>-3.4317508834647017E-13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207.93042467236967</v>
      </c>
      <c r="EP172" s="59">
        <f t="shared" si="154"/>
        <v>250.70954318710835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0.17538601008865348</v>
      </c>
      <c r="EW172" s="21">
        <f>EXP(-LN(2)/25)*EW171+(1-EXP(-LN(2)/25))/(LN(2)/25)*Calculateur!ER172*Calculateur!ET172*VLOOKUP('Données projet'!$B$15,Paramètres!$A$1:$I$89,3,0)*0.475*44/12</f>
        <v>0.36672494476733081</v>
      </c>
      <c r="EX172" s="21">
        <f>EXP(-LN(2)/2)*EX171+(1-EXP(-LN(2)/2))/(LN(2)/2)*ER172*EU172*VLOOKUP('Données projet'!$B$15,Paramètres!$A$1:$I$89,3,0)*0.475*44/12</f>
        <v>2.4278988931015498E-20</v>
      </c>
      <c r="EY172" s="22">
        <f t="shared" si="181"/>
        <v>0.54211095485598426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4.5474735088646412E-13</v>
      </c>
      <c r="FF172" s="17">
        <f>FE172*VLOOKUP('Données projet'!$B$16,Paramètres!$A$1:$I$89,3,0)*VLOOKUP('Données projet'!$B$16,Paramètres!$A$1:$I$89,5,0)</f>
        <v>4.8949004849418999E-13</v>
      </c>
      <c r="FG172" s="13">
        <f t="shared" si="182"/>
        <v>6.1123715499968684E-12</v>
      </c>
      <c r="FH172" s="20">
        <f t="shared" si="183"/>
        <v>1.1498242284038591E-11</v>
      </c>
      <c r="FI172" s="59">
        <f t="shared" si="131"/>
        <v>293.3333333333448</v>
      </c>
      <c r="FJ172" s="59">
        <f ca="1">AVERAGE(OFFSET($FI$3,0,0,'Données projet'!$E$16+1,1))-AVERAGE(OFFSET($H$3,0,0,'Données projet'!$E$16+1,1))</f>
        <v>286.77702855541287</v>
      </c>
      <c r="FK172" s="59">
        <f t="shared" si="156"/>
        <v>227.12211541860779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0</v>
      </c>
      <c r="FR172" s="21">
        <f>EXP(-LN(2)/25)*FR171+(1-EXP(-LN(2)/25))/(LN(2)/25)*Calculateur!FM172*Calculateur!FO172*VLOOKUP('Données projet'!$B$16,Paramètres!$A$1:$I$89,3,0)*0.475*44/12</f>
        <v>0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0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5.6843418860808015E-13</v>
      </c>
      <c r="GA172" s="17">
        <f>FZ172*VLOOKUP('Données projet'!$B$17,Paramètres!$A$1:$I$89,3,0)*VLOOKUP('Données projet'!$B$17,Paramètres!$A$1:$I$89,5,0)</f>
        <v>2.6602720026858149E-13</v>
      </c>
      <c r="GB172" s="13">
        <f t="shared" si="185"/>
        <v>3.5662905043956649E-12</v>
      </c>
      <c r="GC172" s="20">
        <f t="shared" si="186"/>
        <v>6.6746200022902298E-12</v>
      </c>
      <c r="GD172" s="59">
        <f t="shared" si="134"/>
        <v>293.33333333333997</v>
      </c>
      <c r="GE172" s="59">
        <f ca="1">AVERAGE(OFFSET($GD$3,0,0,'Données projet'!$E$17+1,1))-AVERAGE(OFFSET($H$3,0,0,'Données projet'!$E$17+1,1))</f>
        <v>123.2823358462245</v>
      </c>
      <c r="GF172" s="59">
        <f t="shared" si="158"/>
        <v>92.75115399786057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0</v>
      </c>
      <c r="GM172" s="21">
        <f>EXP(-LN(2)/25)*GM171+(1-EXP(-LN(2)/25))/(LN(2)/25)*Calculateur!GH172*Calculateur!GJ172*VLOOKUP('Données projet'!$B$17,Paramètres!$A$1:$I$89,3,0)*0.475*44/12</f>
        <v>0</v>
      </c>
      <c r="GN172" s="21">
        <f>EXP(-LN(2)/2)*GN171+(1-EXP(-LN(2)/2))/(LN(2)/2)*GH172*GK172*VLOOKUP('Données projet'!$B$17,Paramètres!$A$1:$I$89,3,0)*0.475*44/12</f>
        <v>0</v>
      </c>
      <c r="GO172" s="21">
        <f t="shared" si="187"/>
        <v>0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-2.8421709430404007E-13</v>
      </c>
      <c r="GV172" s="17">
        <f>GU172*VLOOKUP('Données projet'!$B$18,Paramètres!$A$1:$I$89,3,0)*VLOOKUP('Données projet'!$B$18,Paramètres!$A$1:$I$89,5,0)</f>
        <v>-1.69961822393816E-13</v>
      </c>
      <c r="GW172" s="13" t="e">
        <f t="shared" si="188"/>
        <v>#NUM!</v>
      </c>
      <c r="GX172" s="20" t="e">
        <f t="shared" si="189"/>
        <v>#NUM!</v>
      </c>
      <c r="GY172" s="59" t="e">
        <f t="shared" si="137"/>
        <v>#NUM!</v>
      </c>
      <c r="GZ172" s="59">
        <f ca="1">AVERAGE(OFFSET($GY$3,0,0,'Données projet'!$E$18+1,1))-AVERAGE(OFFSET($H$3,0,0,'Données projet'!$E$18+1,1))</f>
        <v>171.96009656745713</v>
      </c>
      <c r="HA172" s="59">
        <f t="shared" si="160"/>
        <v>172.37574906747716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>
        <f>EXP(-LN(2)/35)*HG171+(1-EXP(-LN(2)/35))/(LN(2)/35)*HC172*HD172*VLOOKUP('Données projet'!$B$18,Paramètres!$A$1:$I$89,3,0)*0.475*44/12</f>
        <v>0.10633840167137458</v>
      </c>
      <c r="HH172" s="21">
        <f>EXP(-LN(2)/25)*HH171+(1-EXP(-LN(2)/25))/(LN(2)/25)*Calculateur!HC172*Calculateur!HE172*VLOOKUP('Données projet'!$B$18,Paramètres!$A$1:$I$89,3,0)*0.475*44/12</f>
        <v>0.43574492449322344</v>
      </c>
      <c r="HI172" s="21">
        <f>EXP(-LN(2)/2)*HI171+(1-EXP(-LN(2)/2))/(LN(2)/2)*HC172*HF172*VLOOKUP('Données projet'!$B$18,Paramètres!$A$1:$I$89,3,0)*0.475*44/12</f>
        <v>1.4428076964569231E-20</v>
      </c>
      <c r="HJ172" s="22">
        <f t="shared" si="190"/>
        <v>0.54208332616459798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-2.2737367544323206E-13</v>
      </c>
      <c r="O173" s="13">
        <f>N173*VLOOKUP('Données projet'!$B$9,Paramètres!$A$1:$I$89,3,0)*VLOOKUP('Données projet'!$B$9,Paramètres!$A$1:$I$89,5,0)</f>
        <v>-1.2710188457276673E-13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255.5374979188561</v>
      </c>
      <c r="T173" s="59">
        <f t="shared" si="142"/>
        <v>343.10418468620901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0.19312755290965006</v>
      </c>
      <c r="AA173" s="21">
        <f>EXP(-LN(2)/25)*AA172+(1-EXP(-LN(2)/25))/(LN(2)/25)*Calculateur!V173*Calculateur!X173*VLOOKUP('Données projet'!$B$9,Paramètres!$A$1:$I$89,3,0)*0.475*44/12</f>
        <v>0.32905762781834375</v>
      </c>
      <c r="AB173" s="21">
        <f>EXP(-LN(2)/2)*AB172+(1-EXP(-LN(2)/2))/(LN(2)/2)*V173*Y173*VLOOKUP('Données projet'!$B$9,Paramètres!$A$1:$I$89,3,0)*0.475*44/12</f>
        <v>1.4337320795360977E-21</v>
      </c>
      <c r="AC173" s="22">
        <f t="shared" si="163"/>
        <v>0.5221851807279938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3.4106051316484809E-13</v>
      </c>
      <c r="AJ173" s="13">
        <f>AI173*VLOOKUP('Données projet'!$B$10,Paramètres!$A$1:$I$89,3,0)*VLOOKUP('Données projet'!$B$10,Paramètres!$A$1:$I$89,5,0)</f>
        <v>1.5961632016114892E-13</v>
      </c>
      <c r="AK173" s="13">
        <f t="shared" si="164"/>
        <v>2.2708641912150958E-12</v>
      </c>
      <c r="AL173" s="20">
        <f t="shared" si="165"/>
        <v>4.2330868906469593E-12</v>
      </c>
      <c r="AM173" s="59">
        <f t="shared" si="113"/>
        <v>293.33333333333752</v>
      </c>
      <c r="AN173" s="59">
        <f ca="1">AVERAGE(OFFSET($AM$3,0,0,'Données projet'!$E$10+1,1))-AVERAGE(OFFSET($H$3,0,0,'Données projet'!$E$10+1,1))</f>
        <v>158.58786357608489</v>
      </c>
      <c r="AO173" s="59">
        <f t="shared" si="144"/>
        <v>163.20074068819849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0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-1.7053025658242404E-13</v>
      </c>
      <c r="BE173" s="13">
        <f>BD173*VLOOKUP('Données projet'!$B$11,Paramètres!$A$1:$I$89,3,0)*VLOOKUP('Données projet'!$B$11,Paramètres!$A$1:$I$89,5,0)</f>
        <v>-1.0197709343628959E-13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243.85350804244348</v>
      </c>
      <c r="BJ173" s="59">
        <f t="shared" si="146"/>
        <v>304.60992308960545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0.28286475896736618</v>
      </c>
      <c r="BQ173" s="21">
        <f>EXP(-LN(2)/25)*BQ172+(1-EXP(-LN(2)/25))/(LN(2)/25)*Calculateur!BL173*Calculateur!BN173*VLOOKUP('Données projet'!$B$11,Paramètres!$A$1:$I$89,3,0)*0.475*44/12</f>
        <v>0.36552226248092706</v>
      </c>
      <c r="BR173" s="21">
        <f>EXP(-LN(2)/2)*BR172+(1-EXP(-LN(2)/2))/(LN(2)/2)*BL173*BO173*VLOOKUP('Données projet'!$B$11,Paramètres!$A$1:$I$89,3,0)*0.475*44/12</f>
        <v>3.1664010328991563E-21</v>
      </c>
      <c r="BS173" s="22">
        <f t="shared" si="169"/>
        <v>0.64838702144829319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497</v>
      </c>
      <c r="BZ173" s="13">
        <f>BY173*VLOOKUP('Données projet'!$B$12,Paramètres!$A$1:$I$89,3,0)*VLOOKUP('Données projet'!$B$12,Paramètres!$A$1:$I$89,5,0)</f>
        <v>297.20600000000002</v>
      </c>
      <c r="CA173" s="13">
        <f t="shared" si="170"/>
        <v>70.590415164571112</v>
      </c>
      <c r="CB173" s="20">
        <f t="shared" si="171"/>
        <v>640.57875641162809</v>
      </c>
      <c r="CC173" s="59">
        <f t="shared" si="119"/>
        <v>933.91208974496135</v>
      </c>
      <c r="CD173" s="59">
        <f ca="1">AVERAGE(OFFSET($CC$3,0,0,'Données projet'!$E$12+1,1))-AVERAGE(OFFSET($H$3,0,0,'Données projet'!$E$12+1,1))</f>
        <v>270.30888762640245</v>
      </c>
      <c r="CE173" s="59">
        <f t="shared" si="148"/>
        <v>202.23783851977691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0.13386693560954183</v>
      </c>
      <c r="CL173" s="21">
        <f>EXP(-LN(2)/25)*CL172+(1-EXP(-LN(2)/25))/(LN(2)/25)*Calculateur!CG173*Calculateur!CI173*VLOOKUP('Données projet'!$B$12,Paramètres!$A$1:$I$89,3,0)*0.475*44/12</f>
        <v>0.25349413199798759</v>
      </c>
      <c r="CM173" s="21">
        <f>EXP(-LN(2)/2)*CM172+(1-EXP(-LN(2)/2))/(LN(2)/2)*CG173*CJ173*VLOOKUP('Données projet'!$B$12,Paramètres!$A$1:$I$89,3,0)*0.475*44/12</f>
        <v>1.5663848753411583E-20</v>
      </c>
      <c r="CN173" s="22">
        <f t="shared" si="172"/>
        <v>0.38736106760752942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-5.1159076974727213E-13</v>
      </c>
      <c r="CU173" s="17">
        <f>CT173*VLOOKUP('Données projet'!$B$13,Paramètres!$A$1:$I$89,3,0)*VLOOKUP('Données projet'!$B$13,Paramètres!$A$1:$I$89,5,0)</f>
        <v>-4.0702161641092972E-13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260.20517190557814</v>
      </c>
      <c r="CZ173" s="59">
        <f t="shared" si="150"/>
        <v>307.22009971147133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0.20393689924864283</v>
      </c>
      <c r="DG173" s="21">
        <f>EXP(-LN(2)/25)*DG172+(1-EXP(-LN(2)/25))/(LN(2)/25)*Calculateur!DB173*Calculateur!DD173*VLOOKUP('Données projet'!$B$13,Paramètres!$A$1:$I$89,3,0)*0.475*44/12</f>
        <v>0.42305903314510429</v>
      </c>
      <c r="DH173" s="21">
        <f>EXP(-LN(2)/2)*DH172+(1-EXP(-LN(2)/2))/(LN(2)/2)*DB173*DE173*VLOOKUP('Données projet'!$B$13,Paramètres!$A$1:$I$89,3,0)*0.475*44/12</f>
        <v>2.0361854032260082E-20</v>
      </c>
      <c r="DI173" s="22">
        <f t="shared" si="175"/>
        <v>0.62699593239374707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4.5474735088646412E-13</v>
      </c>
      <c r="DP173" s="17">
        <f>DO173*VLOOKUP('Données projet'!$B$14,Paramètres!$A$1:$I$89,3,0)*VLOOKUP('Données projet'!$B$14,Paramètres!$A$1:$I$89,5,0)</f>
        <v>4.6111381379887462E-13</v>
      </c>
      <c r="DQ173" s="13">
        <f t="shared" si="176"/>
        <v>5.7981965206434308E-12</v>
      </c>
      <c r="DR173" s="20">
        <f t="shared" si="177"/>
        <v>1.0901632165820347E-11</v>
      </c>
      <c r="DS173" s="59">
        <f t="shared" si="125"/>
        <v>293.33333333334423</v>
      </c>
      <c r="DT173" s="59">
        <f ca="1">AVERAGE(OFFSET($DS$3,0,0,'Données projet'!$E$14+1,1))-AVERAGE(OFFSET($H$3,0,0,'Données projet'!$E$14+1,1))</f>
        <v>263.15518481854753</v>
      </c>
      <c r="DU173" s="59">
        <f t="shared" si="152"/>
        <v>210.80755370263819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0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-5.1159076974727213E-13</v>
      </c>
      <c r="EK173" s="17">
        <f>EJ173*VLOOKUP('Données projet'!$B$15,Paramètres!$A$1:$I$89,3,0)*VLOOKUP('Données projet'!$B$15,Paramètres!$A$1:$I$89,5,0)</f>
        <v>-3.4317508834647017E-13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207.93042467236967</v>
      </c>
      <c r="EP173" s="59">
        <f t="shared" si="154"/>
        <v>250.70954318710835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0.17194679740571825</v>
      </c>
      <c r="EW173" s="21">
        <f>EXP(-LN(2)/25)*EW172+(1-EXP(-LN(2)/25))/(LN(2)/25)*Calculateur!ER173*Calculateur!ET173*VLOOKUP('Données projet'!$B$15,Paramètres!$A$1:$I$89,3,0)*0.475*44/12</f>
        <v>0.35669683186744144</v>
      </c>
      <c r="EX173" s="21">
        <f>EXP(-LN(2)/2)*EX172+(1-EXP(-LN(2)/2))/(LN(2)/2)*ER173*EU173*VLOOKUP('Données projet'!$B$15,Paramètres!$A$1:$I$89,3,0)*0.475*44/12</f>
        <v>1.7167837713474185E-20</v>
      </c>
      <c r="EY173" s="22">
        <f t="shared" si="181"/>
        <v>0.52864362927315967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4.5474735088646412E-13</v>
      </c>
      <c r="FF173" s="17">
        <f>FE173*VLOOKUP('Données projet'!$B$16,Paramètres!$A$1:$I$89,3,0)*VLOOKUP('Données projet'!$B$16,Paramètres!$A$1:$I$89,5,0)</f>
        <v>4.8949004849418999E-13</v>
      </c>
      <c r="FG173" s="13">
        <f t="shared" si="182"/>
        <v>6.1123715499968684E-12</v>
      </c>
      <c r="FH173" s="20">
        <f t="shared" si="183"/>
        <v>1.1498242284038591E-11</v>
      </c>
      <c r="FI173" s="59">
        <f t="shared" si="131"/>
        <v>293.3333333333448</v>
      </c>
      <c r="FJ173" s="59">
        <f ca="1">AVERAGE(OFFSET($FI$3,0,0,'Données projet'!$E$16+1,1))-AVERAGE(OFFSET($H$3,0,0,'Données projet'!$E$16+1,1))</f>
        <v>286.77702855541287</v>
      </c>
      <c r="FK173" s="59">
        <f t="shared" si="156"/>
        <v>227.12211541860779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0</v>
      </c>
      <c r="FR173" s="21">
        <f>EXP(-LN(2)/25)*FR172+(1-EXP(-LN(2)/25))/(LN(2)/25)*Calculateur!FM173*Calculateur!FO173*VLOOKUP('Données projet'!$B$16,Paramètres!$A$1:$I$89,3,0)*0.475*44/12</f>
        <v>0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0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5.6843418860808015E-13</v>
      </c>
      <c r="GA173" s="17">
        <f>FZ173*VLOOKUP('Données projet'!$B$17,Paramètres!$A$1:$I$89,3,0)*VLOOKUP('Données projet'!$B$17,Paramètres!$A$1:$I$89,5,0)</f>
        <v>2.6602720026858149E-13</v>
      </c>
      <c r="GB173" s="13">
        <f t="shared" si="185"/>
        <v>3.5662905043956649E-12</v>
      </c>
      <c r="GC173" s="20">
        <f t="shared" si="186"/>
        <v>6.6746200022902298E-12</v>
      </c>
      <c r="GD173" s="59">
        <f t="shared" si="134"/>
        <v>293.33333333333997</v>
      </c>
      <c r="GE173" s="59">
        <f ca="1">AVERAGE(OFFSET($GD$3,0,0,'Données projet'!$E$17+1,1))-AVERAGE(OFFSET($H$3,0,0,'Données projet'!$E$17+1,1))</f>
        <v>123.2823358462245</v>
      </c>
      <c r="GF173" s="59">
        <f t="shared" si="158"/>
        <v>92.75115399786057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0</v>
      </c>
      <c r="GM173" s="21">
        <f>EXP(-LN(2)/25)*GM172+(1-EXP(-LN(2)/25))/(LN(2)/25)*Calculateur!GH173*Calculateur!GJ173*VLOOKUP('Données projet'!$B$17,Paramètres!$A$1:$I$89,3,0)*0.475*44/12</f>
        <v>0</v>
      </c>
      <c r="GN173" s="21">
        <f>EXP(-LN(2)/2)*GN172+(1-EXP(-LN(2)/2))/(LN(2)/2)*GH173*GK173*VLOOKUP('Données projet'!$B$17,Paramètres!$A$1:$I$89,3,0)*0.475*44/12</f>
        <v>0</v>
      </c>
      <c r="GO173" s="21">
        <f t="shared" si="187"/>
        <v>0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-2.8421709430404007E-13</v>
      </c>
      <c r="GV173" s="17">
        <f>GU173*VLOOKUP('Données projet'!$B$18,Paramètres!$A$1:$I$89,3,0)*VLOOKUP('Données projet'!$B$18,Paramètres!$A$1:$I$89,5,0)</f>
        <v>-1.69961822393816E-13</v>
      </c>
      <c r="GW173" s="13" t="e">
        <f t="shared" si="188"/>
        <v>#NUM!</v>
      </c>
      <c r="GX173" s="20" t="e">
        <f t="shared" si="189"/>
        <v>#NUM!</v>
      </c>
      <c r="GY173" s="59" t="e">
        <f t="shared" si="137"/>
        <v>#NUM!</v>
      </c>
      <c r="GZ173" s="59">
        <f ca="1">AVERAGE(OFFSET($GY$3,0,0,'Données projet'!$E$18+1,1))-AVERAGE(OFFSET($H$3,0,0,'Données projet'!$E$18+1,1))</f>
        <v>171.96009656745713</v>
      </c>
      <c r="HA173" s="59">
        <f t="shared" si="160"/>
        <v>172.37574906747716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>
        <f>EXP(-LN(2)/35)*HG172+(1-EXP(-LN(2)/35))/(LN(2)/35)*HC173*HD173*VLOOKUP('Données projet'!$B$18,Paramètres!$A$1:$I$89,3,0)*0.475*44/12</f>
        <v>0.10425317047461954</v>
      </c>
      <c r="HH173" s="21">
        <f>EXP(-LN(2)/25)*HH172+(1-EXP(-LN(2)/25))/(LN(2)/25)*Calculateur!HC173*Calculateur!HE173*VLOOKUP('Données projet'!$B$18,Paramètres!$A$1:$I$89,3,0)*0.475*44/12</f>
        <v>0.4238294566181266</v>
      </c>
      <c r="HI173" s="21">
        <f>EXP(-LN(2)/2)*HI172+(1-EXP(-LN(2)/2))/(LN(2)/2)*HC173*HF173*VLOOKUP('Données projet'!$B$18,Paramètres!$A$1:$I$89,3,0)*0.475*44/12</f>
        <v>1.0202191061128322E-20</v>
      </c>
      <c r="HJ173" s="22">
        <f t="shared" si="190"/>
        <v>0.52808262709274612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-2.2737367544323206E-13</v>
      </c>
      <c r="O174" s="13">
        <f>N174*VLOOKUP('Données projet'!$B$9,Paramètres!$A$1:$I$89,3,0)*VLOOKUP('Données projet'!$B$9,Paramètres!$A$1:$I$89,5,0)</f>
        <v>-1.2710188457276673E-13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255.5374979188561</v>
      </c>
      <c r="T174" s="59">
        <f t="shared" si="142"/>
        <v>343.10418468620901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0.1893404393932677</v>
      </c>
      <c r="AA174" s="21">
        <f>EXP(-LN(2)/25)*AA173+(1-EXP(-LN(2)/25))/(LN(2)/25)*Calculateur!V174*Calculateur!X174*VLOOKUP('Données projet'!$B$9,Paramètres!$A$1:$I$89,3,0)*0.475*44/12</f>
        <v>0.32005952968126256</v>
      </c>
      <c r="AB174" s="21">
        <f>EXP(-LN(2)/2)*AB173+(1-EXP(-LN(2)/2))/(LN(2)/2)*V174*Y174*VLOOKUP('Données projet'!$B$9,Paramètres!$A$1:$I$89,3,0)*0.475*44/12</f>
        <v>1.0138016758446652E-21</v>
      </c>
      <c r="AC174" s="22">
        <f t="shared" si="163"/>
        <v>0.50939996907453022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3.4106051316484809E-13</v>
      </c>
      <c r="AJ174" s="13">
        <f>AI174*VLOOKUP('Données projet'!$B$10,Paramètres!$A$1:$I$89,3,0)*VLOOKUP('Données projet'!$B$10,Paramètres!$A$1:$I$89,5,0)</f>
        <v>1.5961632016114892E-13</v>
      </c>
      <c r="AK174" s="13">
        <f t="shared" si="164"/>
        <v>2.2708641912150958E-12</v>
      </c>
      <c r="AL174" s="20">
        <f t="shared" si="165"/>
        <v>4.2330868906469593E-12</v>
      </c>
      <c r="AM174" s="59">
        <f t="shared" si="113"/>
        <v>293.33333333333752</v>
      </c>
      <c r="AN174" s="59">
        <f ca="1">AVERAGE(OFFSET($AM$3,0,0,'Données projet'!$E$10+1,1))-AVERAGE(OFFSET($H$3,0,0,'Données projet'!$E$10+1,1))</f>
        <v>158.58786357608489</v>
      </c>
      <c r="AO174" s="59">
        <f t="shared" si="144"/>
        <v>163.20074068819849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0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-1.7053025658242404E-13</v>
      </c>
      <c r="BE174" s="13">
        <f>BD174*VLOOKUP('Données projet'!$B$11,Paramètres!$A$1:$I$89,3,0)*VLOOKUP('Données projet'!$B$11,Paramètres!$A$1:$I$89,5,0)</f>
        <v>-1.0197709343628959E-13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243.85350804244348</v>
      </c>
      <c r="BJ174" s="59">
        <f t="shared" si="146"/>
        <v>304.60992308960545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0.27731795357448313</v>
      </c>
      <c r="BQ174" s="21">
        <f>EXP(-LN(2)/25)*BQ173+(1-EXP(-LN(2)/25))/(LN(2)/25)*Calculateur!BL174*Calculateur!BN174*VLOOKUP('Données projet'!$B$11,Paramètres!$A$1:$I$89,3,0)*0.475*44/12</f>
        <v>0.35552703699140575</v>
      </c>
      <c r="BR174" s="21">
        <f>EXP(-LN(2)/2)*BR173+(1-EXP(-LN(2)/2))/(LN(2)/2)*BL174*BO174*VLOOKUP('Données projet'!$B$11,Paramètres!$A$1:$I$89,3,0)*0.475*44/12</f>
        <v>2.2389836423190818E-21</v>
      </c>
      <c r="BS174" s="22">
        <f t="shared" si="169"/>
        <v>0.63284499056588883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497</v>
      </c>
      <c r="BZ174" s="13">
        <f>BY174*VLOOKUP('Données projet'!$B$12,Paramètres!$A$1:$I$89,3,0)*VLOOKUP('Données projet'!$B$12,Paramètres!$A$1:$I$89,5,0)</f>
        <v>297.20600000000002</v>
      </c>
      <c r="CA174" s="13">
        <f t="shared" si="170"/>
        <v>70.590415164571112</v>
      </c>
      <c r="CB174" s="20">
        <f t="shared" si="171"/>
        <v>640.57875641162809</v>
      </c>
      <c r="CC174" s="59">
        <f t="shared" si="119"/>
        <v>933.91208974496135</v>
      </c>
      <c r="CD174" s="59">
        <f ca="1">AVERAGE(OFFSET($CC$3,0,0,'Données projet'!$E$12+1,1))-AVERAGE(OFFSET($H$3,0,0,'Données projet'!$E$12+1,1))</f>
        <v>270.30888762640245</v>
      </c>
      <c r="CE174" s="59">
        <f t="shared" si="148"/>
        <v>202.23783851977691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0.13124188665300709</v>
      </c>
      <c r="CL174" s="21">
        <f>EXP(-LN(2)/25)*CL173+(1-EXP(-LN(2)/25))/(LN(2)/25)*Calculateur!CG174*Calculateur!CI174*VLOOKUP('Données projet'!$B$12,Paramètres!$A$1:$I$89,3,0)*0.475*44/12</f>
        <v>0.2465623216278256</v>
      </c>
      <c r="CM174" s="21">
        <f>EXP(-LN(2)/2)*CM173+(1-EXP(-LN(2)/2))/(LN(2)/2)*CG174*CJ174*VLOOKUP('Données projet'!$B$12,Paramètres!$A$1:$I$89,3,0)*0.475*44/12</f>
        <v>1.107601367301778E-20</v>
      </c>
      <c r="CN174" s="22">
        <f t="shared" si="172"/>
        <v>0.37780420828083272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-5.1159076974727213E-13</v>
      </c>
      <c r="CU174" s="17">
        <f>CT174*VLOOKUP('Données projet'!$B$13,Paramètres!$A$1:$I$89,3,0)*VLOOKUP('Données projet'!$B$13,Paramètres!$A$1:$I$89,5,0)</f>
        <v>-4.0702161641092972E-13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260.20517190557814</v>
      </c>
      <c r="CZ174" s="59">
        <f t="shared" si="150"/>
        <v>307.22009971147133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0.19993782104360308</v>
      </c>
      <c r="DG174" s="21">
        <f>EXP(-LN(2)/25)*DG173+(1-EXP(-LN(2)/25))/(LN(2)/25)*Calculateur!DB174*Calculateur!DD174*VLOOKUP('Données projet'!$B$13,Paramètres!$A$1:$I$89,3,0)*0.475*44/12</f>
        <v>0.4114904616360438</v>
      </c>
      <c r="DH174" s="21">
        <f>EXP(-LN(2)/2)*DH173+(1-EXP(-LN(2)/2))/(LN(2)/2)*DB174*DE174*VLOOKUP('Données projet'!$B$13,Paramètres!$A$1:$I$89,3,0)*0.475*44/12</f>
        <v>1.439800506374175E-20</v>
      </c>
      <c r="DI174" s="22">
        <f t="shared" si="175"/>
        <v>0.61142828267964688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4.5474735088646412E-13</v>
      </c>
      <c r="DP174" s="17">
        <f>DO174*VLOOKUP('Données projet'!$B$14,Paramètres!$A$1:$I$89,3,0)*VLOOKUP('Données projet'!$B$14,Paramètres!$A$1:$I$89,5,0)</f>
        <v>4.6111381379887462E-13</v>
      </c>
      <c r="DQ174" s="13">
        <f t="shared" si="176"/>
        <v>5.7981965206434308E-12</v>
      </c>
      <c r="DR174" s="20">
        <f t="shared" si="177"/>
        <v>1.0901632165820347E-11</v>
      </c>
      <c r="DS174" s="59">
        <f t="shared" si="125"/>
        <v>293.33333333334423</v>
      </c>
      <c r="DT174" s="59">
        <f ca="1">AVERAGE(OFFSET($DS$3,0,0,'Données projet'!$E$14+1,1))-AVERAGE(OFFSET($H$3,0,0,'Données projet'!$E$14+1,1))</f>
        <v>263.15518481854753</v>
      </c>
      <c r="DU174" s="59">
        <f t="shared" si="152"/>
        <v>210.80755370263819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0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-5.1159076974727213E-13</v>
      </c>
      <c r="EK174" s="17">
        <f>EJ174*VLOOKUP('Données projet'!$B$15,Paramètres!$A$1:$I$89,3,0)*VLOOKUP('Données projet'!$B$15,Paramètres!$A$1:$I$89,5,0)</f>
        <v>-3.4317508834647017E-13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207.93042467236967</v>
      </c>
      <c r="EP174" s="59">
        <f t="shared" si="154"/>
        <v>250.70954318710835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0.16857502558578277</v>
      </c>
      <c r="EW174" s="21">
        <f>EXP(-LN(2)/25)*EW173+(1-EXP(-LN(2)/25))/(LN(2)/25)*Calculateur!ER174*Calculateur!ET174*VLOOKUP('Données projet'!$B$15,Paramètres!$A$1:$I$89,3,0)*0.475*44/12</f>
        <v>0.34694293824215511</v>
      </c>
      <c r="EX174" s="21">
        <f>EXP(-LN(2)/2)*EX173+(1-EXP(-LN(2)/2))/(LN(2)/2)*ER174*EU174*VLOOKUP('Données projet'!$B$15,Paramètres!$A$1:$I$89,3,0)*0.475*44/12</f>
        <v>1.2139494465507749E-20</v>
      </c>
      <c r="EY174" s="22">
        <f t="shared" si="181"/>
        <v>0.51551796382793791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4.5474735088646412E-13</v>
      </c>
      <c r="FF174" s="17">
        <f>FE174*VLOOKUP('Données projet'!$B$16,Paramètres!$A$1:$I$89,3,0)*VLOOKUP('Données projet'!$B$16,Paramètres!$A$1:$I$89,5,0)</f>
        <v>4.8949004849418999E-13</v>
      </c>
      <c r="FG174" s="13">
        <f t="shared" si="182"/>
        <v>6.1123715499968684E-12</v>
      </c>
      <c r="FH174" s="20">
        <f t="shared" si="183"/>
        <v>1.1498242284038591E-11</v>
      </c>
      <c r="FI174" s="59">
        <f t="shared" si="131"/>
        <v>293.3333333333448</v>
      </c>
      <c r="FJ174" s="59">
        <f ca="1">AVERAGE(OFFSET($FI$3,0,0,'Données projet'!$E$16+1,1))-AVERAGE(OFFSET($H$3,0,0,'Données projet'!$E$16+1,1))</f>
        <v>286.77702855541287</v>
      </c>
      <c r="FK174" s="59">
        <f t="shared" si="156"/>
        <v>227.12211541860779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0</v>
      </c>
      <c r="FR174" s="21">
        <f>EXP(-LN(2)/25)*FR173+(1-EXP(-LN(2)/25))/(LN(2)/25)*Calculateur!FM174*Calculateur!FO174*VLOOKUP('Données projet'!$B$16,Paramètres!$A$1:$I$89,3,0)*0.475*44/12</f>
        <v>0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0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5.6843418860808015E-13</v>
      </c>
      <c r="GA174" s="17">
        <f>FZ174*VLOOKUP('Données projet'!$B$17,Paramètres!$A$1:$I$89,3,0)*VLOOKUP('Données projet'!$B$17,Paramètres!$A$1:$I$89,5,0)</f>
        <v>2.6602720026858149E-13</v>
      </c>
      <c r="GB174" s="13">
        <f t="shared" si="185"/>
        <v>3.5662905043956649E-12</v>
      </c>
      <c r="GC174" s="20">
        <f t="shared" si="186"/>
        <v>6.6746200022902298E-12</v>
      </c>
      <c r="GD174" s="59">
        <f t="shared" si="134"/>
        <v>293.33333333333997</v>
      </c>
      <c r="GE174" s="59">
        <f ca="1">AVERAGE(OFFSET($GD$3,0,0,'Données projet'!$E$17+1,1))-AVERAGE(OFFSET($H$3,0,0,'Données projet'!$E$17+1,1))</f>
        <v>123.2823358462245</v>
      </c>
      <c r="GF174" s="59">
        <f t="shared" si="158"/>
        <v>92.75115399786057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0</v>
      </c>
      <c r="GM174" s="21">
        <f>EXP(-LN(2)/25)*GM173+(1-EXP(-LN(2)/25))/(LN(2)/25)*Calculateur!GH174*Calculateur!GJ174*VLOOKUP('Données projet'!$B$17,Paramètres!$A$1:$I$89,3,0)*0.475*44/12</f>
        <v>0</v>
      </c>
      <c r="GN174" s="21">
        <f>EXP(-LN(2)/2)*GN173+(1-EXP(-LN(2)/2))/(LN(2)/2)*GH174*GK174*VLOOKUP('Données projet'!$B$17,Paramètres!$A$1:$I$89,3,0)*0.475*44/12</f>
        <v>0</v>
      </c>
      <c r="GO174" s="21">
        <f t="shared" si="187"/>
        <v>0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-2.8421709430404007E-13</v>
      </c>
      <c r="GV174" s="17">
        <f>GU174*VLOOKUP('Données projet'!$B$18,Paramètres!$A$1:$I$89,3,0)*VLOOKUP('Données projet'!$B$18,Paramètres!$A$1:$I$89,5,0)</f>
        <v>-1.69961822393816E-13</v>
      </c>
      <c r="GW174" s="13" t="e">
        <f t="shared" si="188"/>
        <v>#NUM!</v>
      </c>
      <c r="GX174" s="20" t="e">
        <f t="shared" si="189"/>
        <v>#NUM!</v>
      </c>
      <c r="GY174" s="59" t="e">
        <f t="shared" si="137"/>
        <v>#NUM!</v>
      </c>
      <c r="GZ174" s="59">
        <f ca="1">AVERAGE(OFFSET($GY$3,0,0,'Données projet'!$E$18+1,1))-AVERAGE(OFFSET($H$3,0,0,'Données projet'!$E$18+1,1))</f>
        <v>171.96009656745713</v>
      </c>
      <c r="HA174" s="59">
        <f t="shared" si="160"/>
        <v>172.37574906747716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>
        <f>EXP(-LN(2)/35)*HG173+(1-EXP(-LN(2)/35))/(LN(2)/35)*HC174*HD174*VLOOKUP('Données projet'!$B$18,Paramètres!$A$1:$I$89,3,0)*0.475*44/12</f>
        <v>0.10220882938976744</v>
      </c>
      <c r="HH174" s="21">
        <f>EXP(-LN(2)/25)*HH173+(1-EXP(-LN(2)/25))/(LN(2)/25)*Calculateur!HC174*Calculateur!HE174*VLOOKUP('Données projet'!$B$18,Paramètres!$A$1:$I$89,3,0)*0.475*44/12</f>
        <v>0.41223981783868147</v>
      </c>
      <c r="HI174" s="21">
        <f>EXP(-LN(2)/2)*HI173+(1-EXP(-LN(2)/2))/(LN(2)/2)*HC174*HF174*VLOOKUP('Données projet'!$B$18,Paramètres!$A$1:$I$89,3,0)*0.475*44/12</f>
        <v>7.2140384822846157E-21</v>
      </c>
      <c r="HJ174" s="22">
        <f t="shared" si="190"/>
        <v>0.51444864722844885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-2.2737367544323206E-13</v>
      </c>
      <c r="O175" s="13">
        <f>N175*VLOOKUP('Données projet'!$B$9,Paramètres!$A$1:$I$89,3,0)*VLOOKUP('Données projet'!$B$9,Paramètres!$A$1:$I$89,5,0)</f>
        <v>-1.2710188457276673E-13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255.5374979188561</v>
      </c>
      <c r="T175" s="59">
        <f t="shared" si="142"/>
        <v>343.10418468620901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0.18562758886303043</v>
      </c>
      <c r="AA175" s="21">
        <f>EXP(-LN(2)/25)*AA174+(1-EXP(-LN(2)/25))/(LN(2)/25)*Calculateur!V175*Calculateur!X175*VLOOKUP('Données projet'!$B$9,Paramètres!$A$1:$I$89,3,0)*0.475*44/12</f>
        <v>0.31130748501092925</v>
      </c>
      <c r="AB175" s="21">
        <f>EXP(-LN(2)/2)*AB174+(1-EXP(-LN(2)/2))/(LN(2)/2)*V175*Y175*VLOOKUP('Données projet'!$B$9,Paramètres!$A$1:$I$89,3,0)*0.475*44/12</f>
        <v>7.1686603976804885E-22</v>
      </c>
      <c r="AC175" s="22">
        <f t="shared" si="163"/>
        <v>0.49693507387395969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3.4106051316484809E-13</v>
      </c>
      <c r="AJ175" s="13">
        <f>AI175*VLOOKUP('Données projet'!$B$10,Paramètres!$A$1:$I$89,3,0)*VLOOKUP('Données projet'!$B$10,Paramètres!$A$1:$I$89,5,0)</f>
        <v>1.5961632016114892E-13</v>
      </c>
      <c r="AK175" s="13">
        <f t="shared" si="164"/>
        <v>2.2708641912150958E-12</v>
      </c>
      <c r="AL175" s="20">
        <f t="shared" si="165"/>
        <v>4.2330868906469593E-12</v>
      </c>
      <c r="AM175" s="59">
        <f t="shared" si="113"/>
        <v>293.33333333333752</v>
      </c>
      <c r="AN175" s="59">
        <f ca="1">AVERAGE(OFFSET($AM$3,0,0,'Données projet'!$E$10+1,1))-AVERAGE(OFFSET($H$3,0,0,'Données projet'!$E$10+1,1))</f>
        <v>158.58786357608489</v>
      </c>
      <c r="AO175" s="59">
        <f t="shared" si="144"/>
        <v>163.20074068819849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0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-1.7053025658242404E-13</v>
      </c>
      <c r="BE175" s="13">
        <f>BD175*VLOOKUP('Données projet'!$B$11,Paramètres!$A$1:$I$89,3,0)*VLOOKUP('Données projet'!$B$11,Paramètres!$A$1:$I$89,5,0)</f>
        <v>-1.0197709343628959E-13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243.85350804244348</v>
      </c>
      <c r="BJ175" s="59">
        <f t="shared" si="146"/>
        <v>304.60992308960545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0.27187991765213732</v>
      </c>
      <c r="BQ175" s="21">
        <f>EXP(-LN(2)/25)*BQ174+(1-EXP(-LN(2)/25))/(LN(2)/25)*Calculateur!BL175*Calculateur!BN175*VLOOKUP('Données projet'!$B$11,Paramètres!$A$1:$I$89,3,0)*0.475*44/12</f>
        <v>0.34580513146852143</v>
      </c>
      <c r="BR175" s="21">
        <f>EXP(-LN(2)/2)*BR174+(1-EXP(-LN(2)/2))/(LN(2)/2)*BL175*BO175*VLOOKUP('Données projet'!$B$11,Paramètres!$A$1:$I$89,3,0)*0.475*44/12</f>
        <v>1.5832005164495782E-21</v>
      </c>
      <c r="BS175" s="22">
        <f t="shared" si="169"/>
        <v>0.61768504912065869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497</v>
      </c>
      <c r="BZ175" s="13">
        <f>BY175*VLOOKUP('Données projet'!$B$12,Paramètres!$A$1:$I$89,3,0)*VLOOKUP('Données projet'!$B$12,Paramètres!$A$1:$I$89,5,0)</f>
        <v>297.20600000000002</v>
      </c>
      <c r="CA175" s="13">
        <f t="shared" si="170"/>
        <v>70.590415164571112</v>
      </c>
      <c r="CB175" s="20">
        <f t="shared" si="171"/>
        <v>640.57875641162809</v>
      </c>
      <c r="CC175" s="59">
        <f t="shared" si="119"/>
        <v>933.91208974496135</v>
      </c>
      <c r="CD175" s="59">
        <f ca="1">AVERAGE(OFFSET($CC$3,0,0,'Données projet'!$E$12+1,1))-AVERAGE(OFFSET($H$3,0,0,'Données projet'!$E$12+1,1))</f>
        <v>270.30888762640245</v>
      </c>
      <c r="CE175" s="59">
        <f t="shared" si="148"/>
        <v>202.23783851977691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0.12866831330538825</v>
      </c>
      <c r="CL175" s="21">
        <f>EXP(-LN(2)/25)*CL174+(1-EXP(-LN(2)/25))/(LN(2)/25)*Calculateur!CG175*Calculateur!CI175*VLOOKUP('Données projet'!$B$12,Paramètres!$A$1:$I$89,3,0)*0.475*44/12</f>
        <v>0.23982006197676373</v>
      </c>
      <c r="CM175" s="21">
        <f>EXP(-LN(2)/2)*CM174+(1-EXP(-LN(2)/2))/(LN(2)/2)*CG175*CJ175*VLOOKUP('Données projet'!$B$12,Paramètres!$A$1:$I$89,3,0)*0.475*44/12</f>
        <v>7.8319243767057917E-21</v>
      </c>
      <c r="CN175" s="22">
        <f t="shared" si="172"/>
        <v>0.36848837528215195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-5.1159076974727213E-13</v>
      </c>
      <c r="CU175" s="17">
        <f>CT175*VLOOKUP('Données projet'!$B$13,Paramètres!$A$1:$I$89,3,0)*VLOOKUP('Données projet'!$B$13,Paramètres!$A$1:$I$89,5,0)</f>
        <v>-4.0702161641092972E-13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260.20517190557814</v>
      </c>
      <c r="CZ175" s="59">
        <f t="shared" si="150"/>
        <v>307.22009971147133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0.19601716232296729</v>
      </c>
      <c r="DG175" s="21">
        <f>EXP(-LN(2)/25)*DG174+(1-EXP(-LN(2)/25))/(LN(2)/25)*Calculateur!DB175*Calculateur!DD175*VLOOKUP('Données projet'!$B$13,Paramètres!$A$1:$I$89,3,0)*0.475*44/12</f>
        <v>0.4002382333232633</v>
      </c>
      <c r="DH175" s="21">
        <f>EXP(-LN(2)/2)*DH174+(1-EXP(-LN(2)/2))/(LN(2)/2)*DB175*DE175*VLOOKUP('Données projet'!$B$13,Paramètres!$A$1:$I$89,3,0)*0.475*44/12</f>
        <v>1.0180927016130041E-20</v>
      </c>
      <c r="DI175" s="22">
        <f t="shared" si="175"/>
        <v>0.59625539564623065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4.5474735088646412E-13</v>
      </c>
      <c r="DP175" s="17">
        <f>DO175*VLOOKUP('Données projet'!$B$14,Paramètres!$A$1:$I$89,3,0)*VLOOKUP('Données projet'!$B$14,Paramètres!$A$1:$I$89,5,0)</f>
        <v>4.6111381379887462E-13</v>
      </c>
      <c r="DQ175" s="13">
        <f t="shared" si="176"/>
        <v>5.7981965206434308E-12</v>
      </c>
      <c r="DR175" s="20">
        <f t="shared" si="177"/>
        <v>1.0901632165820347E-11</v>
      </c>
      <c r="DS175" s="59">
        <f t="shared" si="125"/>
        <v>293.33333333334423</v>
      </c>
      <c r="DT175" s="59">
        <f ca="1">AVERAGE(OFFSET($DS$3,0,0,'Données projet'!$E$14+1,1))-AVERAGE(OFFSET($H$3,0,0,'Données projet'!$E$14+1,1))</f>
        <v>263.15518481854753</v>
      </c>
      <c r="DU175" s="59">
        <f t="shared" si="152"/>
        <v>210.80755370263819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0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-5.1159076974727213E-13</v>
      </c>
      <c r="EK175" s="17">
        <f>EJ175*VLOOKUP('Données projet'!$B$15,Paramètres!$A$1:$I$89,3,0)*VLOOKUP('Données projet'!$B$15,Paramètres!$A$1:$I$89,5,0)</f>
        <v>-3.4317508834647017E-13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207.93042467236967</v>
      </c>
      <c r="EP175" s="59">
        <f t="shared" si="154"/>
        <v>250.70954318710835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0.16526937215465848</v>
      </c>
      <c r="EW175" s="21">
        <f>EXP(-LN(2)/25)*EW174+(1-EXP(-LN(2)/25))/(LN(2)/25)*Calculateur!ER175*Calculateur!ET175*VLOOKUP('Données projet'!$B$15,Paramètres!$A$1:$I$89,3,0)*0.475*44/12</f>
        <v>0.3374557653509872</v>
      </c>
      <c r="EX175" s="21">
        <f>EXP(-LN(2)/2)*EX174+(1-EXP(-LN(2)/2))/(LN(2)/2)*ER175*EU175*VLOOKUP('Données projet'!$B$15,Paramètres!$A$1:$I$89,3,0)*0.475*44/12</f>
        <v>8.5839188567370926E-21</v>
      </c>
      <c r="EY175" s="22">
        <f t="shared" si="181"/>
        <v>0.50272513750564563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4.5474735088646412E-13</v>
      </c>
      <c r="FF175" s="17">
        <f>FE175*VLOOKUP('Données projet'!$B$16,Paramètres!$A$1:$I$89,3,0)*VLOOKUP('Données projet'!$B$16,Paramètres!$A$1:$I$89,5,0)</f>
        <v>4.8949004849418999E-13</v>
      </c>
      <c r="FG175" s="13">
        <f t="shared" si="182"/>
        <v>6.1123715499968684E-12</v>
      </c>
      <c r="FH175" s="20">
        <f t="shared" si="183"/>
        <v>1.1498242284038591E-11</v>
      </c>
      <c r="FI175" s="59">
        <f t="shared" si="131"/>
        <v>293.3333333333448</v>
      </c>
      <c r="FJ175" s="59">
        <f ca="1">AVERAGE(OFFSET($FI$3,0,0,'Données projet'!$E$16+1,1))-AVERAGE(OFFSET($H$3,0,0,'Données projet'!$E$16+1,1))</f>
        <v>286.77702855541287</v>
      </c>
      <c r="FK175" s="59">
        <f t="shared" si="156"/>
        <v>227.12211541860779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0</v>
      </c>
      <c r="FR175" s="21">
        <f>EXP(-LN(2)/25)*FR174+(1-EXP(-LN(2)/25))/(LN(2)/25)*Calculateur!FM175*Calculateur!FO175*VLOOKUP('Données projet'!$B$16,Paramètres!$A$1:$I$89,3,0)*0.475*44/12</f>
        <v>0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0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5.6843418860808015E-13</v>
      </c>
      <c r="GA175" s="17">
        <f>FZ175*VLOOKUP('Données projet'!$B$17,Paramètres!$A$1:$I$89,3,0)*VLOOKUP('Données projet'!$B$17,Paramètres!$A$1:$I$89,5,0)</f>
        <v>2.6602720026858149E-13</v>
      </c>
      <c r="GB175" s="13">
        <f t="shared" si="185"/>
        <v>3.5662905043956649E-12</v>
      </c>
      <c r="GC175" s="20">
        <f t="shared" si="186"/>
        <v>6.6746200022902298E-12</v>
      </c>
      <c r="GD175" s="59">
        <f t="shared" si="134"/>
        <v>293.33333333333997</v>
      </c>
      <c r="GE175" s="59">
        <f ca="1">AVERAGE(OFFSET($GD$3,0,0,'Données projet'!$E$17+1,1))-AVERAGE(OFFSET($H$3,0,0,'Données projet'!$E$17+1,1))</f>
        <v>123.2823358462245</v>
      </c>
      <c r="GF175" s="59">
        <f t="shared" si="158"/>
        <v>92.75115399786057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0</v>
      </c>
      <c r="GM175" s="21">
        <f>EXP(-LN(2)/25)*GM174+(1-EXP(-LN(2)/25))/(LN(2)/25)*Calculateur!GH175*Calculateur!GJ175*VLOOKUP('Données projet'!$B$17,Paramètres!$A$1:$I$89,3,0)*0.475*44/12</f>
        <v>0</v>
      </c>
      <c r="GN175" s="21">
        <f>EXP(-LN(2)/2)*GN174+(1-EXP(-LN(2)/2))/(LN(2)/2)*GH175*GK175*VLOOKUP('Données projet'!$B$17,Paramètres!$A$1:$I$89,3,0)*0.475*44/12</f>
        <v>0</v>
      </c>
      <c r="GO175" s="21">
        <f t="shared" si="187"/>
        <v>0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-2.8421709430404007E-13</v>
      </c>
      <c r="GV175" s="17">
        <f>GU175*VLOOKUP('Données projet'!$B$18,Paramètres!$A$1:$I$89,3,0)*VLOOKUP('Données projet'!$B$18,Paramètres!$A$1:$I$89,5,0)</f>
        <v>-1.69961822393816E-13</v>
      </c>
      <c r="GW175" s="13" t="e">
        <f t="shared" si="188"/>
        <v>#NUM!</v>
      </c>
      <c r="GX175" s="20" t="e">
        <f t="shared" si="189"/>
        <v>#NUM!</v>
      </c>
      <c r="GY175" s="59" t="e">
        <f t="shared" si="137"/>
        <v>#NUM!</v>
      </c>
      <c r="GZ175" s="59">
        <f ca="1">AVERAGE(OFFSET($GY$3,0,0,'Données projet'!$E$18+1,1))-AVERAGE(OFFSET($H$3,0,0,'Données projet'!$E$18+1,1))</f>
        <v>171.96009656745713</v>
      </c>
      <c r="HA175" s="59">
        <f t="shared" si="160"/>
        <v>172.37574906747716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>
        <f>EXP(-LN(2)/35)*HG174+(1-EXP(-LN(2)/35))/(LN(2)/35)*HC175*HD175*VLOOKUP('Données projet'!$B$18,Paramètres!$A$1:$I$89,3,0)*0.475*44/12</f>
        <v>0.10020457658666435</v>
      </c>
      <c r="HH175" s="21">
        <f>EXP(-LN(2)/25)*HH174+(1-EXP(-LN(2)/25))/(LN(2)/25)*Calculateur!HC175*Calculateur!HE175*VLOOKUP('Données projet'!$B$18,Paramètres!$A$1:$I$89,3,0)*0.475*44/12</f>
        <v>0.40096709834113287</v>
      </c>
      <c r="HI175" s="21">
        <f>EXP(-LN(2)/2)*HI174+(1-EXP(-LN(2)/2))/(LN(2)/2)*HC175*HF175*VLOOKUP('Données projet'!$B$18,Paramètres!$A$1:$I$89,3,0)*0.475*44/12</f>
        <v>5.1010955305641612E-21</v>
      </c>
      <c r="HJ175" s="22">
        <f t="shared" si="190"/>
        <v>0.50117167492779724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-2.2737367544323206E-13</v>
      </c>
      <c r="O176" s="13">
        <f>N176*VLOOKUP('Données projet'!$B$9,Paramètres!$A$1:$I$89,3,0)*VLOOKUP('Données projet'!$B$9,Paramètres!$A$1:$I$89,5,0)</f>
        <v>-1.2710188457276673E-13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255.5374979188561</v>
      </c>
      <c r="T176" s="59">
        <f t="shared" si="142"/>
        <v>343.10418468620901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0.1819875450670759</v>
      </c>
      <c r="AA176" s="21">
        <f>EXP(-LN(2)/25)*AA175+(1-EXP(-LN(2)/25))/(LN(2)/25)*Calculateur!V176*Calculateur!X176*VLOOKUP('Données projet'!$B$9,Paramètres!$A$1:$I$89,3,0)*0.475*44/12</f>
        <v>0.30279476546235629</v>
      </c>
      <c r="AB176" s="21">
        <f>EXP(-LN(2)/2)*AB175+(1-EXP(-LN(2)/2))/(LN(2)/2)*V176*Y176*VLOOKUP('Données projet'!$B$9,Paramètres!$A$1:$I$89,3,0)*0.475*44/12</f>
        <v>5.0690083792233259E-22</v>
      </c>
      <c r="AC176" s="22">
        <f t="shared" si="163"/>
        <v>0.48478231052943221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3.4106051316484809E-13</v>
      </c>
      <c r="AJ176" s="13">
        <f>AI176*VLOOKUP('Données projet'!$B$10,Paramètres!$A$1:$I$89,3,0)*VLOOKUP('Données projet'!$B$10,Paramètres!$A$1:$I$89,5,0)</f>
        <v>1.5961632016114892E-13</v>
      </c>
      <c r="AK176" s="13">
        <f t="shared" si="164"/>
        <v>2.2708641912150958E-12</v>
      </c>
      <c r="AL176" s="20">
        <f t="shared" si="165"/>
        <v>4.2330868906469593E-12</v>
      </c>
      <c r="AM176" s="59">
        <f t="shared" si="113"/>
        <v>293.33333333333752</v>
      </c>
      <c r="AN176" s="59">
        <f ca="1">AVERAGE(OFFSET($AM$3,0,0,'Données projet'!$E$10+1,1))-AVERAGE(OFFSET($H$3,0,0,'Données projet'!$E$10+1,1))</f>
        <v>158.58786357608489</v>
      </c>
      <c r="AO176" s="59">
        <f t="shared" si="144"/>
        <v>163.20074068819849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0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-1.7053025658242404E-13</v>
      </c>
      <c r="BE176" s="13">
        <f>BD176*VLOOKUP('Données projet'!$B$11,Paramètres!$A$1:$I$89,3,0)*VLOOKUP('Données projet'!$B$11,Paramètres!$A$1:$I$89,5,0)</f>
        <v>-1.0197709343628959E-13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243.85350804244348</v>
      </c>
      <c r="BJ176" s="59">
        <f t="shared" si="146"/>
        <v>304.60992308960545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0.26654851829735426</v>
      </c>
      <c r="BQ176" s="21">
        <f>EXP(-LN(2)/25)*BQ175+(1-EXP(-LN(2)/25))/(LN(2)/25)*Calculateur!BL176*Calculateur!BN176*VLOOKUP('Données projet'!$B$11,Paramètres!$A$1:$I$89,3,0)*0.475*44/12</f>
        <v>0.33634907196341318</v>
      </c>
      <c r="BR176" s="21">
        <f>EXP(-LN(2)/2)*BR175+(1-EXP(-LN(2)/2))/(LN(2)/2)*BL176*BO176*VLOOKUP('Données projet'!$B$11,Paramètres!$A$1:$I$89,3,0)*0.475*44/12</f>
        <v>1.1194918211595409E-21</v>
      </c>
      <c r="BS176" s="22">
        <f t="shared" si="169"/>
        <v>0.60289759026076739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497</v>
      </c>
      <c r="BZ176" s="13">
        <f>BY176*VLOOKUP('Données projet'!$B$12,Paramètres!$A$1:$I$89,3,0)*VLOOKUP('Données projet'!$B$12,Paramètres!$A$1:$I$89,5,0)</f>
        <v>297.20600000000002</v>
      </c>
      <c r="CA176" s="13">
        <f t="shared" si="170"/>
        <v>70.590415164571112</v>
      </c>
      <c r="CB176" s="20">
        <f t="shared" si="171"/>
        <v>640.57875641162809</v>
      </c>
      <c r="CC176" s="59">
        <f t="shared" si="119"/>
        <v>933.91208974496135</v>
      </c>
      <c r="CD176" s="59">
        <f ca="1">AVERAGE(OFFSET($CC$3,0,0,'Données projet'!$E$12+1,1))-AVERAGE(OFFSET($H$3,0,0,'Données projet'!$E$12+1,1))</f>
        <v>270.30888762640245</v>
      </c>
      <c r="CE176" s="59">
        <f t="shared" si="148"/>
        <v>202.23783851977691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0.12614520616139147</v>
      </c>
      <c r="CL176" s="21">
        <f>EXP(-LN(2)/25)*CL175+(1-EXP(-LN(2)/25))/(LN(2)/25)*Calculateur!CG176*Calculateur!CI176*VLOOKUP('Données projet'!$B$12,Paramètres!$A$1:$I$89,3,0)*0.475*44/12</f>
        <v>0.23326216977042019</v>
      </c>
      <c r="CM176" s="21">
        <f>EXP(-LN(2)/2)*CM175+(1-EXP(-LN(2)/2))/(LN(2)/2)*CG176*CJ176*VLOOKUP('Données projet'!$B$12,Paramètres!$A$1:$I$89,3,0)*0.475*44/12</f>
        <v>5.5380068365088899E-21</v>
      </c>
      <c r="CN176" s="22">
        <f t="shared" si="172"/>
        <v>0.35940737593181166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-5.1159076974727213E-13</v>
      </c>
      <c r="CU176" s="17">
        <f>CT176*VLOOKUP('Données projet'!$B$13,Paramètres!$A$1:$I$89,3,0)*VLOOKUP('Données projet'!$B$13,Paramètres!$A$1:$I$89,5,0)</f>
        <v>-4.0702161641092972E-13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260.20517190557814</v>
      </c>
      <c r="CZ176" s="59">
        <f t="shared" si="150"/>
        <v>307.22009971147133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0.19217338532847747</v>
      </c>
      <c r="DG176" s="21">
        <f>EXP(-LN(2)/25)*DG175+(1-EXP(-LN(2)/25))/(LN(2)/25)*Calculateur!DB176*Calculateur!DD176*VLOOKUP('Données projet'!$B$13,Paramètres!$A$1:$I$89,3,0)*0.475*44/12</f>
        <v>0.38929369778542472</v>
      </c>
      <c r="DH176" s="21">
        <f>EXP(-LN(2)/2)*DH175+(1-EXP(-LN(2)/2))/(LN(2)/2)*DB176*DE176*VLOOKUP('Données projet'!$B$13,Paramètres!$A$1:$I$89,3,0)*0.475*44/12</f>
        <v>7.1990025318708749E-21</v>
      </c>
      <c r="DI176" s="22">
        <f t="shared" si="175"/>
        <v>0.58146708311390216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4.5474735088646412E-13</v>
      </c>
      <c r="DP176" s="17">
        <f>DO176*VLOOKUP('Données projet'!$B$14,Paramètres!$A$1:$I$89,3,0)*VLOOKUP('Données projet'!$B$14,Paramètres!$A$1:$I$89,5,0)</f>
        <v>4.6111381379887462E-13</v>
      </c>
      <c r="DQ176" s="13">
        <f t="shared" si="176"/>
        <v>5.7981965206434308E-12</v>
      </c>
      <c r="DR176" s="20">
        <f t="shared" si="177"/>
        <v>1.0901632165820347E-11</v>
      </c>
      <c r="DS176" s="59">
        <f t="shared" si="125"/>
        <v>293.33333333334423</v>
      </c>
      <c r="DT176" s="59">
        <f ca="1">AVERAGE(OFFSET($DS$3,0,0,'Données projet'!$E$14+1,1))-AVERAGE(OFFSET($H$3,0,0,'Données projet'!$E$14+1,1))</f>
        <v>263.15518481854753</v>
      </c>
      <c r="DU176" s="59">
        <f t="shared" si="152"/>
        <v>210.80755370263819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0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-5.1159076974727213E-13</v>
      </c>
      <c r="EK176" s="17">
        <f>EJ176*VLOOKUP('Données projet'!$B$15,Paramètres!$A$1:$I$89,3,0)*VLOOKUP('Données projet'!$B$15,Paramètres!$A$1:$I$89,5,0)</f>
        <v>-3.4317508834647017E-13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207.93042467236967</v>
      </c>
      <c r="EP176" s="59">
        <f t="shared" si="154"/>
        <v>250.70954318710835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0.16202854057106902</v>
      </c>
      <c r="EW176" s="21">
        <f>EXP(-LN(2)/25)*EW175+(1-EXP(-LN(2)/25))/(LN(2)/25)*Calculateur!ER176*Calculateur!ET176*VLOOKUP('Données projet'!$B$15,Paramètres!$A$1:$I$89,3,0)*0.475*44/12</f>
        <v>0.328228019701437</v>
      </c>
      <c r="EX176" s="21">
        <f>EXP(-LN(2)/2)*EX175+(1-EXP(-LN(2)/2))/(LN(2)/2)*ER176*EU176*VLOOKUP('Données projet'!$B$15,Paramètres!$A$1:$I$89,3,0)*0.475*44/12</f>
        <v>6.0697472327538746E-21</v>
      </c>
      <c r="EY176" s="22">
        <f t="shared" si="181"/>
        <v>0.49025656027250603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4.5474735088646412E-13</v>
      </c>
      <c r="FF176" s="17">
        <f>FE176*VLOOKUP('Données projet'!$B$16,Paramètres!$A$1:$I$89,3,0)*VLOOKUP('Données projet'!$B$16,Paramètres!$A$1:$I$89,5,0)</f>
        <v>4.8949004849418999E-13</v>
      </c>
      <c r="FG176" s="13">
        <f t="shared" si="182"/>
        <v>6.1123715499968684E-12</v>
      </c>
      <c r="FH176" s="20">
        <f t="shared" si="183"/>
        <v>1.1498242284038591E-11</v>
      </c>
      <c r="FI176" s="59">
        <f t="shared" si="131"/>
        <v>293.3333333333448</v>
      </c>
      <c r="FJ176" s="59">
        <f ca="1">AVERAGE(OFFSET($FI$3,0,0,'Données projet'!$E$16+1,1))-AVERAGE(OFFSET($H$3,0,0,'Données projet'!$E$16+1,1))</f>
        <v>286.77702855541287</v>
      </c>
      <c r="FK176" s="59">
        <f t="shared" si="156"/>
        <v>227.12211541860779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0</v>
      </c>
      <c r="FR176" s="21">
        <f>EXP(-LN(2)/25)*FR175+(1-EXP(-LN(2)/25))/(LN(2)/25)*Calculateur!FM176*Calculateur!FO176*VLOOKUP('Données projet'!$B$16,Paramètres!$A$1:$I$89,3,0)*0.475*44/12</f>
        <v>0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0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5.6843418860808015E-13</v>
      </c>
      <c r="GA176" s="17">
        <f>FZ176*VLOOKUP('Données projet'!$B$17,Paramètres!$A$1:$I$89,3,0)*VLOOKUP('Données projet'!$B$17,Paramètres!$A$1:$I$89,5,0)</f>
        <v>2.6602720026858149E-13</v>
      </c>
      <c r="GB176" s="13">
        <f t="shared" si="185"/>
        <v>3.5662905043956649E-12</v>
      </c>
      <c r="GC176" s="20">
        <f t="shared" si="186"/>
        <v>6.6746200022902298E-12</v>
      </c>
      <c r="GD176" s="59">
        <f t="shared" si="134"/>
        <v>293.33333333333997</v>
      </c>
      <c r="GE176" s="59">
        <f ca="1">AVERAGE(OFFSET($GD$3,0,0,'Données projet'!$E$17+1,1))-AVERAGE(OFFSET($H$3,0,0,'Données projet'!$E$17+1,1))</f>
        <v>123.2823358462245</v>
      </c>
      <c r="GF176" s="59">
        <f t="shared" si="158"/>
        <v>92.75115399786057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0</v>
      </c>
      <c r="GM176" s="21">
        <f>EXP(-LN(2)/25)*GM175+(1-EXP(-LN(2)/25))/(LN(2)/25)*Calculateur!GH176*Calculateur!GJ176*VLOOKUP('Données projet'!$B$17,Paramètres!$A$1:$I$89,3,0)*0.475*44/12</f>
        <v>0</v>
      </c>
      <c r="GN176" s="21">
        <f>EXP(-LN(2)/2)*GN175+(1-EXP(-LN(2)/2))/(LN(2)/2)*GH176*GK176*VLOOKUP('Données projet'!$B$17,Paramètres!$A$1:$I$89,3,0)*0.475*44/12</f>
        <v>0</v>
      </c>
      <c r="GO176" s="21">
        <f t="shared" si="187"/>
        <v>0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-2.8421709430404007E-13</v>
      </c>
      <c r="GV176" s="17">
        <f>GU176*VLOOKUP('Données projet'!$B$18,Paramètres!$A$1:$I$89,3,0)*VLOOKUP('Données projet'!$B$18,Paramètres!$A$1:$I$89,5,0)</f>
        <v>-1.69961822393816E-13</v>
      </c>
      <c r="GW176" s="13" t="e">
        <f t="shared" si="188"/>
        <v>#NUM!</v>
      </c>
      <c r="GX176" s="20" t="e">
        <f t="shared" si="189"/>
        <v>#NUM!</v>
      </c>
      <c r="GY176" s="59" t="e">
        <f t="shared" si="137"/>
        <v>#NUM!</v>
      </c>
      <c r="GZ176" s="59">
        <f ca="1">AVERAGE(OFFSET($GY$3,0,0,'Données projet'!$E$18+1,1))-AVERAGE(OFFSET($H$3,0,0,'Données projet'!$E$18+1,1))</f>
        <v>171.96009656745713</v>
      </c>
      <c r="HA176" s="59">
        <f t="shared" si="160"/>
        <v>172.37574906747716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>
        <f>EXP(-LN(2)/35)*HG175+(1-EXP(-LN(2)/35))/(LN(2)/35)*HC176*HD176*VLOOKUP('Données projet'!$B$18,Paramètres!$A$1:$I$89,3,0)*0.475*44/12</f>
        <v>9.8239625958556606E-2</v>
      </c>
      <c r="HH176" s="21">
        <f>EXP(-LN(2)/25)*HH175+(1-EXP(-LN(2)/25))/(LN(2)/25)*Calculateur!HC176*Calculateur!HE176*VLOOKUP('Données projet'!$B$18,Paramètres!$A$1:$I$89,3,0)*0.475*44/12</f>
        <v>0.39000263195105128</v>
      </c>
      <c r="HI176" s="21">
        <f>EXP(-LN(2)/2)*HI175+(1-EXP(-LN(2)/2))/(LN(2)/2)*HC176*HF176*VLOOKUP('Données projet'!$B$18,Paramètres!$A$1:$I$89,3,0)*0.475*44/12</f>
        <v>3.6070192411423078E-21</v>
      </c>
      <c r="HJ176" s="22">
        <f t="shared" si="190"/>
        <v>0.4882422579096079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-2.2737367544323206E-13</v>
      </c>
      <c r="O177" s="13">
        <f>N177*VLOOKUP('Données projet'!$B$9,Paramètres!$A$1:$I$89,3,0)*VLOOKUP('Données projet'!$B$9,Paramètres!$A$1:$I$89,5,0)</f>
        <v>-1.2710188457276673E-13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255.5374979188561</v>
      </c>
      <c r="T177" s="59">
        <f t="shared" si="142"/>
        <v>343.10418468620901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0.17841888030975256</v>
      </c>
      <c r="AA177" s="21">
        <f>EXP(-LN(2)/25)*AA176+(1-EXP(-LN(2)/25))/(LN(2)/25)*Calculateur!V177*Calculateur!X177*VLOOKUP('Données projet'!$B$9,Paramètres!$A$1:$I$89,3,0)*0.475*44/12</f>
        <v>0.29451482667750351</v>
      </c>
      <c r="AB177" s="21">
        <f>EXP(-LN(2)/2)*AB176+(1-EXP(-LN(2)/2))/(LN(2)/2)*V177*Y177*VLOOKUP('Données projet'!$B$9,Paramètres!$A$1:$I$89,3,0)*0.475*44/12</f>
        <v>3.5843301988402443E-22</v>
      </c>
      <c r="AC177" s="22">
        <f t="shared" si="163"/>
        <v>0.47293370698725606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3.4106051316484809E-13</v>
      </c>
      <c r="AJ177" s="13">
        <f>AI177*VLOOKUP('Données projet'!$B$10,Paramètres!$A$1:$I$89,3,0)*VLOOKUP('Données projet'!$B$10,Paramètres!$A$1:$I$89,5,0)</f>
        <v>1.5961632016114892E-13</v>
      </c>
      <c r="AK177" s="13">
        <f t="shared" si="164"/>
        <v>2.2708641912150958E-12</v>
      </c>
      <c r="AL177" s="20">
        <f t="shared" si="165"/>
        <v>4.2330868906469593E-12</v>
      </c>
      <c r="AM177" s="59">
        <f t="shared" si="113"/>
        <v>293.33333333333752</v>
      </c>
      <c r="AN177" s="59">
        <f ca="1">AVERAGE(OFFSET($AM$3,0,0,'Données projet'!$E$10+1,1))-AVERAGE(OFFSET($H$3,0,0,'Données projet'!$E$10+1,1))</f>
        <v>158.58786357608489</v>
      </c>
      <c r="AO177" s="59">
        <f t="shared" si="144"/>
        <v>163.20074068819849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0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-1.7053025658242404E-13</v>
      </c>
      <c r="BE177" s="13">
        <f>BD177*VLOOKUP('Données projet'!$B$11,Paramètres!$A$1:$I$89,3,0)*VLOOKUP('Données projet'!$B$11,Paramètres!$A$1:$I$89,5,0)</f>
        <v>-1.0197709343628959E-13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243.85350804244348</v>
      </c>
      <c r="BJ177" s="59">
        <f t="shared" si="146"/>
        <v>304.60992308960545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0.26132166443208599</v>
      </c>
      <c r="BQ177" s="21">
        <f>EXP(-LN(2)/25)*BQ176+(1-EXP(-LN(2)/25))/(LN(2)/25)*Calculateur!BL177*Calculateur!BN177*VLOOKUP('Données projet'!$B$11,Paramètres!$A$1:$I$89,3,0)*0.475*44/12</f>
        <v>0.32715158890274471</v>
      </c>
      <c r="BR177" s="21">
        <f>EXP(-LN(2)/2)*BR176+(1-EXP(-LN(2)/2))/(LN(2)/2)*BL177*BO177*VLOOKUP('Données projet'!$B$11,Paramètres!$A$1:$I$89,3,0)*0.475*44/12</f>
        <v>7.9160025822478908E-22</v>
      </c>
      <c r="BS177" s="22">
        <f t="shared" si="169"/>
        <v>0.58847325333483069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497</v>
      </c>
      <c r="BZ177" s="13">
        <f>BY177*VLOOKUP('Données projet'!$B$12,Paramètres!$A$1:$I$89,3,0)*VLOOKUP('Données projet'!$B$12,Paramètres!$A$1:$I$89,5,0)</f>
        <v>297.20600000000002</v>
      </c>
      <c r="CA177" s="13">
        <f t="shared" si="170"/>
        <v>70.590415164571112</v>
      </c>
      <c r="CB177" s="20">
        <f t="shared" si="171"/>
        <v>640.57875641162809</v>
      </c>
      <c r="CC177" s="59">
        <f t="shared" si="119"/>
        <v>933.91208974496135</v>
      </c>
      <c r="CD177" s="59">
        <f ca="1">AVERAGE(OFFSET($CC$3,0,0,'Données projet'!$E$12+1,1))-AVERAGE(OFFSET($H$3,0,0,'Données projet'!$E$12+1,1))</f>
        <v>270.30888762640245</v>
      </c>
      <c r="CE177" s="59">
        <f t="shared" si="148"/>
        <v>202.23783851977691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0.12367157560954505</v>
      </c>
      <c r="CL177" s="21">
        <f>EXP(-LN(2)/25)*CL176+(1-EXP(-LN(2)/25))/(LN(2)/25)*Calculateur!CG177*Calculateur!CI177*VLOOKUP('Données projet'!$B$12,Paramètres!$A$1:$I$89,3,0)*0.475*44/12</f>
        <v>0.22688360347132366</v>
      </c>
      <c r="CM177" s="21">
        <f>EXP(-LN(2)/2)*CM176+(1-EXP(-LN(2)/2))/(LN(2)/2)*CG177*CJ177*VLOOKUP('Données projet'!$B$12,Paramètres!$A$1:$I$89,3,0)*0.475*44/12</f>
        <v>3.9159621883528959E-21</v>
      </c>
      <c r="CN177" s="22">
        <f t="shared" si="172"/>
        <v>0.3505551790808687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-5.1159076974727213E-13</v>
      </c>
      <c r="CU177" s="17">
        <f>CT177*VLOOKUP('Données projet'!$B$13,Paramètres!$A$1:$I$89,3,0)*VLOOKUP('Données projet'!$B$13,Paramètres!$A$1:$I$89,5,0)</f>
        <v>-4.0702161641092972E-13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260.20517190557814</v>
      </c>
      <c r="CZ177" s="59">
        <f t="shared" si="150"/>
        <v>307.22009971147133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0.18840498245637713</v>
      </c>
      <c r="DG177" s="21">
        <f>EXP(-LN(2)/25)*DG176+(1-EXP(-LN(2)/25))/(LN(2)/25)*Calculateur!DB177*Calculateur!DD177*VLOOKUP('Données projet'!$B$13,Paramètres!$A$1:$I$89,3,0)*0.475*44/12</f>
        <v>0.37864844114741647</v>
      </c>
      <c r="DH177" s="21">
        <f>EXP(-LN(2)/2)*DH176+(1-EXP(-LN(2)/2))/(LN(2)/2)*DB177*DE177*VLOOKUP('Données projet'!$B$13,Paramètres!$A$1:$I$89,3,0)*0.475*44/12</f>
        <v>5.0904635080650204E-21</v>
      </c>
      <c r="DI177" s="22">
        <f t="shared" si="175"/>
        <v>0.56705342360379363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4.5474735088646412E-13</v>
      </c>
      <c r="DP177" s="17">
        <f>DO177*VLOOKUP('Données projet'!$B$14,Paramètres!$A$1:$I$89,3,0)*VLOOKUP('Données projet'!$B$14,Paramètres!$A$1:$I$89,5,0)</f>
        <v>4.6111381379887462E-13</v>
      </c>
      <c r="DQ177" s="13">
        <f t="shared" si="176"/>
        <v>5.7981965206434308E-12</v>
      </c>
      <c r="DR177" s="20">
        <f t="shared" si="177"/>
        <v>1.0901632165820347E-11</v>
      </c>
      <c r="DS177" s="59">
        <f t="shared" si="125"/>
        <v>293.33333333334423</v>
      </c>
      <c r="DT177" s="59">
        <f ca="1">AVERAGE(OFFSET($DS$3,0,0,'Données projet'!$E$14+1,1))-AVERAGE(OFFSET($H$3,0,0,'Données projet'!$E$14+1,1))</f>
        <v>263.15518481854753</v>
      </c>
      <c r="DU177" s="59">
        <f t="shared" si="152"/>
        <v>210.80755370263819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0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-5.1159076974727213E-13</v>
      </c>
      <c r="EK177" s="17">
        <f>EJ177*VLOOKUP('Données projet'!$B$15,Paramètres!$A$1:$I$89,3,0)*VLOOKUP('Données projet'!$B$15,Paramètres!$A$1:$I$89,5,0)</f>
        <v>-3.4317508834647017E-13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207.93042467236967</v>
      </c>
      <c r="EP177" s="59">
        <f t="shared" si="154"/>
        <v>250.70954318710835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0.1588512597181217</v>
      </c>
      <c r="EW177" s="21">
        <f>EXP(-LN(2)/25)*EW176+(1-EXP(-LN(2)/25))/(LN(2)/25)*Calculateur!ER177*Calculateur!ET177*VLOOKUP('Données projet'!$B$15,Paramètres!$A$1:$I$89,3,0)*0.475*44/12</f>
        <v>0.31925260724193982</v>
      </c>
      <c r="EX177" s="21">
        <f>EXP(-LN(2)/2)*EX176+(1-EXP(-LN(2)/2))/(LN(2)/2)*ER177*EU177*VLOOKUP('Données projet'!$B$15,Paramètres!$A$1:$I$89,3,0)*0.475*44/12</f>
        <v>4.2919594283685463E-21</v>
      </c>
      <c r="EY177" s="22">
        <f t="shared" si="181"/>
        <v>0.47810386696006152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4.5474735088646412E-13</v>
      </c>
      <c r="FF177" s="17">
        <f>FE177*VLOOKUP('Données projet'!$B$16,Paramètres!$A$1:$I$89,3,0)*VLOOKUP('Données projet'!$B$16,Paramètres!$A$1:$I$89,5,0)</f>
        <v>4.8949004849418999E-13</v>
      </c>
      <c r="FG177" s="13">
        <f t="shared" si="182"/>
        <v>6.1123715499968684E-12</v>
      </c>
      <c r="FH177" s="20">
        <f t="shared" si="183"/>
        <v>1.1498242284038591E-11</v>
      </c>
      <c r="FI177" s="59">
        <f t="shared" si="131"/>
        <v>293.3333333333448</v>
      </c>
      <c r="FJ177" s="59">
        <f ca="1">AVERAGE(OFFSET($FI$3,0,0,'Données projet'!$E$16+1,1))-AVERAGE(OFFSET($H$3,0,0,'Données projet'!$E$16+1,1))</f>
        <v>286.77702855541287</v>
      </c>
      <c r="FK177" s="59">
        <f t="shared" si="156"/>
        <v>227.12211541860779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0</v>
      </c>
      <c r="FR177" s="21">
        <f>EXP(-LN(2)/25)*FR176+(1-EXP(-LN(2)/25))/(LN(2)/25)*Calculateur!FM177*Calculateur!FO177*VLOOKUP('Données projet'!$B$16,Paramètres!$A$1:$I$89,3,0)*0.475*44/12</f>
        <v>0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0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5.6843418860808015E-13</v>
      </c>
      <c r="GA177" s="17">
        <f>FZ177*VLOOKUP('Données projet'!$B$17,Paramètres!$A$1:$I$89,3,0)*VLOOKUP('Données projet'!$B$17,Paramètres!$A$1:$I$89,5,0)</f>
        <v>2.6602720026858149E-13</v>
      </c>
      <c r="GB177" s="13">
        <f t="shared" si="185"/>
        <v>3.5662905043956649E-12</v>
      </c>
      <c r="GC177" s="20">
        <f t="shared" si="186"/>
        <v>6.6746200022902298E-12</v>
      </c>
      <c r="GD177" s="59">
        <f t="shared" si="134"/>
        <v>293.33333333333997</v>
      </c>
      <c r="GE177" s="59">
        <f ca="1">AVERAGE(OFFSET($GD$3,0,0,'Données projet'!$E$17+1,1))-AVERAGE(OFFSET($H$3,0,0,'Données projet'!$E$17+1,1))</f>
        <v>123.2823358462245</v>
      </c>
      <c r="GF177" s="59">
        <f t="shared" si="158"/>
        <v>92.75115399786057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0</v>
      </c>
      <c r="GM177" s="21">
        <f>EXP(-LN(2)/25)*GM176+(1-EXP(-LN(2)/25))/(LN(2)/25)*Calculateur!GH177*Calculateur!GJ177*VLOOKUP('Données projet'!$B$17,Paramètres!$A$1:$I$89,3,0)*0.475*44/12</f>
        <v>0</v>
      </c>
      <c r="GN177" s="21">
        <f>EXP(-LN(2)/2)*GN176+(1-EXP(-LN(2)/2))/(LN(2)/2)*GH177*GK177*VLOOKUP('Données projet'!$B$17,Paramètres!$A$1:$I$89,3,0)*0.475*44/12</f>
        <v>0</v>
      </c>
      <c r="GO177" s="21">
        <f t="shared" si="187"/>
        <v>0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-2.8421709430404007E-13</v>
      </c>
      <c r="GV177" s="17">
        <f>GU177*VLOOKUP('Données projet'!$B$18,Paramètres!$A$1:$I$89,3,0)*VLOOKUP('Données projet'!$B$18,Paramètres!$A$1:$I$89,5,0)</f>
        <v>-1.69961822393816E-13</v>
      </c>
      <c r="GW177" s="13" t="e">
        <f t="shared" si="188"/>
        <v>#NUM!</v>
      </c>
      <c r="GX177" s="20" t="e">
        <f t="shared" si="189"/>
        <v>#NUM!</v>
      </c>
      <c r="GY177" s="59" t="e">
        <f t="shared" si="137"/>
        <v>#NUM!</v>
      </c>
      <c r="GZ177" s="59">
        <f ca="1">AVERAGE(OFFSET($GY$3,0,0,'Données projet'!$E$18+1,1))-AVERAGE(OFFSET($H$3,0,0,'Données projet'!$E$18+1,1))</f>
        <v>171.96009656745713</v>
      </c>
      <c r="HA177" s="59">
        <f t="shared" si="160"/>
        <v>172.37574906747716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>
        <f>EXP(-LN(2)/35)*HG176+(1-EXP(-LN(2)/35))/(LN(2)/35)*HC177*HD177*VLOOKUP('Données projet'!$B$18,Paramètres!$A$1:$I$89,3,0)*0.475*44/12</f>
        <v>9.6313206813764513E-2</v>
      </c>
      <c r="HH177" s="21">
        <f>EXP(-LN(2)/25)*HH176+(1-EXP(-LN(2)/25))/(LN(2)/25)*Calculateur!HC177*Calculateur!HE177*VLOOKUP('Données projet'!$B$18,Paramètres!$A$1:$I$89,3,0)*0.475*44/12</f>
        <v>0.37933798947100272</v>
      </c>
      <c r="HI177" s="21">
        <f>EXP(-LN(2)/2)*HI176+(1-EXP(-LN(2)/2))/(LN(2)/2)*HC177*HF177*VLOOKUP('Données projet'!$B$18,Paramètres!$A$1:$I$89,3,0)*0.475*44/12</f>
        <v>2.5505477652820806E-21</v>
      </c>
      <c r="HJ177" s="22">
        <f t="shared" si="190"/>
        <v>0.47565119628476726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-2.2737367544323206E-13</v>
      </c>
      <c r="O178" s="13">
        <f>N178*VLOOKUP('Données projet'!$B$9,Paramètres!$A$1:$I$89,3,0)*VLOOKUP('Données projet'!$B$9,Paramètres!$A$1:$I$89,5,0)</f>
        <v>-1.2710188457276673E-13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255.5374979188561</v>
      </c>
      <c r="T178" s="59">
        <f t="shared" si="142"/>
        <v>343.10418468620901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0.17492019489164976</v>
      </c>
      <c r="AA178" s="21">
        <f>EXP(-LN(2)/25)*AA177+(1-EXP(-LN(2)/25))/(LN(2)/25)*Calculateur!V178*Calculateur!X178*VLOOKUP('Données projet'!$B$9,Paramètres!$A$1:$I$89,3,0)*0.475*44/12</f>
        <v>0.28646130325414554</v>
      </c>
      <c r="AB178" s="21">
        <f>EXP(-LN(2)/2)*AB177+(1-EXP(-LN(2)/2))/(LN(2)/2)*V178*Y178*VLOOKUP('Données projet'!$B$9,Paramètres!$A$1:$I$89,3,0)*0.475*44/12</f>
        <v>2.5345041896116629E-22</v>
      </c>
      <c r="AC178" s="22">
        <f t="shared" si="163"/>
        <v>0.46138149814579532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3.4106051316484809E-13</v>
      </c>
      <c r="AJ178" s="13">
        <f>AI178*VLOOKUP('Données projet'!$B$10,Paramètres!$A$1:$I$89,3,0)*VLOOKUP('Données projet'!$B$10,Paramètres!$A$1:$I$89,5,0)</f>
        <v>1.5961632016114892E-13</v>
      </c>
      <c r="AK178" s="13">
        <f t="shared" si="164"/>
        <v>2.2708641912150958E-12</v>
      </c>
      <c r="AL178" s="20">
        <f t="shared" si="165"/>
        <v>4.2330868906469593E-12</v>
      </c>
      <c r="AM178" s="59">
        <f t="shared" si="113"/>
        <v>293.33333333333752</v>
      </c>
      <c r="AN178" s="59">
        <f ca="1">AVERAGE(OFFSET($AM$3,0,0,'Données projet'!$E$10+1,1))-AVERAGE(OFFSET($H$3,0,0,'Données projet'!$E$10+1,1))</f>
        <v>158.58786357608489</v>
      </c>
      <c r="AO178" s="59">
        <f t="shared" si="144"/>
        <v>163.20074068819849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0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-1.7053025658242404E-13</v>
      </c>
      <c r="BE178" s="13">
        <f>BD178*VLOOKUP('Données projet'!$B$11,Paramètres!$A$1:$I$89,3,0)*VLOOKUP('Données projet'!$B$11,Paramètres!$A$1:$I$89,5,0)</f>
        <v>-1.0197709343628959E-13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243.85350804244348</v>
      </c>
      <c r="BJ178" s="59">
        <f t="shared" si="146"/>
        <v>304.60992308960545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0.25619730598304957</v>
      </c>
      <c r="BQ178" s="21">
        <f>EXP(-LN(2)/25)*BQ177+(1-EXP(-LN(2)/25))/(LN(2)/25)*Calculateur!BL178*Calculateur!BN178*VLOOKUP('Données projet'!$B$11,Paramètres!$A$1:$I$89,3,0)*0.475*44/12</f>
        <v>0.31820561150004478</v>
      </c>
      <c r="BR178" s="21">
        <f>EXP(-LN(2)/2)*BR177+(1-EXP(-LN(2)/2))/(LN(2)/2)*BL178*BO178*VLOOKUP('Données projet'!$B$11,Paramètres!$A$1:$I$89,3,0)*0.475*44/12</f>
        <v>5.5974591057977044E-22</v>
      </c>
      <c r="BS178" s="22">
        <f t="shared" si="169"/>
        <v>0.57440291748309436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497</v>
      </c>
      <c r="BZ178" s="13">
        <f>BY178*VLOOKUP('Données projet'!$B$12,Paramètres!$A$1:$I$89,3,0)*VLOOKUP('Données projet'!$B$12,Paramètres!$A$1:$I$89,5,0)</f>
        <v>297.20600000000002</v>
      </c>
      <c r="CA178" s="13">
        <f t="shared" si="170"/>
        <v>70.590415164571112</v>
      </c>
      <c r="CB178" s="20">
        <f t="shared" si="171"/>
        <v>640.57875641162809</v>
      </c>
      <c r="CC178" s="59">
        <f t="shared" si="119"/>
        <v>933.91208974496135</v>
      </c>
      <c r="CD178" s="59">
        <f ca="1">AVERAGE(OFFSET($CC$3,0,0,'Données projet'!$E$12+1,1))-AVERAGE(OFFSET($H$3,0,0,'Données projet'!$E$12+1,1))</f>
        <v>270.30888762640245</v>
      </c>
      <c r="CE178" s="59">
        <f t="shared" si="148"/>
        <v>202.23783851977691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0.12124645144405467</v>
      </c>
      <c r="CL178" s="21">
        <f>EXP(-LN(2)/25)*CL177+(1-EXP(-LN(2)/25))/(LN(2)/25)*Calculateur!CG178*Calculateur!CI178*VLOOKUP('Données projet'!$B$12,Paramètres!$A$1:$I$89,3,0)*0.475*44/12</f>
        <v>0.22067945940311015</v>
      </c>
      <c r="CM178" s="21">
        <f>EXP(-LN(2)/2)*CM177+(1-EXP(-LN(2)/2))/(LN(2)/2)*CG178*CJ178*VLOOKUP('Données projet'!$B$12,Paramètres!$A$1:$I$89,3,0)*0.475*44/12</f>
        <v>2.769003418254445E-21</v>
      </c>
      <c r="CN178" s="22">
        <f t="shared" si="172"/>
        <v>0.34192591084716484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-5.1159076974727213E-13</v>
      </c>
      <c r="CU178" s="17">
        <f>CT178*VLOOKUP('Données projet'!$B$13,Paramètres!$A$1:$I$89,3,0)*VLOOKUP('Données projet'!$B$13,Paramètres!$A$1:$I$89,5,0)</f>
        <v>-4.0702161641092972E-13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260.20517190557814</v>
      </c>
      <c r="CZ178" s="59">
        <f t="shared" si="150"/>
        <v>307.22009971147133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0.18471047566609988</v>
      </c>
      <c r="DG178" s="21">
        <f>EXP(-LN(2)/25)*DG177+(1-EXP(-LN(2)/25))/(LN(2)/25)*Calculateur!DB178*Calculateur!DD178*VLOOKUP('Données projet'!$B$13,Paramètres!$A$1:$I$89,3,0)*0.475*44/12</f>
        <v>0.36829427961198424</v>
      </c>
      <c r="DH178" s="21">
        <f>EXP(-LN(2)/2)*DH177+(1-EXP(-LN(2)/2))/(LN(2)/2)*DB178*DE178*VLOOKUP('Données projet'!$B$13,Paramètres!$A$1:$I$89,3,0)*0.475*44/12</f>
        <v>3.5995012659354375E-21</v>
      </c>
      <c r="DI178" s="22">
        <f t="shared" si="175"/>
        <v>0.55300475527808413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4.5474735088646412E-13</v>
      </c>
      <c r="DP178" s="17">
        <f>DO178*VLOOKUP('Données projet'!$B$14,Paramètres!$A$1:$I$89,3,0)*VLOOKUP('Données projet'!$B$14,Paramètres!$A$1:$I$89,5,0)</f>
        <v>4.6111381379887462E-13</v>
      </c>
      <c r="DQ178" s="13">
        <f t="shared" si="176"/>
        <v>5.7981965206434308E-12</v>
      </c>
      <c r="DR178" s="20">
        <f t="shared" si="177"/>
        <v>1.0901632165820347E-11</v>
      </c>
      <c r="DS178" s="59">
        <f t="shared" si="125"/>
        <v>293.33333333334423</v>
      </c>
      <c r="DT178" s="59">
        <f ca="1">AVERAGE(OFFSET($DS$3,0,0,'Données projet'!$E$14+1,1))-AVERAGE(OFFSET($H$3,0,0,'Données projet'!$E$14+1,1))</f>
        <v>263.15518481854753</v>
      </c>
      <c r="DU178" s="59">
        <f t="shared" si="152"/>
        <v>210.80755370263819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0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-5.1159076974727213E-13</v>
      </c>
      <c r="EK178" s="17">
        <f>EJ178*VLOOKUP('Données projet'!$B$15,Paramètres!$A$1:$I$89,3,0)*VLOOKUP('Données projet'!$B$15,Paramètres!$A$1:$I$89,5,0)</f>
        <v>-3.4317508834647017E-13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207.93042467236967</v>
      </c>
      <c r="EP178" s="59">
        <f t="shared" si="154"/>
        <v>250.70954318710835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0.15573628340475068</v>
      </c>
      <c r="EW178" s="21">
        <f>EXP(-LN(2)/25)*EW177+(1-EXP(-LN(2)/25))/(LN(2)/25)*Calculateur!ER178*Calculateur!ET178*VLOOKUP('Données projet'!$B$15,Paramètres!$A$1:$I$89,3,0)*0.475*44/12</f>
        <v>0.310522627908144</v>
      </c>
      <c r="EX178" s="21">
        <f>EXP(-LN(2)/2)*EX177+(1-EXP(-LN(2)/2))/(LN(2)/2)*ER178*EU178*VLOOKUP('Données projet'!$B$15,Paramètres!$A$1:$I$89,3,0)*0.475*44/12</f>
        <v>3.0348736163769373E-21</v>
      </c>
      <c r="EY178" s="22">
        <f t="shared" si="181"/>
        <v>0.46625891131289465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4.5474735088646412E-13</v>
      </c>
      <c r="FF178" s="17">
        <f>FE178*VLOOKUP('Données projet'!$B$16,Paramètres!$A$1:$I$89,3,0)*VLOOKUP('Données projet'!$B$16,Paramètres!$A$1:$I$89,5,0)</f>
        <v>4.8949004849418999E-13</v>
      </c>
      <c r="FG178" s="13">
        <f t="shared" si="182"/>
        <v>6.1123715499968684E-12</v>
      </c>
      <c r="FH178" s="20">
        <f t="shared" si="183"/>
        <v>1.1498242284038591E-11</v>
      </c>
      <c r="FI178" s="59">
        <f t="shared" si="131"/>
        <v>293.3333333333448</v>
      </c>
      <c r="FJ178" s="59">
        <f ca="1">AVERAGE(OFFSET($FI$3,0,0,'Données projet'!$E$16+1,1))-AVERAGE(OFFSET($H$3,0,0,'Données projet'!$E$16+1,1))</f>
        <v>286.77702855541287</v>
      </c>
      <c r="FK178" s="59">
        <f t="shared" si="156"/>
        <v>227.12211541860779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0</v>
      </c>
      <c r="FR178" s="21">
        <f>EXP(-LN(2)/25)*FR177+(1-EXP(-LN(2)/25))/(LN(2)/25)*Calculateur!FM178*Calculateur!FO178*VLOOKUP('Données projet'!$B$16,Paramètres!$A$1:$I$89,3,0)*0.475*44/12</f>
        <v>0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0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5.6843418860808015E-13</v>
      </c>
      <c r="GA178" s="17">
        <f>FZ178*VLOOKUP('Données projet'!$B$17,Paramètres!$A$1:$I$89,3,0)*VLOOKUP('Données projet'!$B$17,Paramètres!$A$1:$I$89,5,0)</f>
        <v>2.6602720026858149E-13</v>
      </c>
      <c r="GB178" s="13">
        <f t="shared" si="185"/>
        <v>3.5662905043956649E-12</v>
      </c>
      <c r="GC178" s="20">
        <f t="shared" si="186"/>
        <v>6.6746200022902298E-12</v>
      </c>
      <c r="GD178" s="59">
        <f t="shared" si="134"/>
        <v>293.33333333333997</v>
      </c>
      <c r="GE178" s="59">
        <f ca="1">AVERAGE(OFFSET($GD$3,0,0,'Données projet'!$E$17+1,1))-AVERAGE(OFFSET($H$3,0,0,'Données projet'!$E$17+1,1))</f>
        <v>123.2823358462245</v>
      </c>
      <c r="GF178" s="59">
        <f t="shared" si="158"/>
        <v>92.75115399786057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0</v>
      </c>
      <c r="GM178" s="21">
        <f>EXP(-LN(2)/25)*GM177+(1-EXP(-LN(2)/25))/(LN(2)/25)*Calculateur!GH178*Calculateur!GJ178*VLOOKUP('Données projet'!$B$17,Paramètres!$A$1:$I$89,3,0)*0.475*44/12</f>
        <v>0</v>
      </c>
      <c r="GN178" s="21">
        <f>EXP(-LN(2)/2)*GN177+(1-EXP(-LN(2)/2))/(LN(2)/2)*GH178*GK178*VLOOKUP('Données projet'!$B$17,Paramètres!$A$1:$I$89,3,0)*0.475*44/12</f>
        <v>0</v>
      </c>
      <c r="GO178" s="21">
        <f t="shared" si="187"/>
        <v>0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-2.8421709430404007E-13</v>
      </c>
      <c r="GV178" s="17">
        <f>GU178*VLOOKUP('Données projet'!$B$18,Paramètres!$A$1:$I$89,3,0)*VLOOKUP('Données projet'!$B$18,Paramètres!$A$1:$I$89,5,0)</f>
        <v>-1.69961822393816E-13</v>
      </c>
      <c r="GW178" s="13" t="e">
        <f t="shared" si="188"/>
        <v>#NUM!</v>
      </c>
      <c r="GX178" s="20" t="e">
        <f t="shared" si="189"/>
        <v>#NUM!</v>
      </c>
      <c r="GY178" s="59" t="e">
        <f t="shared" si="137"/>
        <v>#NUM!</v>
      </c>
      <c r="GZ178" s="59">
        <f ca="1">AVERAGE(OFFSET($GY$3,0,0,'Données projet'!$E$18+1,1))-AVERAGE(OFFSET($H$3,0,0,'Données projet'!$E$18+1,1))</f>
        <v>171.96009656745713</v>
      </c>
      <c r="HA178" s="59">
        <f t="shared" si="160"/>
        <v>172.37574906747716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>
        <f>EXP(-LN(2)/35)*HG177+(1-EXP(-LN(2)/35))/(LN(2)/35)*HC178*HD178*VLOOKUP('Données projet'!$B$18,Paramètres!$A$1:$I$89,3,0)*0.475*44/12</f>
        <v>9.4424563573402134E-2</v>
      </c>
      <c r="HH178" s="21">
        <f>EXP(-LN(2)/25)*HH177+(1-EXP(-LN(2)/25))/(LN(2)/25)*Calculateur!HC178*Calculateur!HE178*VLOOKUP('Données projet'!$B$18,Paramètres!$A$1:$I$89,3,0)*0.475*44/12</f>
        <v>0.36896497220040025</v>
      </c>
      <c r="HI178" s="21">
        <f>EXP(-LN(2)/2)*HI177+(1-EXP(-LN(2)/2))/(LN(2)/2)*HC178*HF178*VLOOKUP('Données projet'!$B$18,Paramètres!$A$1:$I$89,3,0)*0.475*44/12</f>
        <v>1.8035096205711539E-21</v>
      </c>
      <c r="HJ178" s="22">
        <f t="shared" si="190"/>
        <v>0.46338953577380237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-2.2737367544323206E-13</v>
      </c>
      <c r="O179" s="13">
        <f>N179*VLOOKUP('Données projet'!$B$9,Paramètres!$A$1:$I$89,3,0)*VLOOKUP('Données projet'!$B$9,Paramètres!$A$1:$I$89,5,0)</f>
        <v>-1.2710188457276673E-13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255.5374979188561</v>
      </c>
      <c r="T179" s="59">
        <f t="shared" si="142"/>
        <v>343.10418468620901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0.17149011656060856</v>
      </c>
      <c r="AA179" s="21">
        <f>EXP(-LN(2)/25)*AA178+(1-EXP(-LN(2)/25))/(LN(2)/25)*Calculateur!V179*Calculateur!X179*VLOOKUP('Données projet'!$B$9,Paramètres!$A$1:$I$89,3,0)*0.475*44/12</f>
        <v>0.27862800385231573</v>
      </c>
      <c r="AB179" s="21">
        <f>EXP(-LN(2)/2)*AB178+(1-EXP(-LN(2)/2))/(LN(2)/2)*V179*Y179*VLOOKUP('Données projet'!$B$9,Paramètres!$A$1:$I$89,3,0)*0.475*44/12</f>
        <v>1.7921650994201221E-22</v>
      </c>
      <c r="AC179" s="22">
        <f t="shared" si="163"/>
        <v>0.45011812041292432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3.4106051316484809E-13</v>
      </c>
      <c r="AJ179" s="13">
        <f>AI179*VLOOKUP('Données projet'!$B$10,Paramètres!$A$1:$I$89,3,0)*VLOOKUP('Données projet'!$B$10,Paramètres!$A$1:$I$89,5,0)</f>
        <v>1.5961632016114892E-13</v>
      </c>
      <c r="AK179" s="13">
        <f t="shared" si="164"/>
        <v>2.2708641912150958E-12</v>
      </c>
      <c r="AL179" s="20">
        <f t="shared" si="165"/>
        <v>4.2330868906469593E-12</v>
      </c>
      <c r="AM179" s="59">
        <f t="shared" si="113"/>
        <v>293.33333333333752</v>
      </c>
      <c r="AN179" s="59">
        <f ca="1">AVERAGE(OFFSET($AM$3,0,0,'Données projet'!$E$10+1,1))-AVERAGE(OFFSET($H$3,0,0,'Données projet'!$E$10+1,1))</f>
        <v>158.58786357608489</v>
      </c>
      <c r="AO179" s="59">
        <f t="shared" si="144"/>
        <v>163.20074068819849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0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-1.7053025658242404E-13</v>
      </c>
      <c r="BE179" s="13">
        <f>BD179*VLOOKUP('Données projet'!$B$11,Paramètres!$A$1:$I$89,3,0)*VLOOKUP('Données projet'!$B$11,Paramètres!$A$1:$I$89,5,0)</f>
        <v>-1.0197709343628959E-13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243.85350804244348</v>
      </c>
      <c r="BJ179" s="59">
        <f t="shared" si="146"/>
        <v>304.60992308960545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0.25117343307764872</v>
      </c>
      <c r="BQ179" s="21">
        <f>EXP(-LN(2)/25)*BQ178+(1-EXP(-LN(2)/25))/(LN(2)/25)*Calculateur!BL179*Calculateur!BN179*VLOOKUP('Données projet'!$B$11,Paramètres!$A$1:$I$89,3,0)*0.475*44/12</f>
        <v>0.30950426231987022</v>
      </c>
      <c r="BR179" s="21">
        <f>EXP(-LN(2)/2)*BR178+(1-EXP(-LN(2)/2))/(LN(2)/2)*BL179*BO179*VLOOKUP('Données projet'!$B$11,Paramètres!$A$1:$I$89,3,0)*0.475*44/12</f>
        <v>3.9580012911239454E-22</v>
      </c>
      <c r="BS179" s="22">
        <f t="shared" si="169"/>
        <v>0.56067769539751899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497</v>
      </c>
      <c r="BZ179" s="13">
        <f>BY179*VLOOKUP('Données projet'!$B$12,Paramètres!$A$1:$I$89,3,0)*VLOOKUP('Données projet'!$B$12,Paramètres!$A$1:$I$89,5,0)</f>
        <v>297.20600000000002</v>
      </c>
      <c r="CA179" s="13">
        <f t="shared" si="170"/>
        <v>70.590415164571112</v>
      </c>
      <c r="CB179" s="20">
        <f t="shared" si="171"/>
        <v>640.57875641162809</v>
      </c>
      <c r="CC179" s="59">
        <f t="shared" si="119"/>
        <v>933.91208974496135</v>
      </c>
      <c r="CD179" s="59">
        <f ca="1">AVERAGE(OFFSET($CC$3,0,0,'Données projet'!$E$12+1,1))-AVERAGE(OFFSET($H$3,0,0,'Données projet'!$E$12+1,1))</f>
        <v>270.30888762640245</v>
      </c>
      <c r="CE179" s="59">
        <f t="shared" si="148"/>
        <v>202.23783851977691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0.11886888248426988</v>
      </c>
      <c r="CL179" s="21">
        <f>EXP(-LN(2)/25)*CL178+(1-EXP(-LN(2)/25))/(LN(2)/25)*Calculateur!CG179*Calculateur!CI179*VLOOKUP('Données projet'!$B$12,Paramètres!$A$1:$I$89,3,0)*0.475*44/12</f>
        <v>0.2146449679807037</v>
      </c>
      <c r="CM179" s="21">
        <f>EXP(-LN(2)/2)*CM178+(1-EXP(-LN(2)/2))/(LN(2)/2)*CG179*CJ179*VLOOKUP('Données projet'!$B$12,Paramètres!$A$1:$I$89,3,0)*0.475*44/12</f>
        <v>1.9579810941764479E-21</v>
      </c>
      <c r="CN179" s="22">
        <f t="shared" si="172"/>
        <v>0.33351385046497362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-5.1159076974727213E-13</v>
      </c>
      <c r="CU179" s="17">
        <f>CT179*VLOOKUP('Données projet'!$B$13,Paramètres!$A$1:$I$89,3,0)*VLOOKUP('Données projet'!$B$13,Paramètres!$A$1:$I$89,5,0)</f>
        <v>-4.0702161641092972E-13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260.20517190557814</v>
      </c>
      <c r="CZ179" s="59">
        <f t="shared" si="150"/>
        <v>307.22009971147133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0.18108841590055336</v>
      </c>
      <c r="DG179" s="21">
        <f>EXP(-LN(2)/25)*DG178+(1-EXP(-LN(2)/25))/(LN(2)/25)*Calculateur!DB179*Calculateur!DD179*VLOOKUP('Données projet'!$B$13,Paramètres!$A$1:$I$89,3,0)*0.475*44/12</f>
        <v>0.35822325316824011</v>
      </c>
      <c r="DH179" s="21">
        <f>EXP(-LN(2)/2)*DH178+(1-EXP(-LN(2)/2))/(LN(2)/2)*DB179*DE179*VLOOKUP('Données projet'!$B$13,Paramètres!$A$1:$I$89,3,0)*0.475*44/12</f>
        <v>2.5452317540325102E-21</v>
      </c>
      <c r="DI179" s="22">
        <f t="shared" si="175"/>
        <v>0.53931166906879346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4.5474735088646412E-13</v>
      </c>
      <c r="DP179" s="17">
        <f>DO179*VLOOKUP('Données projet'!$B$14,Paramètres!$A$1:$I$89,3,0)*VLOOKUP('Données projet'!$B$14,Paramètres!$A$1:$I$89,5,0)</f>
        <v>4.6111381379887462E-13</v>
      </c>
      <c r="DQ179" s="13">
        <f t="shared" si="176"/>
        <v>5.7981965206434308E-12</v>
      </c>
      <c r="DR179" s="20">
        <f t="shared" si="177"/>
        <v>1.0901632165820347E-11</v>
      </c>
      <c r="DS179" s="59">
        <f t="shared" si="125"/>
        <v>293.33333333334423</v>
      </c>
      <c r="DT179" s="59">
        <f ca="1">AVERAGE(OFFSET($DS$3,0,0,'Données projet'!$E$14+1,1))-AVERAGE(OFFSET($H$3,0,0,'Données projet'!$E$14+1,1))</f>
        <v>263.15518481854753</v>
      </c>
      <c r="DU179" s="59">
        <f t="shared" si="152"/>
        <v>210.80755370263819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0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-5.1159076974727213E-13</v>
      </c>
      <c r="EK179" s="17">
        <f>EJ179*VLOOKUP('Données projet'!$B$15,Paramètres!$A$1:$I$89,3,0)*VLOOKUP('Données projet'!$B$15,Paramètres!$A$1:$I$89,5,0)</f>
        <v>-3.4317508834647017E-13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207.93042467236967</v>
      </c>
      <c r="EP179" s="59">
        <f t="shared" si="154"/>
        <v>250.70954318710835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0.15268238987693694</v>
      </c>
      <c r="EW179" s="21">
        <f>EXP(-LN(2)/25)*EW178+(1-EXP(-LN(2)/25))/(LN(2)/25)*Calculateur!ER179*Calculateur!ET179*VLOOKUP('Données projet'!$B$15,Paramètres!$A$1:$I$89,3,0)*0.475*44/12</f>
        <v>0.3020313703183205</v>
      </c>
      <c r="EX179" s="21">
        <f>EXP(-LN(2)/2)*EX178+(1-EXP(-LN(2)/2))/(LN(2)/2)*ER179*EU179*VLOOKUP('Données projet'!$B$15,Paramètres!$A$1:$I$89,3,0)*0.475*44/12</f>
        <v>2.1459797141842731E-21</v>
      </c>
      <c r="EY179" s="22">
        <f t="shared" si="181"/>
        <v>0.45471376019525744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4.5474735088646412E-13</v>
      </c>
      <c r="FF179" s="17">
        <f>FE179*VLOOKUP('Données projet'!$B$16,Paramètres!$A$1:$I$89,3,0)*VLOOKUP('Données projet'!$B$16,Paramètres!$A$1:$I$89,5,0)</f>
        <v>4.8949004849418999E-13</v>
      </c>
      <c r="FG179" s="13">
        <f t="shared" si="182"/>
        <v>6.1123715499968684E-12</v>
      </c>
      <c r="FH179" s="20">
        <f t="shared" si="183"/>
        <v>1.1498242284038591E-11</v>
      </c>
      <c r="FI179" s="59">
        <f t="shared" si="131"/>
        <v>293.3333333333448</v>
      </c>
      <c r="FJ179" s="59">
        <f ca="1">AVERAGE(OFFSET($FI$3,0,0,'Données projet'!$E$16+1,1))-AVERAGE(OFFSET($H$3,0,0,'Données projet'!$E$16+1,1))</f>
        <v>286.77702855541287</v>
      </c>
      <c r="FK179" s="59">
        <f t="shared" si="156"/>
        <v>227.12211541860779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0</v>
      </c>
      <c r="FR179" s="21">
        <f>EXP(-LN(2)/25)*FR178+(1-EXP(-LN(2)/25))/(LN(2)/25)*Calculateur!FM179*Calculateur!FO179*VLOOKUP('Données projet'!$B$16,Paramètres!$A$1:$I$89,3,0)*0.475*44/12</f>
        <v>0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0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5.6843418860808015E-13</v>
      </c>
      <c r="GA179" s="17">
        <f>FZ179*VLOOKUP('Données projet'!$B$17,Paramètres!$A$1:$I$89,3,0)*VLOOKUP('Données projet'!$B$17,Paramètres!$A$1:$I$89,5,0)</f>
        <v>2.6602720026858149E-13</v>
      </c>
      <c r="GB179" s="13">
        <f t="shared" si="185"/>
        <v>3.5662905043956649E-12</v>
      </c>
      <c r="GC179" s="20">
        <f t="shared" si="186"/>
        <v>6.6746200022902298E-12</v>
      </c>
      <c r="GD179" s="59">
        <f t="shared" si="134"/>
        <v>293.33333333333997</v>
      </c>
      <c r="GE179" s="59">
        <f ca="1">AVERAGE(OFFSET($GD$3,0,0,'Données projet'!$E$17+1,1))-AVERAGE(OFFSET($H$3,0,0,'Données projet'!$E$17+1,1))</f>
        <v>123.2823358462245</v>
      </c>
      <c r="GF179" s="59">
        <f t="shared" si="158"/>
        <v>92.75115399786057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0</v>
      </c>
      <c r="GM179" s="21">
        <f>EXP(-LN(2)/25)*GM178+(1-EXP(-LN(2)/25))/(LN(2)/25)*Calculateur!GH179*Calculateur!GJ179*VLOOKUP('Données projet'!$B$17,Paramètres!$A$1:$I$89,3,0)*0.475*44/12</f>
        <v>0</v>
      </c>
      <c r="GN179" s="21">
        <f>EXP(-LN(2)/2)*GN178+(1-EXP(-LN(2)/2))/(LN(2)/2)*GH179*GK179*VLOOKUP('Données projet'!$B$17,Paramètres!$A$1:$I$89,3,0)*0.475*44/12</f>
        <v>0</v>
      </c>
      <c r="GO179" s="21">
        <f t="shared" si="187"/>
        <v>0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-2.8421709430404007E-13</v>
      </c>
      <c r="GV179" s="17">
        <f>GU179*VLOOKUP('Données projet'!$B$18,Paramètres!$A$1:$I$89,3,0)*VLOOKUP('Données projet'!$B$18,Paramètres!$A$1:$I$89,5,0)</f>
        <v>-1.69961822393816E-13</v>
      </c>
      <c r="GW179" s="13" t="e">
        <f t="shared" si="188"/>
        <v>#NUM!</v>
      </c>
      <c r="GX179" s="20" t="e">
        <f t="shared" si="189"/>
        <v>#NUM!</v>
      </c>
      <c r="GY179" s="59" t="e">
        <f t="shared" si="137"/>
        <v>#NUM!</v>
      </c>
      <c r="GZ179" s="59">
        <f ca="1">AVERAGE(OFFSET($GY$3,0,0,'Données projet'!$E$18+1,1))-AVERAGE(OFFSET($H$3,0,0,'Données projet'!$E$18+1,1))</f>
        <v>171.96009656745713</v>
      </c>
      <c r="HA179" s="59">
        <f t="shared" si="160"/>
        <v>172.37574906747716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>
        <f>EXP(-LN(2)/35)*HG178+(1-EXP(-LN(2)/35))/(LN(2)/35)*HC179*HD179*VLOOKUP('Données projet'!$B$18,Paramètres!$A$1:$I$89,3,0)*0.475*44/12</f>
        <v>9.2572955475024629E-2</v>
      </c>
      <c r="HH179" s="21">
        <f>EXP(-LN(2)/25)*HH178+(1-EXP(-LN(2)/25))/(LN(2)/25)*Calculateur!HC179*Calculateur!HE179*VLOOKUP('Données projet'!$B$18,Paramètres!$A$1:$I$89,3,0)*0.475*44/12</f>
        <v>0.35887560563255572</v>
      </c>
      <c r="HI179" s="21">
        <f>EXP(-LN(2)/2)*HI178+(1-EXP(-LN(2)/2))/(LN(2)/2)*HC179*HF179*VLOOKUP('Données projet'!$B$18,Paramètres!$A$1:$I$89,3,0)*0.475*44/12</f>
        <v>1.2752738826410403E-21</v>
      </c>
      <c r="HJ179" s="22">
        <f t="shared" si="190"/>
        <v>0.45144856110758036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-2.2737367544323206E-13</v>
      </c>
      <c r="O180" s="13">
        <f>N180*VLOOKUP('Données projet'!$B$9,Paramètres!$A$1:$I$89,3,0)*VLOOKUP('Données projet'!$B$9,Paramètres!$A$1:$I$89,5,0)</f>
        <v>-1.2710188457276673E-13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255.5374979188561</v>
      </c>
      <c r="T180" s="59">
        <f t="shared" si="142"/>
        <v>343.10418468620901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0.16812729997349787</v>
      </c>
      <c r="AA180" s="21">
        <f>EXP(-LN(2)/25)*AA179+(1-EXP(-LN(2)/25))/(LN(2)/25)*Calculateur!V180*Calculateur!X180*VLOOKUP('Données projet'!$B$9,Paramètres!$A$1:$I$89,3,0)*0.475*44/12</f>
        <v>0.27100890643456427</v>
      </c>
      <c r="AB180" s="21">
        <f>EXP(-LN(2)/2)*AB179+(1-EXP(-LN(2)/2))/(LN(2)/2)*V180*Y180*VLOOKUP('Données projet'!$B$9,Paramètres!$A$1:$I$89,3,0)*0.475*44/12</f>
        <v>1.2672520948058315E-22</v>
      </c>
      <c r="AC180" s="22">
        <f t="shared" si="163"/>
        <v>0.43913620640806217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3.4106051316484809E-13</v>
      </c>
      <c r="AJ180" s="13">
        <f>AI180*VLOOKUP('Données projet'!$B$10,Paramètres!$A$1:$I$89,3,0)*VLOOKUP('Données projet'!$B$10,Paramètres!$A$1:$I$89,5,0)</f>
        <v>1.5961632016114892E-13</v>
      </c>
      <c r="AK180" s="13">
        <f t="shared" si="164"/>
        <v>2.2708641912150958E-12</v>
      </c>
      <c r="AL180" s="20">
        <f t="shared" si="165"/>
        <v>4.2330868906469593E-12</v>
      </c>
      <c r="AM180" s="59">
        <f t="shared" si="113"/>
        <v>293.33333333333752</v>
      </c>
      <c r="AN180" s="59">
        <f ca="1">AVERAGE(OFFSET($AM$3,0,0,'Données projet'!$E$10+1,1))-AVERAGE(OFFSET($H$3,0,0,'Données projet'!$E$10+1,1))</f>
        <v>158.58786357608489</v>
      </c>
      <c r="AO180" s="59">
        <f t="shared" si="144"/>
        <v>163.20074068819849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0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-1.7053025658242404E-13</v>
      </c>
      <c r="BE180" s="13">
        <f>BD180*VLOOKUP('Données projet'!$B$11,Paramètres!$A$1:$I$89,3,0)*VLOOKUP('Données projet'!$B$11,Paramètres!$A$1:$I$89,5,0)</f>
        <v>-1.0197709343628959E-13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243.85350804244348</v>
      </c>
      <c r="BJ180" s="59">
        <f t="shared" si="146"/>
        <v>304.60992308960545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0.24624807525566289</v>
      </c>
      <c r="BQ180" s="21">
        <f>EXP(-LN(2)/25)*BQ179+(1-EXP(-LN(2)/25))/(LN(2)/25)*Calculateur!BL180*Calculateur!BN180*VLOOKUP('Données projet'!$B$11,Paramètres!$A$1:$I$89,3,0)*0.475*44/12</f>
        <v>0.30104085199061159</v>
      </c>
      <c r="BR180" s="21">
        <f>EXP(-LN(2)/2)*BR179+(1-EXP(-LN(2)/2))/(LN(2)/2)*BL180*BO180*VLOOKUP('Données projet'!$B$11,Paramètres!$A$1:$I$89,3,0)*0.475*44/12</f>
        <v>2.7987295528988522E-22</v>
      </c>
      <c r="BS180" s="22">
        <f t="shared" si="169"/>
        <v>0.54728892724627443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497</v>
      </c>
      <c r="BZ180" s="13">
        <f>BY180*VLOOKUP('Données projet'!$B$12,Paramètres!$A$1:$I$89,3,0)*VLOOKUP('Données projet'!$B$12,Paramètres!$A$1:$I$89,5,0)</f>
        <v>297.20600000000002</v>
      </c>
      <c r="CA180" s="13">
        <f t="shared" si="170"/>
        <v>70.590415164571112</v>
      </c>
      <c r="CB180" s="20">
        <f t="shared" si="171"/>
        <v>640.57875641162809</v>
      </c>
      <c r="CC180" s="59">
        <f t="shared" si="119"/>
        <v>933.91208974496135</v>
      </c>
      <c r="CD180" s="59">
        <f ca="1">AVERAGE(OFFSET($CC$3,0,0,'Données projet'!$E$12+1,1))-AVERAGE(OFFSET($H$3,0,0,'Données projet'!$E$12+1,1))</f>
        <v>270.30888762640245</v>
      </c>
      <c r="CE180" s="59">
        <f t="shared" si="148"/>
        <v>202.23783851977691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0.11653793620161261</v>
      </c>
      <c r="CL180" s="21">
        <f>EXP(-LN(2)/25)*CL179+(1-EXP(-LN(2)/25))/(LN(2)/25)*Calculateur!CG180*Calculateur!CI180*VLOOKUP('Données projet'!$B$12,Paramètres!$A$1:$I$89,3,0)*0.475*44/12</f>
        <v>0.20877549004358306</v>
      </c>
      <c r="CM180" s="21">
        <f>EXP(-LN(2)/2)*CM179+(1-EXP(-LN(2)/2))/(LN(2)/2)*CG180*CJ180*VLOOKUP('Données projet'!$B$12,Paramètres!$A$1:$I$89,3,0)*0.475*44/12</f>
        <v>1.3845017091272225E-21</v>
      </c>
      <c r="CN180" s="22">
        <f t="shared" si="172"/>
        <v>0.32531342624519566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-5.1159076974727213E-13</v>
      </c>
      <c r="CU180" s="17">
        <f>CT180*VLOOKUP('Données projet'!$B$13,Paramètres!$A$1:$I$89,3,0)*VLOOKUP('Données projet'!$B$13,Paramètres!$A$1:$I$89,5,0)</f>
        <v>-4.0702161641092972E-13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260.20517190557814</v>
      </c>
      <c r="CZ180" s="59">
        <f t="shared" si="150"/>
        <v>307.22009971147133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0.17753738251777088</v>
      </c>
      <c r="DG180" s="21">
        <f>EXP(-LN(2)/25)*DG179+(1-EXP(-LN(2)/25))/(LN(2)/25)*Calculateur!DB180*Calculateur!DD180*VLOOKUP('Données projet'!$B$13,Paramètres!$A$1:$I$89,3,0)*0.475*44/12</f>
        <v>0.3484276194722124</v>
      </c>
      <c r="DH180" s="21">
        <f>EXP(-LN(2)/2)*DH179+(1-EXP(-LN(2)/2))/(LN(2)/2)*DB180*DE180*VLOOKUP('Données projet'!$B$13,Paramètres!$A$1:$I$89,3,0)*0.475*44/12</f>
        <v>1.7997506329677187E-21</v>
      </c>
      <c r="DI180" s="22">
        <f t="shared" si="175"/>
        <v>0.52596500198998331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4.5474735088646412E-13</v>
      </c>
      <c r="DP180" s="17">
        <f>DO180*VLOOKUP('Données projet'!$B$14,Paramètres!$A$1:$I$89,3,0)*VLOOKUP('Données projet'!$B$14,Paramètres!$A$1:$I$89,5,0)</f>
        <v>4.6111381379887462E-13</v>
      </c>
      <c r="DQ180" s="13">
        <f t="shared" si="176"/>
        <v>5.7981965206434308E-12</v>
      </c>
      <c r="DR180" s="20">
        <f t="shared" si="177"/>
        <v>1.0901632165820347E-11</v>
      </c>
      <c r="DS180" s="59">
        <f t="shared" si="125"/>
        <v>293.33333333334423</v>
      </c>
      <c r="DT180" s="59">
        <f ca="1">AVERAGE(OFFSET($DS$3,0,0,'Données projet'!$E$14+1,1))-AVERAGE(OFFSET($H$3,0,0,'Données projet'!$E$14+1,1))</f>
        <v>263.15518481854753</v>
      </c>
      <c r="DU180" s="59">
        <f t="shared" si="152"/>
        <v>210.80755370263819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0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-5.1159076974727213E-13</v>
      </c>
      <c r="EK180" s="17">
        <f>EJ180*VLOOKUP('Données projet'!$B$15,Paramètres!$A$1:$I$89,3,0)*VLOOKUP('Données projet'!$B$15,Paramètres!$A$1:$I$89,5,0)</f>
        <v>-3.4317508834647017E-13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207.93042467236967</v>
      </c>
      <c r="EP180" s="59">
        <f t="shared" si="154"/>
        <v>250.70954318710835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0.14968838133851251</v>
      </c>
      <c r="EW180" s="21">
        <f>EXP(-LN(2)/25)*EW179+(1-EXP(-LN(2)/25))/(LN(2)/25)*Calculateur!ER180*Calculateur!ET180*VLOOKUP('Données projet'!$B$15,Paramètres!$A$1:$I$89,3,0)*0.475*44/12</f>
        <v>0.29377230661382658</v>
      </c>
      <c r="EX180" s="21">
        <f>EXP(-LN(2)/2)*EX179+(1-EXP(-LN(2)/2))/(LN(2)/2)*ER180*EU180*VLOOKUP('Données projet'!$B$15,Paramètres!$A$1:$I$89,3,0)*0.475*44/12</f>
        <v>1.5174368081884686E-21</v>
      </c>
      <c r="EY180" s="22">
        <f t="shared" si="181"/>
        <v>0.44346068795233906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4.5474735088646412E-13</v>
      </c>
      <c r="FF180" s="17">
        <f>FE180*VLOOKUP('Données projet'!$B$16,Paramètres!$A$1:$I$89,3,0)*VLOOKUP('Données projet'!$B$16,Paramètres!$A$1:$I$89,5,0)</f>
        <v>4.8949004849418999E-13</v>
      </c>
      <c r="FG180" s="13">
        <f t="shared" si="182"/>
        <v>6.1123715499968684E-12</v>
      </c>
      <c r="FH180" s="20">
        <f t="shared" si="183"/>
        <v>1.1498242284038591E-11</v>
      </c>
      <c r="FI180" s="59">
        <f t="shared" si="131"/>
        <v>293.3333333333448</v>
      </c>
      <c r="FJ180" s="59">
        <f ca="1">AVERAGE(OFFSET($FI$3,0,0,'Données projet'!$E$16+1,1))-AVERAGE(OFFSET($H$3,0,0,'Données projet'!$E$16+1,1))</f>
        <v>286.77702855541287</v>
      </c>
      <c r="FK180" s="59">
        <f t="shared" si="156"/>
        <v>227.12211541860779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0</v>
      </c>
      <c r="FR180" s="21">
        <f>EXP(-LN(2)/25)*FR179+(1-EXP(-LN(2)/25))/(LN(2)/25)*Calculateur!FM180*Calculateur!FO180*VLOOKUP('Données projet'!$B$16,Paramètres!$A$1:$I$89,3,0)*0.475*44/12</f>
        <v>0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0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5.6843418860808015E-13</v>
      </c>
      <c r="GA180" s="17">
        <f>FZ180*VLOOKUP('Données projet'!$B$17,Paramètres!$A$1:$I$89,3,0)*VLOOKUP('Données projet'!$B$17,Paramètres!$A$1:$I$89,5,0)</f>
        <v>2.6602720026858149E-13</v>
      </c>
      <c r="GB180" s="13">
        <f t="shared" si="185"/>
        <v>3.5662905043956649E-12</v>
      </c>
      <c r="GC180" s="20">
        <f t="shared" si="186"/>
        <v>6.6746200022902298E-12</v>
      </c>
      <c r="GD180" s="59">
        <f t="shared" si="134"/>
        <v>293.33333333333997</v>
      </c>
      <c r="GE180" s="59">
        <f ca="1">AVERAGE(OFFSET($GD$3,0,0,'Données projet'!$E$17+1,1))-AVERAGE(OFFSET($H$3,0,0,'Données projet'!$E$17+1,1))</f>
        <v>123.2823358462245</v>
      </c>
      <c r="GF180" s="59">
        <f t="shared" si="158"/>
        <v>92.75115399786057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0</v>
      </c>
      <c r="GM180" s="21">
        <f>EXP(-LN(2)/25)*GM179+(1-EXP(-LN(2)/25))/(LN(2)/25)*Calculateur!GH180*Calculateur!GJ180*VLOOKUP('Données projet'!$B$17,Paramètres!$A$1:$I$89,3,0)*0.475*44/12</f>
        <v>0</v>
      </c>
      <c r="GN180" s="21">
        <f>EXP(-LN(2)/2)*GN179+(1-EXP(-LN(2)/2))/(LN(2)/2)*GH180*GK180*VLOOKUP('Données projet'!$B$17,Paramètres!$A$1:$I$89,3,0)*0.475*44/12</f>
        <v>0</v>
      </c>
      <c r="GO180" s="21">
        <f t="shared" si="187"/>
        <v>0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-2.8421709430404007E-13</v>
      </c>
      <c r="GV180" s="17">
        <f>GU180*VLOOKUP('Données projet'!$B$18,Paramètres!$A$1:$I$89,3,0)*VLOOKUP('Données projet'!$B$18,Paramètres!$A$1:$I$89,5,0)</f>
        <v>-1.69961822393816E-13</v>
      </c>
      <c r="GW180" s="13" t="e">
        <f t="shared" si="188"/>
        <v>#NUM!</v>
      </c>
      <c r="GX180" s="20" t="e">
        <f t="shared" si="189"/>
        <v>#NUM!</v>
      </c>
      <c r="GY180" s="59" t="e">
        <f t="shared" si="137"/>
        <v>#NUM!</v>
      </c>
      <c r="GZ180" s="59">
        <f ca="1">AVERAGE(OFFSET($GY$3,0,0,'Données projet'!$E$18+1,1))-AVERAGE(OFFSET($H$3,0,0,'Données projet'!$E$18+1,1))</f>
        <v>171.96009656745713</v>
      </c>
      <c r="HA180" s="59">
        <f t="shared" si="160"/>
        <v>172.37574906747716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>
        <f>EXP(-LN(2)/35)*HG179+(1-EXP(-LN(2)/35))/(LN(2)/35)*HC180*HD180*VLOOKUP('Données projet'!$B$18,Paramètres!$A$1:$I$89,3,0)*0.475*44/12</f>
        <v>9.0757656282086888E-2</v>
      </c>
      <c r="HH180" s="21">
        <f>EXP(-LN(2)/25)*HH179+(1-EXP(-LN(2)/25))/(LN(2)/25)*Calculateur!HC180*Calculateur!HE180*VLOOKUP('Données projet'!$B$18,Paramètres!$A$1:$I$89,3,0)*0.475*44/12</f>
        <v>0.34906213332408559</v>
      </c>
      <c r="HI180" s="21">
        <f>EXP(-LN(2)/2)*HI179+(1-EXP(-LN(2)/2))/(LN(2)/2)*HC180*HF180*VLOOKUP('Données projet'!$B$18,Paramètres!$A$1:$I$89,3,0)*0.475*44/12</f>
        <v>9.0175481028557696E-22</v>
      </c>
      <c r="HJ180" s="22">
        <f t="shared" si="190"/>
        <v>0.43981978960617246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-2.2737367544323206E-13</v>
      </c>
      <c r="O181" s="13">
        <f>N181*VLOOKUP('Données projet'!$B$9,Paramètres!$A$1:$I$89,3,0)*VLOOKUP('Données projet'!$B$9,Paramètres!$A$1:$I$89,5,0)</f>
        <v>-1.2710188457276673E-13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255.5374979188561</v>
      </c>
      <c r="T181" s="59">
        <f t="shared" si="142"/>
        <v>343.10418468620901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0.16483042616854485</v>
      </c>
      <c r="AA181" s="21">
        <f>EXP(-LN(2)/25)*AA180+(1-EXP(-LN(2)/25))/(LN(2)/25)*Calculateur!V181*Calculateur!X181*VLOOKUP('Données projet'!$B$9,Paramètres!$A$1:$I$89,3,0)*0.475*44/12</f>
        <v>0.26359815363637212</v>
      </c>
      <c r="AB181" s="21">
        <f>EXP(-LN(2)/2)*AB180+(1-EXP(-LN(2)/2))/(LN(2)/2)*V181*Y181*VLOOKUP('Données projet'!$B$9,Paramètres!$A$1:$I$89,3,0)*0.475*44/12</f>
        <v>8.9608254971006107E-23</v>
      </c>
      <c r="AC181" s="22">
        <f t="shared" si="163"/>
        <v>0.428428579804917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3.4106051316484809E-13</v>
      </c>
      <c r="AJ181" s="13">
        <f>AI181*VLOOKUP('Données projet'!$B$10,Paramètres!$A$1:$I$89,3,0)*VLOOKUP('Données projet'!$B$10,Paramètres!$A$1:$I$89,5,0)</f>
        <v>1.5961632016114892E-13</v>
      </c>
      <c r="AK181" s="13">
        <f t="shared" si="164"/>
        <v>2.2708641912150958E-12</v>
      </c>
      <c r="AL181" s="20">
        <f t="shared" si="165"/>
        <v>4.2330868906469593E-12</v>
      </c>
      <c r="AM181" s="59">
        <f t="shared" si="113"/>
        <v>293.33333333333752</v>
      </c>
      <c r="AN181" s="59">
        <f ca="1">AVERAGE(OFFSET($AM$3,0,0,'Données projet'!$E$10+1,1))-AVERAGE(OFFSET($H$3,0,0,'Données projet'!$E$10+1,1))</f>
        <v>158.58786357608489</v>
      </c>
      <c r="AO181" s="59">
        <f t="shared" si="144"/>
        <v>163.20074068819849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0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-1.7053025658242404E-13</v>
      </c>
      <c r="BE181" s="13">
        <f>BD181*VLOOKUP('Données projet'!$B$11,Paramètres!$A$1:$I$89,3,0)*VLOOKUP('Données projet'!$B$11,Paramètres!$A$1:$I$89,5,0)</f>
        <v>-1.0197709343628959E-13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243.85350804244348</v>
      </c>
      <c r="BJ181" s="59">
        <f t="shared" si="146"/>
        <v>304.60992308960545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0.24141930069639458</v>
      </c>
      <c r="BQ181" s="21">
        <f>EXP(-LN(2)/25)*BQ180+(1-EXP(-LN(2)/25))/(LN(2)/25)*Calculateur!BL181*Calculateur!BN181*VLOOKUP('Données projet'!$B$11,Paramètres!$A$1:$I$89,3,0)*0.475*44/12</f>
        <v>0.29280887406187794</v>
      </c>
      <c r="BR181" s="21">
        <f>EXP(-LN(2)/2)*BR180+(1-EXP(-LN(2)/2))/(LN(2)/2)*BL181*BO181*VLOOKUP('Données projet'!$B$11,Paramètres!$A$1:$I$89,3,0)*0.475*44/12</f>
        <v>1.9790006455619727E-22</v>
      </c>
      <c r="BS181" s="22">
        <f t="shared" si="169"/>
        <v>0.53422817475827256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497</v>
      </c>
      <c r="BZ181" s="13">
        <f>BY181*VLOOKUP('Données projet'!$B$12,Paramètres!$A$1:$I$89,3,0)*VLOOKUP('Données projet'!$B$12,Paramètres!$A$1:$I$89,5,0)</f>
        <v>297.20600000000002</v>
      </c>
      <c r="CA181" s="13">
        <f t="shared" si="170"/>
        <v>70.590415164571112</v>
      </c>
      <c r="CB181" s="20">
        <f t="shared" si="171"/>
        <v>640.57875641162809</v>
      </c>
      <c r="CC181" s="59">
        <f t="shared" si="119"/>
        <v>933.91208974496135</v>
      </c>
      <c r="CD181" s="59">
        <f ca="1">AVERAGE(OFFSET($CC$3,0,0,'Données projet'!$E$12+1,1))-AVERAGE(OFFSET($H$3,0,0,'Données projet'!$E$12+1,1))</f>
        <v>270.30888762640245</v>
      </c>
      <c r="CE181" s="59">
        <f t="shared" si="148"/>
        <v>202.23783851977691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0.11425269835382139</v>
      </c>
      <c r="CL181" s="21">
        <f>EXP(-LN(2)/25)*CL180+(1-EXP(-LN(2)/25))/(LN(2)/25)*Calculateur!CG181*Calculateur!CI181*VLOOKUP('Données projet'!$B$12,Paramètres!$A$1:$I$89,3,0)*0.475*44/12</f>
        <v>0.20306651328931544</v>
      </c>
      <c r="CM181" s="21">
        <f>EXP(-LN(2)/2)*CM180+(1-EXP(-LN(2)/2))/(LN(2)/2)*CG181*CJ181*VLOOKUP('Données projet'!$B$12,Paramètres!$A$1:$I$89,3,0)*0.475*44/12</f>
        <v>9.7899054708822397E-22</v>
      </c>
      <c r="CN181" s="22">
        <f t="shared" si="172"/>
        <v>0.31731921164313681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-5.1159076974727213E-13</v>
      </c>
      <c r="CU181" s="17">
        <f>CT181*VLOOKUP('Données projet'!$B$13,Paramètres!$A$1:$I$89,3,0)*VLOOKUP('Données projet'!$B$13,Paramètres!$A$1:$I$89,5,0)</f>
        <v>-4.0702161641092972E-13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260.20517190557814</v>
      </c>
      <c r="CZ181" s="59">
        <f t="shared" si="150"/>
        <v>307.22009971147133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0.17405598273370826</v>
      </c>
      <c r="DG181" s="21">
        <f>EXP(-LN(2)/25)*DG180+(1-EXP(-LN(2)/25))/(LN(2)/25)*Calculateur!DB181*Calculateur!DD181*VLOOKUP('Données projet'!$B$13,Paramètres!$A$1:$I$89,3,0)*0.475*44/12</f>
        <v>0.3388998478947326</v>
      </c>
      <c r="DH181" s="21">
        <f>EXP(-LN(2)/2)*DH180+(1-EXP(-LN(2)/2))/(LN(2)/2)*DB181*DE181*VLOOKUP('Données projet'!$B$13,Paramètres!$A$1:$I$89,3,0)*0.475*44/12</f>
        <v>1.2726158770162551E-21</v>
      </c>
      <c r="DI181" s="22">
        <f t="shared" si="175"/>
        <v>0.51295583062844086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4.5474735088646412E-13</v>
      </c>
      <c r="DP181" s="17">
        <f>DO181*VLOOKUP('Données projet'!$B$14,Paramètres!$A$1:$I$89,3,0)*VLOOKUP('Données projet'!$B$14,Paramètres!$A$1:$I$89,5,0)</f>
        <v>4.6111381379887462E-13</v>
      </c>
      <c r="DQ181" s="13">
        <f t="shared" si="176"/>
        <v>5.7981965206434308E-12</v>
      </c>
      <c r="DR181" s="20">
        <f t="shared" si="177"/>
        <v>1.0901632165820347E-11</v>
      </c>
      <c r="DS181" s="59">
        <f t="shared" si="125"/>
        <v>293.33333333334423</v>
      </c>
      <c r="DT181" s="59">
        <f ca="1">AVERAGE(OFFSET($DS$3,0,0,'Données projet'!$E$14+1,1))-AVERAGE(OFFSET($H$3,0,0,'Données projet'!$E$14+1,1))</f>
        <v>263.15518481854753</v>
      </c>
      <c r="DU181" s="59">
        <f t="shared" si="152"/>
        <v>210.80755370263819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0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-5.1159076974727213E-13</v>
      </c>
      <c r="EK181" s="17">
        <f>EJ181*VLOOKUP('Données projet'!$B$15,Paramètres!$A$1:$I$89,3,0)*VLOOKUP('Données projet'!$B$15,Paramètres!$A$1:$I$89,5,0)</f>
        <v>-3.4317508834647017E-13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207.93042467236967</v>
      </c>
      <c r="EP181" s="59">
        <f t="shared" si="154"/>
        <v>250.70954318710835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0.14675308348136168</v>
      </c>
      <c r="EW181" s="21">
        <f>EXP(-LN(2)/25)*EW180+(1-EXP(-LN(2)/25))/(LN(2)/25)*Calculateur!ER181*Calculateur!ET181*VLOOKUP('Données projet'!$B$15,Paramètres!$A$1:$I$89,3,0)*0.475*44/12</f>
        <v>0.28573908744065729</v>
      </c>
      <c r="EX181" s="21">
        <f>EXP(-LN(2)/2)*EX180+(1-EXP(-LN(2)/2))/(LN(2)/2)*ER181*EU181*VLOOKUP('Données projet'!$B$15,Paramètres!$A$1:$I$89,3,0)*0.475*44/12</f>
        <v>1.0729898570921366E-21</v>
      </c>
      <c r="EY181" s="22">
        <f t="shared" si="181"/>
        <v>0.43249217092201897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4.5474735088646412E-13</v>
      </c>
      <c r="FF181" s="17">
        <f>FE181*VLOOKUP('Données projet'!$B$16,Paramètres!$A$1:$I$89,3,0)*VLOOKUP('Données projet'!$B$16,Paramètres!$A$1:$I$89,5,0)</f>
        <v>4.8949004849418999E-13</v>
      </c>
      <c r="FG181" s="13">
        <f t="shared" si="182"/>
        <v>6.1123715499968684E-12</v>
      </c>
      <c r="FH181" s="20">
        <f t="shared" si="183"/>
        <v>1.1498242284038591E-11</v>
      </c>
      <c r="FI181" s="59">
        <f t="shared" si="131"/>
        <v>293.3333333333448</v>
      </c>
      <c r="FJ181" s="59">
        <f ca="1">AVERAGE(OFFSET($FI$3,0,0,'Données projet'!$E$16+1,1))-AVERAGE(OFFSET($H$3,0,0,'Données projet'!$E$16+1,1))</f>
        <v>286.77702855541287</v>
      </c>
      <c r="FK181" s="59">
        <f t="shared" si="156"/>
        <v>227.12211541860779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0</v>
      </c>
      <c r="FR181" s="21">
        <f>EXP(-LN(2)/25)*FR180+(1-EXP(-LN(2)/25))/(LN(2)/25)*Calculateur!FM181*Calculateur!FO181*VLOOKUP('Données projet'!$B$16,Paramètres!$A$1:$I$89,3,0)*0.475*44/12</f>
        <v>0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0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5.6843418860808015E-13</v>
      </c>
      <c r="GA181" s="17">
        <f>FZ181*VLOOKUP('Données projet'!$B$17,Paramètres!$A$1:$I$89,3,0)*VLOOKUP('Données projet'!$B$17,Paramètres!$A$1:$I$89,5,0)</f>
        <v>2.6602720026858149E-13</v>
      </c>
      <c r="GB181" s="13">
        <f t="shared" si="185"/>
        <v>3.5662905043956649E-12</v>
      </c>
      <c r="GC181" s="20">
        <f t="shared" si="186"/>
        <v>6.6746200022902298E-12</v>
      </c>
      <c r="GD181" s="59">
        <f t="shared" si="134"/>
        <v>293.33333333333997</v>
      </c>
      <c r="GE181" s="59">
        <f ca="1">AVERAGE(OFFSET($GD$3,0,0,'Données projet'!$E$17+1,1))-AVERAGE(OFFSET($H$3,0,0,'Données projet'!$E$17+1,1))</f>
        <v>123.2823358462245</v>
      </c>
      <c r="GF181" s="59">
        <f t="shared" si="158"/>
        <v>92.75115399786057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0</v>
      </c>
      <c r="GM181" s="21">
        <f>EXP(-LN(2)/25)*GM180+(1-EXP(-LN(2)/25))/(LN(2)/25)*Calculateur!GH181*Calculateur!GJ181*VLOOKUP('Données projet'!$B$17,Paramètres!$A$1:$I$89,3,0)*0.475*44/12</f>
        <v>0</v>
      </c>
      <c r="GN181" s="21">
        <f>EXP(-LN(2)/2)*GN180+(1-EXP(-LN(2)/2))/(LN(2)/2)*GH181*GK181*VLOOKUP('Données projet'!$B$17,Paramètres!$A$1:$I$89,3,0)*0.475*44/12</f>
        <v>0</v>
      </c>
      <c r="GO181" s="21">
        <f t="shared" si="187"/>
        <v>0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-2.8421709430404007E-13</v>
      </c>
      <c r="GV181" s="17">
        <f>GU181*VLOOKUP('Données projet'!$B$18,Paramètres!$A$1:$I$89,3,0)*VLOOKUP('Données projet'!$B$18,Paramètres!$A$1:$I$89,5,0)</f>
        <v>-1.69961822393816E-13</v>
      </c>
      <c r="GW181" s="13" t="e">
        <f t="shared" si="188"/>
        <v>#NUM!</v>
      </c>
      <c r="GX181" s="20" t="e">
        <f t="shared" si="189"/>
        <v>#NUM!</v>
      </c>
      <c r="GY181" s="59" t="e">
        <f t="shared" si="137"/>
        <v>#NUM!</v>
      </c>
      <c r="GZ181" s="59">
        <f ca="1">AVERAGE(OFFSET($GY$3,0,0,'Données projet'!$E$18+1,1))-AVERAGE(OFFSET($H$3,0,0,'Données projet'!$E$18+1,1))</f>
        <v>171.96009656745713</v>
      </c>
      <c r="HA181" s="59">
        <f t="shared" si="160"/>
        <v>172.37574906747716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>
        <f>EXP(-LN(2)/35)*HG180+(1-EXP(-LN(2)/35))/(LN(2)/35)*HC181*HD181*VLOOKUP('Données projet'!$B$18,Paramètres!$A$1:$I$89,3,0)*0.475*44/12</f>
        <v>8.8977953999099468E-2</v>
      </c>
      <c r="HH181" s="21">
        <f>EXP(-LN(2)/25)*HH180+(1-EXP(-LN(2)/25))/(LN(2)/25)*Calculateur!HC181*Calculateur!HE181*VLOOKUP('Données projet'!$B$18,Paramètres!$A$1:$I$89,3,0)*0.475*44/12</f>
        <v>0.33951701093195868</v>
      </c>
      <c r="HI181" s="21">
        <f>EXP(-LN(2)/2)*HI180+(1-EXP(-LN(2)/2))/(LN(2)/2)*HC181*HF181*VLOOKUP('Données projet'!$B$18,Paramètres!$A$1:$I$89,3,0)*0.475*44/12</f>
        <v>6.3763694132052014E-22</v>
      </c>
      <c r="HJ181" s="22">
        <f t="shared" si="190"/>
        <v>0.42849496493105815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-2.2737367544323206E-13</v>
      </c>
      <c r="O182" s="13">
        <f>N182*VLOOKUP('Données projet'!$B$9,Paramètres!$A$1:$I$89,3,0)*VLOOKUP('Données projet'!$B$9,Paramètres!$A$1:$I$89,5,0)</f>
        <v>-1.2710188457276673E-13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255.5374979188561</v>
      </c>
      <c r="T182" s="59">
        <f t="shared" si="142"/>
        <v>343.10418468620901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0.16159820204801248</v>
      </c>
      <c r="AA182" s="21">
        <f>EXP(-LN(2)/25)*AA181+(1-EXP(-LN(2)/25))/(LN(2)/25)*Calculateur!V182*Calculateur!X182*VLOOKUP('Données projet'!$B$9,Paramètres!$A$1:$I$89,3,0)*0.475*44/12</f>
        <v>0.25639004826316109</v>
      </c>
      <c r="AB182" s="21">
        <f>EXP(-LN(2)/2)*AB181+(1-EXP(-LN(2)/2))/(LN(2)/2)*V182*Y182*VLOOKUP('Données projet'!$B$9,Paramètres!$A$1:$I$89,3,0)*0.475*44/12</f>
        <v>6.3362604740291573E-23</v>
      </c>
      <c r="AC182" s="22">
        <f t="shared" si="163"/>
        <v>0.41798825031117359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3.4106051316484809E-13</v>
      </c>
      <c r="AJ182" s="13">
        <f>AI182*VLOOKUP('Données projet'!$B$10,Paramètres!$A$1:$I$89,3,0)*VLOOKUP('Données projet'!$B$10,Paramètres!$A$1:$I$89,5,0)</f>
        <v>1.5961632016114892E-13</v>
      </c>
      <c r="AK182" s="13">
        <f t="shared" si="164"/>
        <v>2.2708641912150958E-12</v>
      </c>
      <c r="AL182" s="20">
        <f t="shared" si="165"/>
        <v>4.2330868906469593E-12</v>
      </c>
      <c r="AM182" s="59">
        <f t="shared" si="113"/>
        <v>293.33333333333752</v>
      </c>
      <c r="AN182" s="59">
        <f ca="1">AVERAGE(OFFSET($AM$3,0,0,'Données projet'!$E$10+1,1))-AVERAGE(OFFSET($H$3,0,0,'Données projet'!$E$10+1,1))</f>
        <v>158.58786357608489</v>
      </c>
      <c r="AO182" s="59">
        <f t="shared" si="144"/>
        <v>163.20074068819849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0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-1.7053025658242404E-13</v>
      </c>
      <c r="BE182" s="13">
        <f>BD182*VLOOKUP('Données projet'!$B$11,Paramètres!$A$1:$I$89,3,0)*VLOOKUP('Données projet'!$B$11,Paramètres!$A$1:$I$89,5,0)</f>
        <v>-1.0197709343628959E-13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243.85350804244348</v>
      </c>
      <c r="BJ182" s="59">
        <f t="shared" si="146"/>
        <v>304.60992308960545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0.23668521546097185</v>
      </c>
      <c r="BQ182" s="21">
        <f>EXP(-LN(2)/25)*BQ181+(1-EXP(-LN(2)/25))/(LN(2)/25)*Calculateur!BL182*Calculateur!BN182*VLOOKUP('Données projet'!$B$11,Paramètres!$A$1:$I$89,3,0)*0.475*44/12</f>
        <v>0.28480200000250644</v>
      </c>
      <c r="BR182" s="21">
        <f>EXP(-LN(2)/2)*BR181+(1-EXP(-LN(2)/2))/(LN(2)/2)*BL182*BO182*VLOOKUP('Données projet'!$B$11,Paramètres!$A$1:$I$89,3,0)*0.475*44/12</f>
        <v>1.3993647764494261E-22</v>
      </c>
      <c r="BS182" s="22">
        <f t="shared" si="169"/>
        <v>0.52148721546347832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497</v>
      </c>
      <c r="BZ182" s="13">
        <f>BY182*VLOOKUP('Données projet'!$B$12,Paramètres!$A$1:$I$89,3,0)*VLOOKUP('Données projet'!$B$12,Paramètres!$A$1:$I$89,5,0)</f>
        <v>297.20600000000002</v>
      </c>
      <c r="CA182" s="13">
        <f t="shared" si="170"/>
        <v>70.590415164571112</v>
      </c>
      <c r="CB182" s="20">
        <f t="shared" si="171"/>
        <v>640.57875641162809</v>
      </c>
      <c r="CC182" s="59">
        <f t="shared" si="119"/>
        <v>933.91208974496135</v>
      </c>
      <c r="CD182" s="59">
        <f ca="1">AVERAGE(OFFSET($CC$3,0,0,'Données projet'!$E$12+1,1))-AVERAGE(OFFSET($H$3,0,0,'Données projet'!$E$12+1,1))</f>
        <v>270.30888762640245</v>
      </c>
      <c r="CE182" s="59">
        <f t="shared" si="148"/>
        <v>202.23783851977691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0.1120122726263679</v>
      </c>
      <c r="CL182" s="21">
        <f>EXP(-LN(2)/25)*CL181+(1-EXP(-LN(2)/25))/(LN(2)/25)*Calculateur!CG182*Calculateur!CI182*VLOOKUP('Données projet'!$B$12,Paramètres!$A$1:$I$89,3,0)*0.475*44/12</f>
        <v>0.19751364880461528</v>
      </c>
      <c r="CM182" s="21">
        <f>EXP(-LN(2)/2)*CM181+(1-EXP(-LN(2)/2))/(LN(2)/2)*CG182*CJ182*VLOOKUP('Données projet'!$B$12,Paramètres!$A$1:$I$89,3,0)*0.475*44/12</f>
        <v>6.9225085456361124E-22</v>
      </c>
      <c r="CN182" s="22">
        <f t="shared" si="172"/>
        <v>0.30952592143098318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-5.1159076974727213E-13</v>
      </c>
      <c r="CU182" s="17">
        <f>CT182*VLOOKUP('Données projet'!$B$13,Paramètres!$A$1:$I$89,3,0)*VLOOKUP('Données projet'!$B$13,Paramètres!$A$1:$I$89,5,0)</f>
        <v>-4.0702161641092972E-13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260.20517190557814</v>
      </c>
      <c r="CZ182" s="59">
        <f t="shared" si="150"/>
        <v>307.22009971147133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0.17064285107596691</v>
      </c>
      <c r="DG182" s="21">
        <f>EXP(-LN(2)/25)*DG181+(1-EXP(-LN(2)/25))/(LN(2)/25)*Calculateur!DB182*Calculateur!DD182*VLOOKUP('Données projet'!$B$13,Paramètres!$A$1:$I$89,3,0)*0.475*44/12</f>
        <v>0.32963261373208269</v>
      </c>
      <c r="DH182" s="21">
        <f>EXP(-LN(2)/2)*DH181+(1-EXP(-LN(2)/2))/(LN(2)/2)*DB182*DE182*VLOOKUP('Données projet'!$B$13,Paramètres!$A$1:$I$89,3,0)*0.475*44/12</f>
        <v>8.9987531648385936E-22</v>
      </c>
      <c r="DI182" s="22">
        <f t="shared" si="175"/>
        <v>0.50027546480804963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4.5474735088646412E-13</v>
      </c>
      <c r="DP182" s="17">
        <f>DO182*VLOOKUP('Données projet'!$B$14,Paramètres!$A$1:$I$89,3,0)*VLOOKUP('Données projet'!$B$14,Paramètres!$A$1:$I$89,5,0)</f>
        <v>4.6111381379887462E-13</v>
      </c>
      <c r="DQ182" s="13">
        <f t="shared" si="176"/>
        <v>5.7981965206434308E-12</v>
      </c>
      <c r="DR182" s="20">
        <f t="shared" si="177"/>
        <v>1.0901632165820347E-11</v>
      </c>
      <c r="DS182" s="59">
        <f t="shared" si="125"/>
        <v>293.33333333334423</v>
      </c>
      <c r="DT182" s="59">
        <f ca="1">AVERAGE(OFFSET($DS$3,0,0,'Données projet'!$E$14+1,1))-AVERAGE(OFFSET($H$3,0,0,'Données projet'!$E$14+1,1))</f>
        <v>263.15518481854753</v>
      </c>
      <c r="DU182" s="59">
        <f t="shared" si="152"/>
        <v>210.80755370263819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0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-5.1159076974727213E-13</v>
      </c>
      <c r="EK182" s="17">
        <f>EJ182*VLOOKUP('Données projet'!$B$15,Paramètres!$A$1:$I$89,3,0)*VLOOKUP('Données projet'!$B$15,Paramètres!$A$1:$I$89,5,0)</f>
        <v>-3.4317508834647017E-13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207.93042467236967</v>
      </c>
      <c r="EP182" s="59">
        <f t="shared" si="154"/>
        <v>250.70954318710835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0.14387534502483468</v>
      </c>
      <c r="EW182" s="21">
        <f>EXP(-LN(2)/25)*EW181+(1-EXP(-LN(2)/25))/(LN(2)/25)*Calculateur!ER182*Calculateur!ET182*VLOOKUP('Données projet'!$B$15,Paramètres!$A$1:$I$89,3,0)*0.475*44/12</f>
        <v>0.27792553706822698</v>
      </c>
      <c r="EX182" s="21">
        <f>EXP(-LN(2)/2)*EX181+(1-EXP(-LN(2)/2))/(LN(2)/2)*ER182*EU182*VLOOKUP('Données projet'!$B$15,Paramètres!$A$1:$I$89,3,0)*0.475*44/12</f>
        <v>7.5871840409423432E-22</v>
      </c>
      <c r="EY182" s="22">
        <f t="shared" si="181"/>
        <v>0.42180088209306166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4.5474735088646412E-13</v>
      </c>
      <c r="FF182" s="17">
        <f>FE182*VLOOKUP('Données projet'!$B$16,Paramètres!$A$1:$I$89,3,0)*VLOOKUP('Données projet'!$B$16,Paramètres!$A$1:$I$89,5,0)</f>
        <v>4.8949004849418999E-13</v>
      </c>
      <c r="FG182" s="13">
        <f t="shared" si="182"/>
        <v>6.1123715499968684E-12</v>
      </c>
      <c r="FH182" s="20">
        <f t="shared" si="183"/>
        <v>1.1498242284038591E-11</v>
      </c>
      <c r="FI182" s="59">
        <f t="shared" si="131"/>
        <v>293.3333333333448</v>
      </c>
      <c r="FJ182" s="59">
        <f ca="1">AVERAGE(OFFSET($FI$3,0,0,'Données projet'!$E$16+1,1))-AVERAGE(OFFSET($H$3,0,0,'Données projet'!$E$16+1,1))</f>
        <v>286.77702855541287</v>
      </c>
      <c r="FK182" s="59">
        <f t="shared" si="156"/>
        <v>227.12211541860779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0</v>
      </c>
      <c r="FR182" s="21">
        <f>EXP(-LN(2)/25)*FR181+(1-EXP(-LN(2)/25))/(LN(2)/25)*Calculateur!FM182*Calculateur!FO182*VLOOKUP('Données projet'!$B$16,Paramètres!$A$1:$I$89,3,0)*0.475*44/12</f>
        <v>0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0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5.6843418860808015E-13</v>
      </c>
      <c r="GA182" s="17">
        <f>FZ182*VLOOKUP('Données projet'!$B$17,Paramètres!$A$1:$I$89,3,0)*VLOOKUP('Données projet'!$B$17,Paramètres!$A$1:$I$89,5,0)</f>
        <v>2.6602720026858149E-13</v>
      </c>
      <c r="GB182" s="13">
        <f t="shared" si="185"/>
        <v>3.5662905043956649E-12</v>
      </c>
      <c r="GC182" s="20">
        <f t="shared" si="186"/>
        <v>6.6746200022902298E-12</v>
      </c>
      <c r="GD182" s="59">
        <f t="shared" si="134"/>
        <v>293.33333333333997</v>
      </c>
      <c r="GE182" s="59">
        <f ca="1">AVERAGE(OFFSET($GD$3,0,0,'Données projet'!$E$17+1,1))-AVERAGE(OFFSET($H$3,0,0,'Données projet'!$E$17+1,1))</f>
        <v>123.2823358462245</v>
      </c>
      <c r="GF182" s="59">
        <f t="shared" si="158"/>
        <v>92.75115399786057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0</v>
      </c>
      <c r="GM182" s="21">
        <f>EXP(-LN(2)/25)*GM181+(1-EXP(-LN(2)/25))/(LN(2)/25)*Calculateur!GH182*Calculateur!GJ182*VLOOKUP('Données projet'!$B$17,Paramètres!$A$1:$I$89,3,0)*0.475*44/12</f>
        <v>0</v>
      </c>
      <c r="GN182" s="21">
        <f>EXP(-LN(2)/2)*GN181+(1-EXP(-LN(2)/2))/(LN(2)/2)*GH182*GK182*VLOOKUP('Données projet'!$B$17,Paramètres!$A$1:$I$89,3,0)*0.475*44/12</f>
        <v>0</v>
      </c>
      <c r="GO182" s="21">
        <f t="shared" si="187"/>
        <v>0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-2.8421709430404007E-13</v>
      </c>
      <c r="GV182" s="17">
        <f>GU182*VLOOKUP('Données projet'!$B$18,Paramètres!$A$1:$I$89,3,0)*VLOOKUP('Données projet'!$B$18,Paramètres!$A$1:$I$89,5,0)</f>
        <v>-1.69961822393816E-13</v>
      </c>
      <c r="GW182" s="13" t="e">
        <f t="shared" si="188"/>
        <v>#NUM!</v>
      </c>
      <c r="GX182" s="20" t="e">
        <f t="shared" si="189"/>
        <v>#NUM!</v>
      </c>
      <c r="GY182" s="59" t="e">
        <f t="shared" si="137"/>
        <v>#NUM!</v>
      </c>
      <c r="GZ182" s="59">
        <f ca="1">AVERAGE(OFFSET($GY$3,0,0,'Données projet'!$E$18+1,1))-AVERAGE(OFFSET($H$3,0,0,'Données projet'!$E$18+1,1))</f>
        <v>171.96009656745713</v>
      </c>
      <c r="HA182" s="59">
        <f t="shared" si="160"/>
        <v>172.37574906747716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>
        <f>EXP(-LN(2)/35)*HG181+(1-EXP(-LN(2)/35))/(LN(2)/35)*HC182*HD182*VLOOKUP('Données projet'!$B$18,Paramètres!$A$1:$I$89,3,0)*0.475*44/12</f>
        <v>8.7233150592370232E-2</v>
      </c>
      <c r="HH182" s="21">
        <f>EXP(-LN(2)/25)*HH181+(1-EXP(-LN(2)/25))/(LN(2)/25)*Calculateur!HC182*Calculateur!HE182*VLOOKUP('Données projet'!$B$18,Paramètres!$A$1:$I$89,3,0)*0.475*44/12</f>
        <v>0.33023290041360065</v>
      </c>
      <c r="HI182" s="21">
        <f>EXP(-LN(2)/2)*HI181+(1-EXP(-LN(2)/2))/(LN(2)/2)*HC182*HF182*VLOOKUP('Données projet'!$B$18,Paramètres!$A$1:$I$89,3,0)*0.475*44/12</f>
        <v>4.5087740514278848E-22</v>
      </c>
      <c r="HJ182" s="22">
        <f t="shared" si="190"/>
        <v>0.4174660510059709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-2.2737367544323206E-13</v>
      </c>
      <c r="O183" s="13">
        <f>N183*VLOOKUP('Données projet'!$B$9,Paramètres!$A$1:$I$89,3,0)*VLOOKUP('Données projet'!$B$9,Paramètres!$A$1:$I$89,5,0)</f>
        <v>-1.2710188457276673E-13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255.5374979188561</v>
      </c>
      <c r="T183" s="59">
        <f t="shared" si="142"/>
        <v>343.10418468620901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0.15842935987102169</v>
      </c>
      <c r="AA183" s="21">
        <f>EXP(-LN(2)/25)*AA182+(1-EXP(-LN(2)/25))/(LN(2)/25)*Calculateur!V183*Calculateur!X183*VLOOKUP('Données projet'!$B$9,Paramètres!$A$1:$I$89,3,0)*0.475*44/12</f>
        <v>0.2493790489104383</v>
      </c>
      <c r="AB183" s="21">
        <f>EXP(-LN(2)/2)*AB182+(1-EXP(-LN(2)/2))/(LN(2)/2)*V183*Y183*VLOOKUP('Données projet'!$B$9,Paramètres!$A$1:$I$89,3,0)*0.475*44/12</f>
        <v>4.4804127485503053E-23</v>
      </c>
      <c r="AC183" s="22">
        <f t="shared" si="163"/>
        <v>0.40780840878145996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3.4106051316484809E-13</v>
      </c>
      <c r="AJ183" s="13">
        <f>AI183*VLOOKUP('Données projet'!$B$10,Paramètres!$A$1:$I$89,3,0)*VLOOKUP('Données projet'!$B$10,Paramètres!$A$1:$I$89,5,0)</f>
        <v>1.5961632016114892E-13</v>
      </c>
      <c r="AK183" s="13">
        <f t="shared" si="164"/>
        <v>2.2708641912150958E-12</v>
      </c>
      <c r="AL183" s="20">
        <f t="shared" si="165"/>
        <v>4.2330868906469593E-12</v>
      </c>
      <c r="AM183" s="59">
        <f t="shared" si="113"/>
        <v>293.33333333333752</v>
      </c>
      <c r="AN183" s="59">
        <f ca="1">AVERAGE(OFFSET($AM$3,0,0,'Données projet'!$E$10+1,1))-AVERAGE(OFFSET($H$3,0,0,'Données projet'!$E$10+1,1))</f>
        <v>158.58786357608489</v>
      </c>
      <c r="AO183" s="59">
        <f t="shared" si="144"/>
        <v>163.20074068819849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0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-1.7053025658242404E-13</v>
      </c>
      <c r="BE183" s="13">
        <f>BD183*VLOOKUP('Données projet'!$B$11,Paramètres!$A$1:$I$89,3,0)*VLOOKUP('Données projet'!$B$11,Paramètres!$A$1:$I$89,5,0)</f>
        <v>-1.0197709343628959E-13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243.85350804244348</v>
      </c>
      <c r="BJ183" s="59">
        <f t="shared" si="146"/>
        <v>304.60992308960545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0.23204396274950889</v>
      </c>
      <c r="BQ183" s="21">
        <f>EXP(-LN(2)/25)*BQ182+(1-EXP(-LN(2)/25))/(LN(2)/25)*Calculateur!BL183*Calculateur!BN183*VLOOKUP('Données projet'!$B$11,Paramètres!$A$1:$I$89,3,0)*0.475*44/12</f>
        <v>0.27701407433535163</v>
      </c>
      <c r="BR183" s="21">
        <f>EXP(-LN(2)/2)*BR182+(1-EXP(-LN(2)/2))/(LN(2)/2)*BL183*BO183*VLOOKUP('Données projet'!$B$11,Paramètres!$A$1:$I$89,3,0)*0.475*44/12</f>
        <v>9.8950032278098634E-23</v>
      </c>
      <c r="BS183" s="22">
        <f t="shared" si="169"/>
        <v>0.50905803708486053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497</v>
      </c>
      <c r="BZ183" s="13">
        <f>BY183*VLOOKUP('Données projet'!$B$12,Paramètres!$A$1:$I$89,3,0)*VLOOKUP('Données projet'!$B$12,Paramètres!$A$1:$I$89,5,0)</f>
        <v>297.20600000000002</v>
      </c>
      <c r="CA183" s="13">
        <f t="shared" si="170"/>
        <v>70.590415164571112</v>
      </c>
      <c r="CB183" s="20">
        <f t="shared" si="171"/>
        <v>640.57875641162809</v>
      </c>
      <c r="CC183" s="59">
        <f t="shared" si="119"/>
        <v>933.91208974496135</v>
      </c>
      <c r="CD183" s="59">
        <f ca="1">AVERAGE(OFFSET($CC$3,0,0,'Données projet'!$E$12+1,1))-AVERAGE(OFFSET($H$3,0,0,'Données projet'!$E$12+1,1))</f>
        <v>270.30888762640245</v>
      </c>
      <c r="CE183" s="59">
        <f t="shared" si="148"/>
        <v>202.23783851977691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0.10981578028090501</v>
      </c>
      <c r="CL183" s="21">
        <f>EXP(-LN(2)/25)*CL182+(1-EXP(-LN(2)/25))/(LN(2)/25)*Calculateur!CG183*Calculateur!CI183*VLOOKUP('Données projet'!$B$12,Paramètres!$A$1:$I$89,3,0)*0.475*44/12</f>
        <v>0.19211262769126169</v>
      </c>
      <c r="CM183" s="21">
        <f>EXP(-LN(2)/2)*CM182+(1-EXP(-LN(2)/2))/(LN(2)/2)*CG183*CJ183*VLOOKUP('Données projet'!$B$12,Paramètres!$A$1:$I$89,3,0)*0.475*44/12</f>
        <v>4.8949527354411198E-22</v>
      </c>
      <c r="CN183" s="22">
        <f t="shared" si="172"/>
        <v>0.30192840797216669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-5.1159076974727213E-13</v>
      </c>
      <c r="CU183" s="17">
        <f>CT183*VLOOKUP('Données projet'!$B$13,Paramètres!$A$1:$I$89,3,0)*VLOOKUP('Données projet'!$B$13,Paramètres!$A$1:$I$89,5,0)</f>
        <v>-4.0702161641092972E-13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260.20517190557814</v>
      </c>
      <c r="CZ183" s="59">
        <f t="shared" si="150"/>
        <v>307.22009971147133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0.16729664884822912</v>
      </c>
      <c r="DG183" s="21">
        <f>EXP(-LN(2)/25)*DG182+(1-EXP(-LN(2)/25))/(LN(2)/25)*Calculateur!DB183*Calculateur!DD183*VLOOKUP('Données projet'!$B$13,Paramètres!$A$1:$I$89,3,0)*0.475*44/12</f>
        <v>0.32061879257495313</v>
      </c>
      <c r="DH183" s="21">
        <f>EXP(-LN(2)/2)*DH182+(1-EXP(-LN(2)/2))/(LN(2)/2)*DB183*DE183*VLOOKUP('Données projet'!$B$13,Paramètres!$A$1:$I$89,3,0)*0.475*44/12</f>
        <v>6.3630793850812755E-22</v>
      </c>
      <c r="DI183" s="22">
        <f t="shared" si="175"/>
        <v>0.48791544142318222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4.5474735088646412E-13</v>
      </c>
      <c r="DP183" s="17">
        <f>DO183*VLOOKUP('Données projet'!$B$14,Paramètres!$A$1:$I$89,3,0)*VLOOKUP('Données projet'!$B$14,Paramètres!$A$1:$I$89,5,0)</f>
        <v>4.6111381379887462E-13</v>
      </c>
      <c r="DQ183" s="13">
        <f t="shared" si="176"/>
        <v>5.7981965206434308E-12</v>
      </c>
      <c r="DR183" s="20">
        <f t="shared" si="177"/>
        <v>1.0901632165820347E-11</v>
      </c>
      <c r="DS183" s="59">
        <f t="shared" si="125"/>
        <v>293.33333333334423</v>
      </c>
      <c r="DT183" s="59">
        <f ca="1">AVERAGE(OFFSET($DS$3,0,0,'Données projet'!$E$14+1,1))-AVERAGE(OFFSET($H$3,0,0,'Données projet'!$E$14+1,1))</f>
        <v>263.15518481854753</v>
      </c>
      <c r="DU183" s="59">
        <f t="shared" si="152"/>
        <v>210.80755370263819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0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-5.1159076974727213E-13</v>
      </c>
      <c r="EK183" s="17">
        <f>EJ183*VLOOKUP('Données projet'!$B$15,Paramètres!$A$1:$I$89,3,0)*VLOOKUP('Données projet'!$B$15,Paramètres!$A$1:$I$89,5,0)</f>
        <v>-3.4317508834647017E-13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207.93042467236967</v>
      </c>
      <c r="EP183" s="59">
        <f t="shared" si="154"/>
        <v>250.70954318710835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0.14105403726419302</v>
      </c>
      <c r="EW183" s="21">
        <f>EXP(-LN(2)/25)*EW182+(1-EXP(-LN(2)/25))/(LN(2)/25)*Calculateur!ER183*Calculateur!ET183*VLOOKUP('Données projet'!$B$15,Paramètres!$A$1:$I$89,3,0)*0.475*44/12</f>
        <v>0.2703256486416275</v>
      </c>
      <c r="EX183" s="21">
        <f>EXP(-LN(2)/2)*EX182+(1-EXP(-LN(2)/2))/(LN(2)/2)*ER183*EU183*VLOOKUP('Données projet'!$B$15,Paramètres!$A$1:$I$89,3,0)*0.475*44/12</f>
        <v>5.3649492854606829E-22</v>
      </c>
      <c r="EY183" s="22">
        <f t="shared" si="181"/>
        <v>0.41137968590582052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4.5474735088646412E-13</v>
      </c>
      <c r="FF183" s="17">
        <f>FE183*VLOOKUP('Données projet'!$B$16,Paramètres!$A$1:$I$89,3,0)*VLOOKUP('Données projet'!$B$16,Paramètres!$A$1:$I$89,5,0)</f>
        <v>4.8949004849418999E-13</v>
      </c>
      <c r="FG183" s="13">
        <f t="shared" si="182"/>
        <v>6.1123715499968684E-12</v>
      </c>
      <c r="FH183" s="20">
        <f t="shared" si="183"/>
        <v>1.1498242284038591E-11</v>
      </c>
      <c r="FI183" s="59">
        <f t="shared" si="131"/>
        <v>293.3333333333448</v>
      </c>
      <c r="FJ183" s="59">
        <f ca="1">AVERAGE(OFFSET($FI$3,0,0,'Données projet'!$E$16+1,1))-AVERAGE(OFFSET($H$3,0,0,'Données projet'!$E$16+1,1))</f>
        <v>286.77702855541287</v>
      </c>
      <c r="FK183" s="59">
        <f t="shared" si="156"/>
        <v>227.12211541860779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0</v>
      </c>
      <c r="FR183" s="21">
        <f>EXP(-LN(2)/25)*FR182+(1-EXP(-LN(2)/25))/(LN(2)/25)*Calculateur!FM183*Calculateur!FO183*VLOOKUP('Données projet'!$B$16,Paramètres!$A$1:$I$89,3,0)*0.475*44/12</f>
        <v>0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0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5.6843418860808015E-13</v>
      </c>
      <c r="GA183" s="17">
        <f>FZ183*VLOOKUP('Données projet'!$B$17,Paramètres!$A$1:$I$89,3,0)*VLOOKUP('Données projet'!$B$17,Paramètres!$A$1:$I$89,5,0)</f>
        <v>2.6602720026858149E-13</v>
      </c>
      <c r="GB183" s="13">
        <f t="shared" si="185"/>
        <v>3.5662905043956649E-12</v>
      </c>
      <c r="GC183" s="20">
        <f t="shared" si="186"/>
        <v>6.6746200022902298E-12</v>
      </c>
      <c r="GD183" s="59">
        <f t="shared" si="134"/>
        <v>293.33333333333997</v>
      </c>
      <c r="GE183" s="59">
        <f ca="1">AVERAGE(OFFSET($GD$3,0,0,'Données projet'!$E$17+1,1))-AVERAGE(OFFSET($H$3,0,0,'Données projet'!$E$17+1,1))</f>
        <v>123.2823358462245</v>
      </c>
      <c r="GF183" s="59">
        <f t="shared" si="158"/>
        <v>92.75115399786057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0</v>
      </c>
      <c r="GM183" s="21">
        <f>EXP(-LN(2)/25)*GM182+(1-EXP(-LN(2)/25))/(LN(2)/25)*Calculateur!GH183*Calculateur!GJ183*VLOOKUP('Données projet'!$B$17,Paramètres!$A$1:$I$89,3,0)*0.475*44/12</f>
        <v>0</v>
      </c>
      <c r="GN183" s="21">
        <f>EXP(-LN(2)/2)*GN182+(1-EXP(-LN(2)/2))/(LN(2)/2)*GH183*GK183*VLOOKUP('Données projet'!$B$17,Paramètres!$A$1:$I$89,3,0)*0.475*44/12</f>
        <v>0</v>
      </c>
      <c r="GO183" s="21">
        <f t="shared" si="187"/>
        <v>0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-2.8421709430404007E-13</v>
      </c>
      <c r="GV183" s="17">
        <f>GU183*VLOOKUP('Données projet'!$B$18,Paramètres!$A$1:$I$89,3,0)*VLOOKUP('Données projet'!$B$18,Paramètres!$A$1:$I$89,5,0)</f>
        <v>-1.69961822393816E-13</v>
      </c>
      <c r="GW183" s="13" t="e">
        <f t="shared" si="188"/>
        <v>#NUM!</v>
      </c>
      <c r="GX183" s="20" t="e">
        <f t="shared" si="189"/>
        <v>#NUM!</v>
      </c>
      <c r="GY183" s="59" t="e">
        <f t="shared" si="137"/>
        <v>#NUM!</v>
      </c>
      <c r="GZ183" s="59">
        <f ca="1">AVERAGE(OFFSET($GY$3,0,0,'Données projet'!$E$18+1,1))-AVERAGE(OFFSET($H$3,0,0,'Données projet'!$E$18+1,1))</f>
        <v>171.96009656745713</v>
      </c>
      <c r="HA183" s="59">
        <f t="shared" si="160"/>
        <v>172.37574906747716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>
        <f>EXP(-LN(2)/35)*HG182+(1-EXP(-LN(2)/35))/(LN(2)/35)*HC183*HD183*VLOOKUP('Données projet'!$B$18,Paramètres!$A$1:$I$89,3,0)*0.475*44/12</f>
        <v>8.5522561716221968E-2</v>
      </c>
      <c r="HH183" s="21">
        <f>EXP(-LN(2)/25)*HH182+(1-EXP(-LN(2)/25))/(LN(2)/25)*Calculateur!HC183*Calculateur!HE183*VLOOKUP('Données projet'!$B$18,Paramètres!$A$1:$I$89,3,0)*0.475*44/12</f>
        <v>0.32120266438559725</v>
      </c>
      <c r="HI183" s="21">
        <f>EXP(-LN(2)/2)*HI182+(1-EXP(-LN(2)/2))/(LN(2)/2)*HC183*HF183*VLOOKUP('Données projet'!$B$18,Paramètres!$A$1:$I$89,3,0)*0.475*44/12</f>
        <v>3.1881847066026007E-22</v>
      </c>
      <c r="HJ183" s="22">
        <f t="shared" si="190"/>
        <v>0.40672522610181921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-2.2737367544323206E-13</v>
      </c>
      <c r="O184" s="13">
        <f>N184*VLOOKUP('Données projet'!$B$9,Paramètres!$A$1:$I$89,3,0)*VLOOKUP('Données projet'!$B$9,Paramètres!$A$1:$I$89,5,0)</f>
        <v>-1.2710188457276673E-13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255.5374979188561</v>
      </c>
      <c r="T184" s="59">
        <f t="shared" si="142"/>
        <v>343.10418468620901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0.15532265675631882</v>
      </c>
      <c r="AA184" s="21">
        <f>EXP(-LN(2)/25)*AA183+(1-EXP(-LN(2)/25))/(LN(2)/25)*Calculateur!V184*Calculateur!X184*VLOOKUP('Données projet'!$B$9,Paramètres!$A$1:$I$89,3,0)*0.475*44/12</f>
        <v>0.24255976570370816</v>
      </c>
      <c r="AB184" s="21">
        <f>EXP(-LN(2)/2)*AB183+(1-EXP(-LN(2)/2))/(LN(2)/2)*V184*Y184*VLOOKUP('Données projet'!$B$9,Paramètres!$A$1:$I$89,3,0)*0.475*44/12</f>
        <v>3.1681302370145787E-23</v>
      </c>
      <c r="AC184" s="22">
        <f t="shared" si="163"/>
        <v>0.39788242246002697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3.4106051316484809E-13</v>
      </c>
      <c r="AJ184" s="13">
        <f>AI184*VLOOKUP('Données projet'!$B$10,Paramètres!$A$1:$I$89,3,0)*VLOOKUP('Données projet'!$B$10,Paramètres!$A$1:$I$89,5,0)</f>
        <v>1.5961632016114892E-13</v>
      </c>
      <c r="AK184" s="13">
        <f t="shared" si="164"/>
        <v>2.2708641912150958E-12</v>
      </c>
      <c r="AL184" s="20">
        <f t="shared" si="165"/>
        <v>4.2330868906469593E-12</v>
      </c>
      <c r="AM184" s="59">
        <f t="shared" si="113"/>
        <v>293.33333333333752</v>
      </c>
      <c r="AN184" s="59">
        <f ca="1">AVERAGE(OFFSET($AM$3,0,0,'Données projet'!$E$10+1,1))-AVERAGE(OFFSET($H$3,0,0,'Données projet'!$E$10+1,1))</f>
        <v>158.58786357608489</v>
      </c>
      <c r="AO184" s="59">
        <f t="shared" si="144"/>
        <v>163.20074068819849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0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-1.7053025658242404E-13</v>
      </c>
      <c r="BE184" s="13">
        <f>BD184*VLOOKUP('Données projet'!$B$11,Paramètres!$A$1:$I$89,3,0)*VLOOKUP('Données projet'!$B$11,Paramètres!$A$1:$I$89,5,0)</f>
        <v>-1.0197709343628959E-13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243.85350804244348</v>
      </c>
      <c r="BJ184" s="59">
        <f t="shared" si="146"/>
        <v>304.60992308960545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0.22749372217283309</v>
      </c>
      <c r="BQ184" s="21">
        <f>EXP(-LN(2)/25)*BQ183+(1-EXP(-LN(2)/25))/(LN(2)/25)*Calculateur!BL184*Calculateur!BN184*VLOOKUP('Données projet'!$B$11,Paramètres!$A$1:$I$89,3,0)*0.475*44/12</f>
        <v>0.26943910990511438</v>
      </c>
      <c r="BR184" s="21">
        <f>EXP(-LN(2)/2)*BR183+(1-EXP(-LN(2)/2))/(LN(2)/2)*BL184*BO184*VLOOKUP('Données projet'!$B$11,Paramètres!$A$1:$I$89,3,0)*0.475*44/12</f>
        <v>6.9968238822471305E-23</v>
      </c>
      <c r="BS184" s="22">
        <f t="shared" si="169"/>
        <v>0.49693283207794747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497</v>
      </c>
      <c r="BZ184" s="13">
        <f>BY184*VLOOKUP('Données projet'!$B$12,Paramètres!$A$1:$I$89,3,0)*VLOOKUP('Données projet'!$B$12,Paramètres!$A$1:$I$89,5,0)</f>
        <v>297.20600000000002</v>
      </c>
      <c r="CA184" s="13">
        <f t="shared" si="170"/>
        <v>70.590415164571112</v>
      </c>
      <c r="CB184" s="20">
        <f t="shared" si="171"/>
        <v>640.57875641162809</v>
      </c>
      <c r="CC184" s="59">
        <f t="shared" si="119"/>
        <v>933.91208974496135</v>
      </c>
      <c r="CD184" s="59">
        <f ca="1">AVERAGE(OFFSET($CC$3,0,0,'Données projet'!$E$12+1,1))-AVERAGE(OFFSET($H$3,0,0,'Données projet'!$E$12+1,1))</f>
        <v>270.30888762640245</v>
      </c>
      <c r="CE184" s="59">
        <f t="shared" si="148"/>
        <v>202.23783851977691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0.10766235981060861</v>
      </c>
      <c r="CL184" s="21">
        <f>EXP(-LN(2)/25)*CL183+(1-EXP(-LN(2)/25))/(LN(2)/25)*Calculateur!CG184*Calculateur!CI184*VLOOKUP('Données projet'!$B$12,Paramètres!$A$1:$I$89,3,0)*0.475*44/12</f>
        <v>0.18685929778428012</v>
      </c>
      <c r="CM184" s="21">
        <f>EXP(-LN(2)/2)*CM183+(1-EXP(-LN(2)/2))/(LN(2)/2)*CG184*CJ184*VLOOKUP('Données projet'!$B$12,Paramètres!$A$1:$I$89,3,0)*0.475*44/12</f>
        <v>3.4612542728180562E-22</v>
      </c>
      <c r="CN184" s="22">
        <f t="shared" si="172"/>
        <v>0.29452165759488874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-5.1159076974727213E-13</v>
      </c>
      <c r="CU184" s="17">
        <f>CT184*VLOOKUP('Données projet'!$B$13,Paramètres!$A$1:$I$89,3,0)*VLOOKUP('Données projet'!$B$13,Paramètres!$A$1:$I$89,5,0)</f>
        <v>-4.0702161641092972E-13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260.20517190557814</v>
      </c>
      <c r="CZ184" s="59">
        <f t="shared" si="150"/>
        <v>307.22009971147133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0.16401606360519544</v>
      </c>
      <c r="DG184" s="21">
        <f>EXP(-LN(2)/25)*DG183+(1-EXP(-LN(2)/25))/(LN(2)/25)*Calculateur!DB184*Calculateur!DD184*VLOOKUP('Données projet'!$B$13,Paramètres!$A$1:$I$89,3,0)*0.475*44/12</f>
        <v>0.31185145483138149</v>
      </c>
      <c r="DH184" s="21">
        <f>EXP(-LN(2)/2)*DH183+(1-EXP(-LN(2)/2))/(LN(2)/2)*DB184*DE184*VLOOKUP('Données projet'!$B$13,Paramètres!$A$1:$I$89,3,0)*0.475*44/12</f>
        <v>4.4993765824192968E-22</v>
      </c>
      <c r="DI184" s="22">
        <f t="shared" si="175"/>
        <v>0.47586751843657693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4.5474735088646412E-13</v>
      </c>
      <c r="DP184" s="17">
        <f>DO184*VLOOKUP('Données projet'!$B$14,Paramètres!$A$1:$I$89,3,0)*VLOOKUP('Données projet'!$B$14,Paramètres!$A$1:$I$89,5,0)</f>
        <v>4.6111381379887462E-13</v>
      </c>
      <c r="DQ184" s="13">
        <f t="shared" si="176"/>
        <v>5.7981965206434308E-12</v>
      </c>
      <c r="DR184" s="20">
        <f t="shared" si="177"/>
        <v>1.0901632165820347E-11</v>
      </c>
      <c r="DS184" s="59">
        <f t="shared" si="125"/>
        <v>293.33333333334423</v>
      </c>
      <c r="DT184" s="59">
        <f ca="1">AVERAGE(OFFSET($DS$3,0,0,'Données projet'!$E$14+1,1))-AVERAGE(OFFSET($H$3,0,0,'Données projet'!$E$14+1,1))</f>
        <v>263.15518481854753</v>
      </c>
      <c r="DU184" s="59">
        <f t="shared" si="152"/>
        <v>210.80755370263819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0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-5.1159076974727213E-13</v>
      </c>
      <c r="EK184" s="17">
        <f>EJ184*VLOOKUP('Données projet'!$B$15,Paramètres!$A$1:$I$89,3,0)*VLOOKUP('Données projet'!$B$15,Paramètres!$A$1:$I$89,5,0)</f>
        <v>-3.4317508834647017E-13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207.93042467236967</v>
      </c>
      <c r="EP184" s="59">
        <f t="shared" si="154"/>
        <v>250.70954318710835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0.13828805362790972</v>
      </c>
      <c r="EW184" s="21">
        <f>EXP(-LN(2)/25)*EW183+(1-EXP(-LN(2)/25))/(LN(2)/25)*Calculateur!ER184*Calculateur!ET184*VLOOKUP('Données projet'!$B$15,Paramètres!$A$1:$I$89,3,0)*0.475*44/12</f>
        <v>0.26293357956371416</v>
      </c>
      <c r="EX184" s="21">
        <f>EXP(-LN(2)/2)*EX183+(1-EXP(-LN(2)/2))/(LN(2)/2)*ER184*EU184*VLOOKUP('Données projet'!$B$15,Paramètres!$A$1:$I$89,3,0)*0.475*44/12</f>
        <v>3.7935920204711716E-22</v>
      </c>
      <c r="EY184" s="22">
        <f t="shared" si="181"/>
        <v>0.40122163319162385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4.5474735088646412E-13</v>
      </c>
      <c r="FF184" s="17">
        <f>FE184*VLOOKUP('Données projet'!$B$16,Paramètres!$A$1:$I$89,3,0)*VLOOKUP('Données projet'!$B$16,Paramètres!$A$1:$I$89,5,0)</f>
        <v>4.8949004849418999E-13</v>
      </c>
      <c r="FG184" s="13">
        <f t="shared" si="182"/>
        <v>6.1123715499968684E-12</v>
      </c>
      <c r="FH184" s="20">
        <f t="shared" si="183"/>
        <v>1.1498242284038591E-11</v>
      </c>
      <c r="FI184" s="59">
        <f t="shared" si="131"/>
        <v>293.3333333333448</v>
      </c>
      <c r="FJ184" s="59">
        <f ca="1">AVERAGE(OFFSET($FI$3,0,0,'Données projet'!$E$16+1,1))-AVERAGE(OFFSET($H$3,0,0,'Données projet'!$E$16+1,1))</f>
        <v>286.77702855541287</v>
      </c>
      <c r="FK184" s="59">
        <f t="shared" si="156"/>
        <v>227.12211541860779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0</v>
      </c>
      <c r="FR184" s="21">
        <f>EXP(-LN(2)/25)*FR183+(1-EXP(-LN(2)/25))/(LN(2)/25)*Calculateur!FM184*Calculateur!FO184*VLOOKUP('Données projet'!$B$16,Paramètres!$A$1:$I$89,3,0)*0.475*44/12</f>
        <v>0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0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5.6843418860808015E-13</v>
      </c>
      <c r="GA184" s="17">
        <f>FZ184*VLOOKUP('Données projet'!$B$17,Paramètres!$A$1:$I$89,3,0)*VLOOKUP('Données projet'!$B$17,Paramètres!$A$1:$I$89,5,0)</f>
        <v>2.6602720026858149E-13</v>
      </c>
      <c r="GB184" s="13">
        <f t="shared" si="185"/>
        <v>3.5662905043956649E-12</v>
      </c>
      <c r="GC184" s="20">
        <f t="shared" si="186"/>
        <v>6.6746200022902298E-12</v>
      </c>
      <c r="GD184" s="59">
        <f t="shared" si="134"/>
        <v>293.33333333333997</v>
      </c>
      <c r="GE184" s="59">
        <f ca="1">AVERAGE(OFFSET($GD$3,0,0,'Données projet'!$E$17+1,1))-AVERAGE(OFFSET($H$3,0,0,'Données projet'!$E$17+1,1))</f>
        <v>123.2823358462245</v>
      </c>
      <c r="GF184" s="59">
        <f t="shared" si="158"/>
        <v>92.75115399786057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0</v>
      </c>
      <c r="GM184" s="21">
        <f>EXP(-LN(2)/25)*GM183+(1-EXP(-LN(2)/25))/(LN(2)/25)*Calculateur!GH184*Calculateur!GJ184*VLOOKUP('Données projet'!$B$17,Paramètres!$A$1:$I$89,3,0)*0.475*44/12</f>
        <v>0</v>
      </c>
      <c r="GN184" s="21">
        <f>EXP(-LN(2)/2)*GN183+(1-EXP(-LN(2)/2))/(LN(2)/2)*GH184*GK184*VLOOKUP('Données projet'!$B$17,Paramètres!$A$1:$I$89,3,0)*0.475*44/12</f>
        <v>0</v>
      </c>
      <c r="GO184" s="21">
        <f t="shared" si="187"/>
        <v>0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-2.8421709430404007E-13</v>
      </c>
      <c r="GV184" s="17">
        <f>GU184*VLOOKUP('Données projet'!$B$18,Paramètres!$A$1:$I$89,3,0)*VLOOKUP('Données projet'!$B$18,Paramètres!$A$1:$I$89,5,0)</f>
        <v>-1.69961822393816E-13</v>
      </c>
      <c r="GW184" s="13" t="e">
        <f t="shared" si="188"/>
        <v>#NUM!</v>
      </c>
      <c r="GX184" s="20" t="e">
        <f t="shared" si="189"/>
        <v>#NUM!</v>
      </c>
      <c r="GY184" s="59" t="e">
        <f t="shared" si="137"/>
        <v>#NUM!</v>
      </c>
      <c r="GZ184" s="59">
        <f ca="1">AVERAGE(OFFSET($GY$3,0,0,'Données projet'!$E$18+1,1))-AVERAGE(OFFSET($H$3,0,0,'Données projet'!$E$18+1,1))</f>
        <v>171.96009656745713</v>
      </c>
      <c r="HA184" s="59">
        <f t="shared" si="160"/>
        <v>172.37574906747716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>
        <f>EXP(-LN(2)/35)*HG183+(1-EXP(-LN(2)/35))/(LN(2)/35)*HC184*HD184*VLOOKUP('Données projet'!$B$18,Paramètres!$A$1:$I$89,3,0)*0.475*44/12</f>
        <v>8.3845516444578772E-2</v>
      </c>
      <c r="HH184" s="21">
        <f>EXP(-LN(2)/25)*HH183+(1-EXP(-LN(2)/25))/(LN(2)/25)*Calculateur!HC184*Calculateur!HE184*VLOOKUP('Données projet'!$B$18,Paramètres!$A$1:$I$89,3,0)*0.475*44/12</f>
        <v>0.31241936063665909</v>
      </c>
      <c r="HI184" s="21">
        <f>EXP(-LN(2)/2)*HI183+(1-EXP(-LN(2)/2))/(LN(2)/2)*HC184*HF184*VLOOKUP('Données projet'!$B$18,Paramètres!$A$1:$I$89,3,0)*0.475*44/12</f>
        <v>2.2543870257139424E-22</v>
      </c>
      <c r="HJ184" s="22">
        <f t="shared" si="190"/>
        <v>0.39626487708123787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-2.2737367544323206E-13</v>
      </c>
      <c r="O185" s="13">
        <f>N185*VLOOKUP('Données projet'!$B$9,Paramètres!$A$1:$I$89,3,0)*VLOOKUP('Données projet'!$B$9,Paramètres!$A$1:$I$89,5,0)</f>
        <v>-1.2710188457276673E-13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255.5374979188561</v>
      </c>
      <c r="T185" s="59">
        <f t="shared" si="142"/>
        <v>343.10418468620901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0.15227687419479347</v>
      </c>
      <c r="AA185" s="21">
        <f>EXP(-LN(2)/25)*AA184+(1-EXP(-LN(2)/25))/(LN(2)/25)*Calculateur!V185*Calculateur!X185*VLOOKUP('Données projet'!$B$9,Paramètres!$A$1:$I$89,3,0)*0.475*44/12</f>
        <v>0.23592695615487655</v>
      </c>
      <c r="AB185" s="21">
        <f>EXP(-LN(2)/2)*AB184+(1-EXP(-LN(2)/2))/(LN(2)/2)*V185*Y185*VLOOKUP('Données projet'!$B$9,Paramètres!$A$1:$I$89,3,0)*0.475*44/12</f>
        <v>2.2402063742751527E-23</v>
      </c>
      <c r="AC185" s="22">
        <f t="shared" si="163"/>
        <v>0.38820383034966999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3.4106051316484809E-13</v>
      </c>
      <c r="AJ185" s="13">
        <f>AI185*VLOOKUP('Données projet'!$B$10,Paramètres!$A$1:$I$89,3,0)*VLOOKUP('Données projet'!$B$10,Paramètres!$A$1:$I$89,5,0)</f>
        <v>1.5961632016114892E-13</v>
      </c>
      <c r="AK185" s="13">
        <f t="shared" si="164"/>
        <v>2.2708641912150958E-12</v>
      </c>
      <c r="AL185" s="20">
        <f t="shared" si="165"/>
        <v>4.2330868906469593E-12</v>
      </c>
      <c r="AM185" s="59">
        <f t="shared" si="113"/>
        <v>293.33333333333752</v>
      </c>
      <c r="AN185" s="59">
        <f ca="1">AVERAGE(OFFSET($AM$3,0,0,'Données projet'!$E$10+1,1))-AVERAGE(OFFSET($H$3,0,0,'Données projet'!$E$10+1,1))</f>
        <v>158.58786357608489</v>
      </c>
      <c r="AO185" s="59">
        <f t="shared" si="144"/>
        <v>163.20074068819849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0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-1.7053025658242404E-13</v>
      </c>
      <c r="BE185" s="13">
        <f>BD185*VLOOKUP('Données projet'!$B$11,Paramètres!$A$1:$I$89,3,0)*VLOOKUP('Données projet'!$B$11,Paramètres!$A$1:$I$89,5,0)</f>
        <v>-1.0197709343628959E-13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243.85350804244348</v>
      </c>
      <c r="BJ185" s="59">
        <f t="shared" si="146"/>
        <v>304.60992308960545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0.2230327090384932</v>
      </c>
      <c r="BQ185" s="21">
        <f>EXP(-LN(2)/25)*BQ184+(1-EXP(-LN(2)/25))/(LN(2)/25)*Calculateur!BL185*Calculateur!BN185*VLOOKUP('Données projet'!$B$11,Paramètres!$A$1:$I$89,3,0)*0.475*44/12</f>
        <v>0.26207128327557205</v>
      </c>
      <c r="BR185" s="21">
        <f>EXP(-LN(2)/2)*BR184+(1-EXP(-LN(2)/2))/(LN(2)/2)*BL185*BO185*VLOOKUP('Données projet'!$B$11,Paramètres!$A$1:$I$89,3,0)*0.475*44/12</f>
        <v>4.9475016139049317E-23</v>
      </c>
      <c r="BS185" s="22">
        <f t="shared" si="169"/>
        <v>0.48510399231406526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497</v>
      </c>
      <c r="BZ185" s="13">
        <f>BY185*VLOOKUP('Données projet'!$B$12,Paramètres!$A$1:$I$89,3,0)*VLOOKUP('Données projet'!$B$12,Paramètres!$A$1:$I$89,5,0)</f>
        <v>297.20600000000002</v>
      </c>
      <c r="CA185" s="13">
        <f t="shared" si="170"/>
        <v>70.590415164571112</v>
      </c>
      <c r="CB185" s="20">
        <f t="shared" si="171"/>
        <v>640.57875641162809</v>
      </c>
      <c r="CC185" s="59">
        <f t="shared" si="119"/>
        <v>933.91208974496135</v>
      </c>
      <c r="CD185" s="59">
        <f ca="1">AVERAGE(OFFSET($CC$3,0,0,'Données projet'!$E$12+1,1))-AVERAGE(OFFSET($H$3,0,0,'Données projet'!$E$12+1,1))</f>
        <v>270.30888762640245</v>
      </c>
      <c r="CE185" s="59">
        <f t="shared" si="148"/>
        <v>202.23783851977691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0.10555116660227792</v>
      </c>
      <c r="CL185" s="21">
        <f>EXP(-LN(2)/25)*CL184+(1-EXP(-LN(2)/25))/(LN(2)/25)*Calculateur!CG185*Calculateur!CI185*VLOOKUP('Données projet'!$B$12,Paramètres!$A$1:$I$89,3,0)*0.475*44/12</f>
        <v>0.18174962045986559</v>
      </c>
      <c r="CM185" s="21">
        <f>EXP(-LN(2)/2)*CM184+(1-EXP(-LN(2)/2))/(LN(2)/2)*CG185*CJ185*VLOOKUP('Données projet'!$B$12,Paramètres!$A$1:$I$89,3,0)*0.475*44/12</f>
        <v>2.4474763677205599E-22</v>
      </c>
      <c r="CN185" s="22">
        <f t="shared" si="172"/>
        <v>0.28730078706214351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-5.1159076974727213E-13</v>
      </c>
      <c r="CU185" s="17">
        <f>CT185*VLOOKUP('Données projet'!$B$13,Paramètres!$A$1:$I$89,3,0)*VLOOKUP('Données projet'!$B$13,Paramètres!$A$1:$I$89,5,0)</f>
        <v>-4.0702161641092972E-13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260.20517190557814</v>
      </c>
      <c r="CZ185" s="59">
        <f t="shared" si="150"/>
        <v>307.22009971147133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0.16079980863781823</v>
      </c>
      <c r="DG185" s="21">
        <f>EXP(-LN(2)/25)*DG184+(1-EXP(-LN(2)/25))/(LN(2)/25)*Calculateur!DB185*Calculateur!DD185*VLOOKUP('Données projet'!$B$13,Paramètres!$A$1:$I$89,3,0)*0.475*44/12</f>
        <v>0.30332386039946208</v>
      </c>
      <c r="DH185" s="21">
        <f>EXP(-LN(2)/2)*DH184+(1-EXP(-LN(2)/2))/(LN(2)/2)*DB185*DE185*VLOOKUP('Données projet'!$B$13,Paramètres!$A$1:$I$89,3,0)*0.475*44/12</f>
        <v>3.1815396925406377E-22</v>
      </c>
      <c r="DI185" s="22">
        <f t="shared" si="175"/>
        <v>0.46412366903728031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4.5474735088646412E-13</v>
      </c>
      <c r="DP185" s="17">
        <f>DO185*VLOOKUP('Données projet'!$B$14,Paramètres!$A$1:$I$89,3,0)*VLOOKUP('Données projet'!$B$14,Paramètres!$A$1:$I$89,5,0)</f>
        <v>4.6111381379887462E-13</v>
      </c>
      <c r="DQ185" s="13">
        <f t="shared" si="176"/>
        <v>5.7981965206434308E-12</v>
      </c>
      <c r="DR185" s="20">
        <f t="shared" si="177"/>
        <v>1.0901632165820347E-11</v>
      </c>
      <c r="DS185" s="59">
        <f t="shared" si="125"/>
        <v>293.33333333334423</v>
      </c>
      <c r="DT185" s="59">
        <f ca="1">AVERAGE(OFFSET($DS$3,0,0,'Données projet'!$E$14+1,1))-AVERAGE(OFFSET($H$3,0,0,'Données projet'!$E$14+1,1))</f>
        <v>263.15518481854753</v>
      </c>
      <c r="DU185" s="59">
        <f t="shared" si="152"/>
        <v>210.80755370263819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0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-5.1159076974727213E-13</v>
      </c>
      <c r="EK185" s="17">
        <f>EJ185*VLOOKUP('Données projet'!$B$15,Paramètres!$A$1:$I$89,3,0)*VLOOKUP('Données projet'!$B$15,Paramètres!$A$1:$I$89,5,0)</f>
        <v>-3.4317508834647017E-13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207.93042467236967</v>
      </c>
      <c r="EP185" s="59">
        <f t="shared" si="154"/>
        <v>250.70954318710835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0.13557630924365052</v>
      </c>
      <c r="EW185" s="21">
        <f>EXP(-LN(2)/25)*EW184+(1-EXP(-LN(2)/25))/(LN(2)/25)*Calculateur!ER185*Calculateur!ET185*VLOOKUP('Données projet'!$B$15,Paramètres!$A$1:$I$89,3,0)*0.475*44/12</f>
        <v>0.25574364700346841</v>
      </c>
      <c r="EX185" s="21">
        <f>EXP(-LN(2)/2)*EX184+(1-EXP(-LN(2)/2))/(LN(2)/2)*ER185*EU185*VLOOKUP('Données projet'!$B$15,Paramètres!$A$1:$I$89,3,0)*0.475*44/12</f>
        <v>2.6824746427303414E-22</v>
      </c>
      <c r="EY185" s="22">
        <f t="shared" si="181"/>
        <v>0.39131995624711891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4.5474735088646412E-13</v>
      </c>
      <c r="FF185" s="17">
        <f>FE185*VLOOKUP('Données projet'!$B$16,Paramètres!$A$1:$I$89,3,0)*VLOOKUP('Données projet'!$B$16,Paramètres!$A$1:$I$89,5,0)</f>
        <v>4.8949004849418999E-13</v>
      </c>
      <c r="FG185" s="13">
        <f t="shared" si="182"/>
        <v>6.1123715499968684E-12</v>
      </c>
      <c r="FH185" s="20">
        <f t="shared" si="183"/>
        <v>1.1498242284038591E-11</v>
      </c>
      <c r="FI185" s="59">
        <f t="shared" si="131"/>
        <v>293.3333333333448</v>
      </c>
      <c r="FJ185" s="59">
        <f ca="1">AVERAGE(OFFSET($FI$3,0,0,'Données projet'!$E$16+1,1))-AVERAGE(OFFSET($H$3,0,0,'Données projet'!$E$16+1,1))</f>
        <v>286.77702855541287</v>
      </c>
      <c r="FK185" s="59">
        <f t="shared" si="156"/>
        <v>227.12211541860779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0</v>
      </c>
      <c r="FR185" s="21">
        <f>EXP(-LN(2)/25)*FR184+(1-EXP(-LN(2)/25))/(LN(2)/25)*Calculateur!FM185*Calculateur!FO185*VLOOKUP('Données projet'!$B$16,Paramètres!$A$1:$I$89,3,0)*0.475*44/12</f>
        <v>0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0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5.6843418860808015E-13</v>
      </c>
      <c r="GA185" s="17">
        <f>FZ185*VLOOKUP('Données projet'!$B$17,Paramètres!$A$1:$I$89,3,0)*VLOOKUP('Données projet'!$B$17,Paramètres!$A$1:$I$89,5,0)</f>
        <v>2.6602720026858149E-13</v>
      </c>
      <c r="GB185" s="13">
        <f t="shared" si="185"/>
        <v>3.5662905043956649E-12</v>
      </c>
      <c r="GC185" s="20">
        <f t="shared" si="186"/>
        <v>6.6746200022902298E-12</v>
      </c>
      <c r="GD185" s="59">
        <f t="shared" si="134"/>
        <v>293.33333333333997</v>
      </c>
      <c r="GE185" s="59">
        <f ca="1">AVERAGE(OFFSET($GD$3,0,0,'Données projet'!$E$17+1,1))-AVERAGE(OFFSET($H$3,0,0,'Données projet'!$E$17+1,1))</f>
        <v>123.2823358462245</v>
      </c>
      <c r="GF185" s="59">
        <f t="shared" si="158"/>
        <v>92.75115399786057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0</v>
      </c>
      <c r="GM185" s="21">
        <f>EXP(-LN(2)/25)*GM184+(1-EXP(-LN(2)/25))/(LN(2)/25)*Calculateur!GH185*Calculateur!GJ185*VLOOKUP('Données projet'!$B$17,Paramètres!$A$1:$I$89,3,0)*0.475*44/12</f>
        <v>0</v>
      </c>
      <c r="GN185" s="21">
        <f>EXP(-LN(2)/2)*GN184+(1-EXP(-LN(2)/2))/(LN(2)/2)*GH185*GK185*VLOOKUP('Données projet'!$B$17,Paramètres!$A$1:$I$89,3,0)*0.475*44/12</f>
        <v>0</v>
      </c>
      <c r="GO185" s="21">
        <f t="shared" si="187"/>
        <v>0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-2.8421709430404007E-13</v>
      </c>
      <c r="GV185" s="17">
        <f>GU185*VLOOKUP('Données projet'!$B$18,Paramètres!$A$1:$I$89,3,0)*VLOOKUP('Données projet'!$B$18,Paramètres!$A$1:$I$89,5,0)</f>
        <v>-1.69961822393816E-13</v>
      </c>
      <c r="GW185" s="13" t="e">
        <f t="shared" si="188"/>
        <v>#NUM!</v>
      </c>
      <c r="GX185" s="20" t="e">
        <f t="shared" si="189"/>
        <v>#NUM!</v>
      </c>
      <c r="GY185" s="59" t="e">
        <f t="shared" si="137"/>
        <v>#NUM!</v>
      </c>
      <c r="GZ185" s="59">
        <f ca="1">AVERAGE(OFFSET($GY$3,0,0,'Données projet'!$E$18+1,1))-AVERAGE(OFFSET($H$3,0,0,'Données projet'!$E$18+1,1))</f>
        <v>171.96009656745713</v>
      </c>
      <c r="HA185" s="59">
        <f t="shared" si="160"/>
        <v>172.37574906747716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>
        <f>EXP(-LN(2)/35)*HG184+(1-EXP(-LN(2)/35))/(LN(2)/35)*HC185*HD185*VLOOKUP('Données projet'!$B$18,Paramètres!$A$1:$I$89,3,0)*0.475*44/12</f>
        <v>8.2201357007815889E-2</v>
      </c>
      <c r="HH185" s="21">
        <f>EXP(-LN(2)/25)*HH184+(1-EXP(-LN(2)/25))/(LN(2)/25)*Calculateur!HC185*Calculateur!HE185*VLOOKUP('Données projet'!$B$18,Paramètres!$A$1:$I$89,3,0)*0.475*44/12</f>
        <v>0.30387623679062953</v>
      </c>
      <c r="HI185" s="21">
        <f>EXP(-LN(2)/2)*HI184+(1-EXP(-LN(2)/2))/(LN(2)/2)*HC185*HF185*VLOOKUP('Données projet'!$B$18,Paramètres!$A$1:$I$89,3,0)*0.475*44/12</f>
        <v>1.5940923533013004E-22</v>
      </c>
      <c r="HJ185" s="22">
        <f t="shared" si="190"/>
        <v>0.38607759379844542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-2.2737367544323206E-13</v>
      </c>
      <c r="O186" s="13">
        <f>N186*VLOOKUP('Données projet'!$B$9,Paramètres!$A$1:$I$89,3,0)*VLOOKUP('Données projet'!$B$9,Paramètres!$A$1:$I$89,5,0)</f>
        <v>-1.2710188457276673E-13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255.5374979188561</v>
      </c>
      <c r="T186" s="59">
        <f t="shared" si="142"/>
        <v>343.10418468620901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0.14929081757155571</v>
      </c>
      <c r="AA186" s="21">
        <f>EXP(-LN(2)/25)*AA185+(1-EXP(-LN(2)/25))/(LN(2)/25)*Calculateur!V186*Calculateur!X186*VLOOKUP('Données projet'!$B$9,Paramètres!$A$1:$I$89,3,0)*0.475*44/12</f>
        <v>0.22947552113196204</v>
      </c>
      <c r="AB186" s="21">
        <f>EXP(-LN(2)/2)*AB185+(1-EXP(-LN(2)/2))/(LN(2)/2)*V186*Y186*VLOOKUP('Données projet'!$B$9,Paramètres!$A$1:$I$89,3,0)*0.475*44/12</f>
        <v>1.5840651185072893E-23</v>
      </c>
      <c r="AC186" s="22">
        <f t="shared" si="163"/>
        <v>0.37876633870351772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3.4106051316484809E-13</v>
      </c>
      <c r="AJ186" s="13">
        <f>AI186*VLOOKUP('Données projet'!$B$10,Paramètres!$A$1:$I$89,3,0)*VLOOKUP('Données projet'!$B$10,Paramètres!$A$1:$I$89,5,0)</f>
        <v>1.5961632016114892E-13</v>
      </c>
      <c r="AK186" s="13">
        <f t="shared" si="164"/>
        <v>2.2708641912150958E-12</v>
      </c>
      <c r="AL186" s="20">
        <f t="shared" si="165"/>
        <v>4.2330868906469593E-12</v>
      </c>
      <c r="AM186" s="59">
        <f t="shared" si="113"/>
        <v>293.33333333333752</v>
      </c>
      <c r="AN186" s="59">
        <f ca="1">AVERAGE(OFFSET($AM$3,0,0,'Données projet'!$E$10+1,1))-AVERAGE(OFFSET($H$3,0,0,'Données projet'!$E$10+1,1))</f>
        <v>158.58786357608489</v>
      </c>
      <c r="AO186" s="59">
        <f t="shared" si="144"/>
        <v>163.20074068819849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0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-1.7053025658242404E-13</v>
      </c>
      <c r="BE186" s="13">
        <f>BD186*VLOOKUP('Données projet'!$B$11,Paramètres!$A$1:$I$89,3,0)*VLOOKUP('Données projet'!$B$11,Paramètres!$A$1:$I$89,5,0)</f>
        <v>-1.0197709343628959E-13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243.85350804244348</v>
      </c>
      <c r="BJ186" s="59">
        <f t="shared" si="146"/>
        <v>304.60992308960545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0.21865917365076837</v>
      </c>
      <c r="BQ186" s="21">
        <f>EXP(-LN(2)/25)*BQ185+(1-EXP(-LN(2)/25))/(LN(2)/25)*Calculateur!BL186*Calculateur!BN186*VLOOKUP('Données projet'!$B$11,Paramètres!$A$1:$I$89,3,0)*0.475*44/12</f>
        <v>0.25490493025267175</v>
      </c>
      <c r="BR186" s="21">
        <f>EXP(-LN(2)/2)*BR185+(1-EXP(-LN(2)/2))/(LN(2)/2)*BL186*BO186*VLOOKUP('Données projet'!$B$11,Paramètres!$A$1:$I$89,3,0)*0.475*44/12</f>
        <v>3.4984119411235653E-23</v>
      </c>
      <c r="BS186" s="22">
        <f t="shared" si="169"/>
        <v>0.47356410390344011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497</v>
      </c>
      <c r="BZ186" s="13">
        <f>BY186*VLOOKUP('Données projet'!$B$12,Paramètres!$A$1:$I$89,3,0)*VLOOKUP('Données projet'!$B$12,Paramètres!$A$1:$I$89,5,0)</f>
        <v>297.20600000000002</v>
      </c>
      <c r="CA186" s="13">
        <f t="shared" si="170"/>
        <v>70.590415164571112</v>
      </c>
      <c r="CB186" s="20">
        <f t="shared" si="171"/>
        <v>640.57875641162809</v>
      </c>
      <c r="CC186" s="59">
        <f t="shared" si="119"/>
        <v>933.91208974496135</v>
      </c>
      <c r="CD186" s="59">
        <f ca="1">AVERAGE(OFFSET($CC$3,0,0,'Données projet'!$E$12+1,1))-AVERAGE(OFFSET($H$3,0,0,'Données projet'!$E$12+1,1))</f>
        <v>270.30888762640245</v>
      </c>
      <c r="CE186" s="59">
        <f t="shared" si="148"/>
        <v>202.23783851977691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0.10348137260506191</v>
      </c>
      <c r="CL186" s="21">
        <f>EXP(-LN(2)/25)*CL185+(1-EXP(-LN(2)/25))/(LN(2)/25)*Calculateur!CG186*Calculateur!CI186*VLOOKUP('Données projet'!$B$12,Paramètres!$A$1:$I$89,3,0)*0.475*44/12</f>
        <v>0.17677966753059343</v>
      </c>
      <c r="CM186" s="21">
        <f>EXP(-LN(2)/2)*CM185+(1-EXP(-LN(2)/2))/(LN(2)/2)*CG186*CJ186*VLOOKUP('Données projet'!$B$12,Paramètres!$A$1:$I$89,3,0)*0.475*44/12</f>
        <v>1.7306271364090281E-22</v>
      </c>
      <c r="CN186" s="22">
        <f t="shared" si="172"/>
        <v>0.28026104013565534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-5.1159076974727213E-13</v>
      </c>
      <c r="CU186" s="17">
        <f>CT186*VLOOKUP('Données projet'!$B$13,Paramètres!$A$1:$I$89,3,0)*VLOOKUP('Données projet'!$B$13,Paramètres!$A$1:$I$89,5,0)</f>
        <v>-4.0702161641092972E-13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260.20517190557814</v>
      </c>
      <c r="CZ186" s="59">
        <f t="shared" si="150"/>
        <v>307.22009971147133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0.15764662246862945</v>
      </c>
      <c r="DG186" s="21">
        <f>EXP(-LN(2)/25)*DG185+(1-EXP(-LN(2)/25))/(LN(2)/25)*Calculateur!DB186*Calculateur!DD186*VLOOKUP('Données projet'!$B$13,Paramètres!$A$1:$I$89,3,0)*0.475*44/12</f>
        <v>0.29502945348573023</v>
      </c>
      <c r="DH186" s="21">
        <f>EXP(-LN(2)/2)*DH185+(1-EXP(-LN(2)/2))/(LN(2)/2)*DB186*DE186*VLOOKUP('Données projet'!$B$13,Paramètres!$A$1:$I$89,3,0)*0.475*44/12</f>
        <v>2.2496882912096484E-22</v>
      </c>
      <c r="DI186" s="22">
        <f t="shared" si="175"/>
        <v>0.45267607595435966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4.5474735088646412E-13</v>
      </c>
      <c r="DP186" s="17">
        <f>DO186*VLOOKUP('Données projet'!$B$14,Paramètres!$A$1:$I$89,3,0)*VLOOKUP('Données projet'!$B$14,Paramètres!$A$1:$I$89,5,0)</f>
        <v>4.6111381379887462E-13</v>
      </c>
      <c r="DQ186" s="13">
        <f t="shared" si="176"/>
        <v>5.7981965206434308E-12</v>
      </c>
      <c r="DR186" s="20">
        <f t="shared" si="177"/>
        <v>1.0901632165820347E-11</v>
      </c>
      <c r="DS186" s="59">
        <f t="shared" si="125"/>
        <v>293.33333333334423</v>
      </c>
      <c r="DT186" s="59">
        <f ca="1">AVERAGE(OFFSET($DS$3,0,0,'Données projet'!$E$14+1,1))-AVERAGE(OFFSET($H$3,0,0,'Données projet'!$E$14+1,1))</f>
        <v>263.15518481854753</v>
      </c>
      <c r="DU186" s="59">
        <f t="shared" si="152"/>
        <v>210.80755370263819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0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-5.1159076974727213E-13</v>
      </c>
      <c r="EK186" s="17">
        <f>EJ186*VLOOKUP('Données projet'!$B$15,Paramètres!$A$1:$I$89,3,0)*VLOOKUP('Données projet'!$B$15,Paramètres!$A$1:$I$89,5,0)</f>
        <v>-3.4317508834647017E-13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207.93042467236967</v>
      </c>
      <c r="EP186" s="59">
        <f t="shared" si="154"/>
        <v>250.70954318710835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0.13291774051276589</v>
      </c>
      <c r="EW186" s="21">
        <f>EXP(-LN(2)/25)*EW185+(1-EXP(-LN(2)/25))/(LN(2)/25)*Calculateur!ER186*Calculateur!ET186*VLOOKUP('Données projet'!$B$15,Paramètres!$A$1:$I$89,3,0)*0.475*44/12</f>
        <v>0.24875032352718468</v>
      </c>
      <c r="EX186" s="21">
        <f>EXP(-LN(2)/2)*EX185+(1-EXP(-LN(2)/2))/(LN(2)/2)*ER186*EU186*VLOOKUP('Données projet'!$B$15,Paramètres!$A$1:$I$89,3,0)*0.475*44/12</f>
        <v>1.8967960102355858E-22</v>
      </c>
      <c r="EY186" s="22">
        <f t="shared" si="181"/>
        <v>0.38166806403995057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4.5474735088646412E-13</v>
      </c>
      <c r="FF186" s="17">
        <f>FE186*VLOOKUP('Données projet'!$B$16,Paramètres!$A$1:$I$89,3,0)*VLOOKUP('Données projet'!$B$16,Paramètres!$A$1:$I$89,5,0)</f>
        <v>4.8949004849418999E-13</v>
      </c>
      <c r="FG186" s="13">
        <f t="shared" si="182"/>
        <v>6.1123715499968684E-12</v>
      </c>
      <c r="FH186" s="20">
        <f t="shared" si="183"/>
        <v>1.1498242284038591E-11</v>
      </c>
      <c r="FI186" s="59">
        <f t="shared" si="131"/>
        <v>293.3333333333448</v>
      </c>
      <c r="FJ186" s="59">
        <f ca="1">AVERAGE(OFFSET($FI$3,0,0,'Données projet'!$E$16+1,1))-AVERAGE(OFFSET($H$3,0,0,'Données projet'!$E$16+1,1))</f>
        <v>286.77702855541287</v>
      </c>
      <c r="FK186" s="59">
        <f t="shared" si="156"/>
        <v>227.12211541860779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0</v>
      </c>
      <c r="FR186" s="21">
        <f>EXP(-LN(2)/25)*FR185+(1-EXP(-LN(2)/25))/(LN(2)/25)*Calculateur!FM186*Calculateur!FO186*VLOOKUP('Données projet'!$B$16,Paramètres!$A$1:$I$89,3,0)*0.475*44/12</f>
        <v>0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0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5.6843418860808015E-13</v>
      </c>
      <c r="GA186" s="17">
        <f>FZ186*VLOOKUP('Données projet'!$B$17,Paramètres!$A$1:$I$89,3,0)*VLOOKUP('Données projet'!$B$17,Paramètres!$A$1:$I$89,5,0)</f>
        <v>2.6602720026858149E-13</v>
      </c>
      <c r="GB186" s="13">
        <f t="shared" si="185"/>
        <v>3.5662905043956649E-12</v>
      </c>
      <c r="GC186" s="20">
        <f t="shared" si="186"/>
        <v>6.6746200022902298E-12</v>
      </c>
      <c r="GD186" s="59">
        <f t="shared" si="134"/>
        <v>293.33333333333997</v>
      </c>
      <c r="GE186" s="59">
        <f ca="1">AVERAGE(OFFSET($GD$3,0,0,'Données projet'!$E$17+1,1))-AVERAGE(OFFSET($H$3,0,0,'Données projet'!$E$17+1,1))</f>
        <v>123.2823358462245</v>
      </c>
      <c r="GF186" s="59">
        <f t="shared" si="158"/>
        <v>92.75115399786057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0</v>
      </c>
      <c r="GM186" s="21">
        <f>EXP(-LN(2)/25)*GM185+(1-EXP(-LN(2)/25))/(LN(2)/25)*Calculateur!GH186*Calculateur!GJ186*VLOOKUP('Données projet'!$B$17,Paramètres!$A$1:$I$89,3,0)*0.475*44/12</f>
        <v>0</v>
      </c>
      <c r="GN186" s="21">
        <f>EXP(-LN(2)/2)*GN185+(1-EXP(-LN(2)/2))/(LN(2)/2)*GH186*GK186*VLOOKUP('Données projet'!$B$17,Paramètres!$A$1:$I$89,3,0)*0.475*44/12</f>
        <v>0</v>
      </c>
      <c r="GO186" s="21">
        <f t="shared" si="187"/>
        <v>0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-2.8421709430404007E-13</v>
      </c>
      <c r="GV186" s="17">
        <f>GU186*VLOOKUP('Données projet'!$B$18,Paramètres!$A$1:$I$89,3,0)*VLOOKUP('Données projet'!$B$18,Paramètres!$A$1:$I$89,5,0)</f>
        <v>-1.69961822393816E-13</v>
      </c>
      <c r="GW186" s="13" t="e">
        <f t="shared" si="188"/>
        <v>#NUM!</v>
      </c>
      <c r="GX186" s="20" t="e">
        <f t="shared" si="189"/>
        <v>#NUM!</v>
      </c>
      <c r="GY186" s="59" t="e">
        <f t="shared" si="137"/>
        <v>#NUM!</v>
      </c>
      <c r="GZ186" s="59">
        <f ca="1">AVERAGE(OFFSET($GY$3,0,0,'Données projet'!$E$18+1,1))-AVERAGE(OFFSET($H$3,0,0,'Données projet'!$E$18+1,1))</f>
        <v>171.96009656745713</v>
      </c>
      <c r="HA186" s="59">
        <f t="shared" si="160"/>
        <v>172.37574906747716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>
        <f>EXP(-LN(2)/35)*HG185+(1-EXP(-LN(2)/35))/(LN(2)/35)*HC186*HD186*VLOOKUP('Données projet'!$B$18,Paramètres!$A$1:$I$89,3,0)*0.475*44/12</f>
        <v>8.0589438534769686E-2</v>
      </c>
      <c r="HH186" s="21">
        <f>EXP(-LN(2)/25)*HH185+(1-EXP(-LN(2)/25))/(LN(2)/25)*Calculateur!HC186*Calculateur!HE186*VLOOKUP('Données projet'!$B$18,Paramètres!$A$1:$I$89,3,0)*0.475*44/12</f>
        <v>0.29556672511543297</v>
      </c>
      <c r="HI186" s="21">
        <f>EXP(-LN(2)/2)*HI185+(1-EXP(-LN(2)/2))/(LN(2)/2)*HC186*HF186*VLOOKUP('Données projet'!$B$18,Paramètres!$A$1:$I$89,3,0)*0.475*44/12</f>
        <v>1.1271935128569712E-22</v>
      </c>
      <c r="HJ186" s="22">
        <f t="shared" si="190"/>
        <v>0.37615616365020266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-2.2737367544323206E-13</v>
      </c>
      <c r="O187" s="13">
        <f>N187*VLOOKUP('Données projet'!$B$9,Paramètres!$A$1:$I$89,3,0)*VLOOKUP('Données projet'!$B$9,Paramètres!$A$1:$I$89,5,0)</f>
        <v>-1.2710188457276673E-13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255.5374979188561</v>
      </c>
      <c r="T187" s="59">
        <f t="shared" si="142"/>
        <v>343.10418468620901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0.14636331569738495</v>
      </c>
      <c r="AA187" s="21">
        <f>EXP(-LN(2)/25)*AA186+(1-EXP(-LN(2)/25))/(LN(2)/25)*Calculateur!V187*Calculateur!X187*VLOOKUP('Données projet'!$B$9,Paramètres!$A$1:$I$89,3,0)*0.475*44/12</f>
        <v>0.22320050093901536</v>
      </c>
      <c r="AB187" s="21">
        <f>EXP(-LN(2)/2)*AB186+(1-EXP(-LN(2)/2))/(LN(2)/2)*V187*Y187*VLOOKUP('Données projet'!$B$9,Paramètres!$A$1:$I$89,3,0)*0.475*44/12</f>
        <v>1.1201031871375763E-23</v>
      </c>
      <c r="AC187" s="22">
        <f t="shared" si="163"/>
        <v>0.36956381663640031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3.4106051316484809E-13</v>
      </c>
      <c r="AJ187" s="13">
        <f>AI187*VLOOKUP('Données projet'!$B$10,Paramètres!$A$1:$I$89,3,0)*VLOOKUP('Données projet'!$B$10,Paramètres!$A$1:$I$89,5,0)</f>
        <v>1.5961632016114892E-13</v>
      </c>
      <c r="AK187" s="13">
        <f t="shared" si="164"/>
        <v>2.2708641912150958E-12</v>
      </c>
      <c r="AL187" s="20">
        <f t="shared" si="165"/>
        <v>4.2330868906469593E-12</v>
      </c>
      <c r="AM187" s="59">
        <f t="shared" si="113"/>
        <v>293.33333333333752</v>
      </c>
      <c r="AN187" s="59">
        <f ca="1">AVERAGE(OFFSET($AM$3,0,0,'Données projet'!$E$10+1,1))-AVERAGE(OFFSET($H$3,0,0,'Données projet'!$E$10+1,1))</f>
        <v>158.58786357608489</v>
      </c>
      <c r="AO187" s="59">
        <f t="shared" si="144"/>
        <v>163.20074068819849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0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-1.7053025658242404E-13</v>
      </c>
      <c r="BE187" s="13">
        <f>BD187*VLOOKUP('Données projet'!$B$11,Paramètres!$A$1:$I$89,3,0)*VLOOKUP('Données projet'!$B$11,Paramètres!$A$1:$I$89,5,0)</f>
        <v>-1.0197709343628959E-13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243.85350804244348</v>
      </c>
      <c r="BJ187" s="59">
        <f t="shared" si="146"/>
        <v>304.60992308960545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0.21437140062440363</v>
      </c>
      <c r="BQ187" s="21">
        <f>EXP(-LN(2)/25)*BQ186+(1-EXP(-LN(2)/25))/(LN(2)/25)*Calculateur!BL187*Calculateur!BN187*VLOOKUP('Données projet'!$B$11,Paramètres!$A$1:$I$89,3,0)*0.475*44/12</f>
        <v>0.24793454153004474</v>
      </c>
      <c r="BR187" s="21">
        <f>EXP(-LN(2)/2)*BR186+(1-EXP(-LN(2)/2))/(LN(2)/2)*BL187*BO187*VLOOKUP('Données projet'!$B$11,Paramètres!$A$1:$I$89,3,0)*0.475*44/12</f>
        <v>2.4737508069524659E-23</v>
      </c>
      <c r="BS187" s="22">
        <f t="shared" si="169"/>
        <v>0.46230594215444837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497</v>
      </c>
      <c r="BZ187" s="13">
        <f>BY187*VLOOKUP('Données projet'!$B$12,Paramètres!$A$1:$I$89,3,0)*VLOOKUP('Données projet'!$B$12,Paramètres!$A$1:$I$89,5,0)</f>
        <v>297.20600000000002</v>
      </c>
      <c r="CA187" s="13">
        <f t="shared" si="170"/>
        <v>70.590415164571112</v>
      </c>
      <c r="CB187" s="20">
        <f t="shared" si="171"/>
        <v>640.57875641162809</v>
      </c>
      <c r="CC187" s="59">
        <f t="shared" si="119"/>
        <v>933.91208974496135</v>
      </c>
      <c r="CD187" s="59">
        <f ca="1">AVERAGE(OFFSET($CC$3,0,0,'Données projet'!$E$12+1,1))-AVERAGE(OFFSET($H$3,0,0,'Données projet'!$E$12+1,1))</f>
        <v>270.30888762640245</v>
      </c>
      <c r="CE187" s="59">
        <f t="shared" si="148"/>
        <v>202.23783851977691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0.1014521660056816</v>
      </c>
      <c r="CL187" s="21">
        <f>EXP(-LN(2)/25)*CL186+(1-EXP(-LN(2)/25))/(LN(2)/25)*Calculateur!CG187*Calculateur!CI187*VLOOKUP('Données projet'!$B$12,Paramètres!$A$1:$I$89,3,0)*0.475*44/12</f>
        <v>0.17194561822553067</v>
      </c>
      <c r="CM187" s="21">
        <f>EXP(-LN(2)/2)*CM186+(1-EXP(-LN(2)/2))/(LN(2)/2)*CG187*CJ187*VLOOKUP('Données projet'!$B$12,Paramètres!$A$1:$I$89,3,0)*0.475*44/12</f>
        <v>1.22373818386028E-22</v>
      </c>
      <c r="CN187" s="22">
        <f t="shared" si="172"/>
        <v>0.2733977842312123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-5.1159076974727213E-13</v>
      </c>
      <c r="CU187" s="17">
        <f>CT187*VLOOKUP('Données projet'!$B$13,Paramètres!$A$1:$I$89,3,0)*VLOOKUP('Données projet'!$B$13,Paramètres!$A$1:$I$89,5,0)</f>
        <v>-4.0702161641092972E-13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260.20517190557814</v>
      </c>
      <c r="CZ187" s="59">
        <f t="shared" si="150"/>
        <v>307.22009971147133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0.15455526835696481</v>
      </c>
      <c r="DG187" s="21">
        <f>EXP(-LN(2)/25)*DG186+(1-EXP(-LN(2)/25))/(LN(2)/25)*Calculateur!DB187*Calculateur!DD187*VLOOKUP('Données projet'!$B$13,Paramètres!$A$1:$I$89,3,0)*0.475*44/12</f>
        <v>0.28696185756523829</v>
      </c>
      <c r="DH187" s="21">
        <f>EXP(-LN(2)/2)*DH186+(1-EXP(-LN(2)/2))/(LN(2)/2)*DB187*DE187*VLOOKUP('Données projet'!$B$13,Paramètres!$A$1:$I$89,3,0)*0.475*44/12</f>
        <v>1.5907698462703189E-22</v>
      </c>
      <c r="DI187" s="22">
        <f t="shared" si="175"/>
        <v>0.4415171259222031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4.5474735088646412E-13</v>
      </c>
      <c r="DP187" s="17">
        <f>DO187*VLOOKUP('Données projet'!$B$14,Paramètres!$A$1:$I$89,3,0)*VLOOKUP('Données projet'!$B$14,Paramètres!$A$1:$I$89,5,0)</f>
        <v>4.6111381379887462E-13</v>
      </c>
      <c r="DQ187" s="13">
        <f t="shared" si="176"/>
        <v>5.7981965206434308E-12</v>
      </c>
      <c r="DR187" s="20">
        <f t="shared" si="177"/>
        <v>1.0901632165820347E-11</v>
      </c>
      <c r="DS187" s="59">
        <f t="shared" si="125"/>
        <v>293.33333333334423</v>
      </c>
      <c r="DT187" s="59">
        <f ca="1">AVERAGE(OFFSET($DS$3,0,0,'Données projet'!$E$14+1,1))-AVERAGE(OFFSET($H$3,0,0,'Données projet'!$E$14+1,1))</f>
        <v>263.15518481854753</v>
      </c>
      <c r="DU187" s="59">
        <f t="shared" si="152"/>
        <v>210.80755370263819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0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-5.1159076974727213E-13</v>
      </c>
      <c r="EK187" s="17">
        <f>EJ187*VLOOKUP('Données projet'!$B$15,Paramètres!$A$1:$I$89,3,0)*VLOOKUP('Données projet'!$B$15,Paramètres!$A$1:$I$89,5,0)</f>
        <v>-3.4317508834647017E-13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207.93042467236967</v>
      </c>
      <c r="EP187" s="59">
        <f t="shared" si="154"/>
        <v>250.70954318710835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0.1303113046931271</v>
      </c>
      <c r="EW187" s="21">
        <f>EXP(-LN(2)/25)*EW186+(1-EXP(-LN(2)/25))/(LN(2)/25)*Calculateur!ER187*Calculateur!ET187*VLOOKUP('Données projet'!$B$15,Paramètres!$A$1:$I$89,3,0)*0.475*44/12</f>
        <v>0.24194823284912284</v>
      </c>
      <c r="EX187" s="21">
        <f>EXP(-LN(2)/2)*EX186+(1-EXP(-LN(2)/2))/(LN(2)/2)*ER187*EU187*VLOOKUP('Données projet'!$B$15,Paramètres!$A$1:$I$89,3,0)*0.475*44/12</f>
        <v>1.3412373213651707E-22</v>
      </c>
      <c r="EY187" s="22">
        <f t="shared" si="181"/>
        <v>0.37225953754224994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4.5474735088646412E-13</v>
      </c>
      <c r="FF187" s="17">
        <f>FE187*VLOOKUP('Données projet'!$B$16,Paramètres!$A$1:$I$89,3,0)*VLOOKUP('Données projet'!$B$16,Paramètres!$A$1:$I$89,5,0)</f>
        <v>4.8949004849418999E-13</v>
      </c>
      <c r="FG187" s="13">
        <f t="shared" si="182"/>
        <v>6.1123715499968684E-12</v>
      </c>
      <c r="FH187" s="20">
        <f t="shared" si="183"/>
        <v>1.1498242284038591E-11</v>
      </c>
      <c r="FI187" s="59">
        <f t="shared" si="131"/>
        <v>293.3333333333448</v>
      </c>
      <c r="FJ187" s="59">
        <f ca="1">AVERAGE(OFFSET($FI$3,0,0,'Données projet'!$E$16+1,1))-AVERAGE(OFFSET($H$3,0,0,'Données projet'!$E$16+1,1))</f>
        <v>286.77702855541287</v>
      </c>
      <c r="FK187" s="59">
        <f t="shared" si="156"/>
        <v>227.12211541860779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0</v>
      </c>
      <c r="FR187" s="21">
        <f>EXP(-LN(2)/25)*FR186+(1-EXP(-LN(2)/25))/(LN(2)/25)*Calculateur!FM187*Calculateur!FO187*VLOOKUP('Données projet'!$B$16,Paramètres!$A$1:$I$89,3,0)*0.475*44/12</f>
        <v>0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0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5.6843418860808015E-13</v>
      </c>
      <c r="GA187" s="17">
        <f>FZ187*VLOOKUP('Données projet'!$B$17,Paramètres!$A$1:$I$89,3,0)*VLOOKUP('Données projet'!$B$17,Paramètres!$A$1:$I$89,5,0)</f>
        <v>2.6602720026858149E-13</v>
      </c>
      <c r="GB187" s="13">
        <f t="shared" si="185"/>
        <v>3.5662905043956649E-12</v>
      </c>
      <c r="GC187" s="20">
        <f t="shared" si="186"/>
        <v>6.6746200022902298E-12</v>
      </c>
      <c r="GD187" s="59">
        <f t="shared" si="134"/>
        <v>293.33333333333997</v>
      </c>
      <c r="GE187" s="59">
        <f ca="1">AVERAGE(OFFSET($GD$3,0,0,'Données projet'!$E$17+1,1))-AVERAGE(OFFSET($H$3,0,0,'Données projet'!$E$17+1,1))</f>
        <v>123.2823358462245</v>
      </c>
      <c r="GF187" s="59">
        <f t="shared" si="158"/>
        <v>92.75115399786057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0</v>
      </c>
      <c r="GM187" s="21">
        <f>EXP(-LN(2)/25)*GM186+(1-EXP(-LN(2)/25))/(LN(2)/25)*Calculateur!GH187*Calculateur!GJ187*VLOOKUP('Données projet'!$B$17,Paramètres!$A$1:$I$89,3,0)*0.475*44/12</f>
        <v>0</v>
      </c>
      <c r="GN187" s="21">
        <f>EXP(-LN(2)/2)*GN186+(1-EXP(-LN(2)/2))/(LN(2)/2)*GH187*GK187*VLOOKUP('Données projet'!$B$17,Paramètres!$A$1:$I$89,3,0)*0.475*44/12</f>
        <v>0</v>
      </c>
      <c r="GO187" s="21">
        <f t="shared" si="187"/>
        <v>0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-2.8421709430404007E-13</v>
      </c>
      <c r="GV187" s="17">
        <f>GU187*VLOOKUP('Données projet'!$B$18,Paramètres!$A$1:$I$89,3,0)*VLOOKUP('Données projet'!$B$18,Paramètres!$A$1:$I$89,5,0)</f>
        <v>-1.69961822393816E-13</v>
      </c>
      <c r="GW187" s="13" t="e">
        <f t="shared" si="188"/>
        <v>#NUM!</v>
      </c>
      <c r="GX187" s="20" t="e">
        <f t="shared" si="189"/>
        <v>#NUM!</v>
      </c>
      <c r="GY187" s="59" t="e">
        <f t="shared" si="137"/>
        <v>#NUM!</v>
      </c>
      <c r="GZ187" s="59">
        <f ca="1">AVERAGE(OFFSET($GY$3,0,0,'Données projet'!$E$18+1,1))-AVERAGE(OFFSET($H$3,0,0,'Données projet'!$E$18+1,1))</f>
        <v>171.96009656745713</v>
      </c>
      <c r="HA187" s="59">
        <f t="shared" si="160"/>
        <v>172.37574906747716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>
        <f>EXP(-LN(2)/35)*HG186+(1-EXP(-LN(2)/35))/(LN(2)/35)*HC187*HD187*VLOOKUP('Données projet'!$B$18,Paramètres!$A$1:$I$89,3,0)*0.475*44/12</f>
        <v>7.9009128799806733E-2</v>
      </c>
      <c r="HH187" s="21">
        <f>EXP(-LN(2)/25)*HH186+(1-EXP(-LN(2)/25))/(LN(2)/25)*Calculateur!HC187*Calculateur!HE187*VLOOKUP('Données projet'!$B$18,Paramètres!$A$1:$I$89,3,0)*0.475*44/12</f>
        <v>0.2874844374739729</v>
      </c>
      <c r="HI187" s="21">
        <f>EXP(-LN(2)/2)*HI186+(1-EXP(-LN(2)/2))/(LN(2)/2)*HC187*HF187*VLOOKUP('Données projet'!$B$18,Paramètres!$A$1:$I$89,3,0)*0.475*44/12</f>
        <v>7.9704617665065018E-23</v>
      </c>
      <c r="HJ187" s="22">
        <f t="shared" si="190"/>
        <v>0.3664935662737796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-2.2737367544323206E-13</v>
      </c>
      <c r="O188" s="13">
        <f>N188*VLOOKUP('Données projet'!$B$9,Paramètres!$A$1:$I$89,3,0)*VLOOKUP('Données projet'!$B$9,Paramètres!$A$1:$I$89,5,0)</f>
        <v>-1.2710188457276673E-13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255.5374979188561</v>
      </c>
      <c r="T188" s="59">
        <f t="shared" si="142"/>
        <v>343.10418468620901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0.14349322034936685</v>
      </c>
      <c r="AA188" s="21">
        <f>EXP(-LN(2)/25)*AA187+(1-EXP(-LN(2)/25))/(LN(2)/25)*Calculateur!V188*Calculateur!X188*VLOOKUP('Données projet'!$B$9,Paramètres!$A$1:$I$89,3,0)*0.475*44/12</f>
        <v>0.21709707150323376</v>
      </c>
      <c r="AB188" s="21">
        <f>EXP(-LN(2)/2)*AB187+(1-EXP(-LN(2)/2))/(LN(2)/2)*V188*Y188*VLOOKUP('Données projet'!$B$9,Paramètres!$A$1:$I$89,3,0)*0.475*44/12</f>
        <v>7.9203255925364467E-24</v>
      </c>
      <c r="AC188" s="22">
        <f t="shared" si="163"/>
        <v>0.36059029185260061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3.4106051316484809E-13</v>
      </c>
      <c r="AJ188" s="13">
        <f>AI188*VLOOKUP('Données projet'!$B$10,Paramètres!$A$1:$I$89,3,0)*VLOOKUP('Données projet'!$B$10,Paramètres!$A$1:$I$89,5,0)</f>
        <v>1.5961632016114892E-13</v>
      </c>
      <c r="AK188" s="13">
        <f t="shared" si="164"/>
        <v>2.2708641912150958E-12</v>
      </c>
      <c r="AL188" s="20">
        <f t="shared" si="165"/>
        <v>4.2330868906469593E-12</v>
      </c>
      <c r="AM188" s="59">
        <f t="shared" si="113"/>
        <v>293.33333333333752</v>
      </c>
      <c r="AN188" s="59">
        <f ca="1">AVERAGE(OFFSET($AM$3,0,0,'Données projet'!$E$10+1,1))-AVERAGE(OFFSET($H$3,0,0,'Données projet'!$E$10+1,1))</f>
        <v>158.58786357608489</v>
      </c>
      <c r="AO188" s="59">
        <f t="shared" si="144"/>
        <v>163.20074068819849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0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-1.7053025658242404E-13</v>
      </c>
      <c r="BE188" s="13">
        <f>BD188*VLOOKUP('Données projet'!$B$11,Paramètres!$A$1:$I$89,3,0)*VLOOKUP('Données projet'!$B$11,Paramètres!$A$1:$I$89,5,0)</f>
        <v>-1.0197709343628959E-13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243.85350804244348</v>
      </c>
      <c r="BJ188" s="59">
        <f t="shared" si="146"/>
        <v>304.60992308960545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0.21016770821180261</v>
      </c>
      <c r="BQ188" s="21">
        <f>EXP(-LN(2)/25)*BQ187+(1-EXP(-LN(2)/25))/(LN(2)/25)*Calculateur!BL188*Calculateur!BN188*VLOOKUP('Données projet'!$B$11,Paramètres!$A$1:$I$89,3,0)*0.475*44/12</f>
        <v>0.2411547584535948</v>
      </c>
      <c r="BR188" s="21">
        <f>EXP(-LN(2)/2)*BR187+(1-EXP(-LN(2)/2))/(LN(2)/2)*BL188*BO188*VLOOKUP('Données projet'!$B$11,Paramètres!$A$1:$I$89,3,0)*0.475*44/12</f>
        <v>1.7492059705617826E-23</v>
      </c>
      <c r="BS188" s="22">
        <f t="shared" si="169"/>
        <v>0.45132246666539744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497</v>
      </c>
      <c r="BZ188" s="13">
        <f>BY188*VLOOKUP('Données projet'!$B$12,Paramètres!$A$1:$I$89,3,0)*VLOOKUP('Données projet'!$B$12,Paramètres!$A$1:$I$89,5,0)</f>
        <v>297.20600000000002</v>
      </c>
      <c r="CA188" s="13">
        <f t="shared" si="170"/>
        <v>70.590415164571112</v>
      </c>
      <c r="CB188" s="20">
        <f t="shared" si="171"/>
        <v>640.57875641162809</v>
      </c>
      <c r="CC188" s="59">
        <f t="shared" si="119"/>
        <v>933.91208974496135</v>
      </c>
      <c r="CD188" s="59">
        <f ca="1">AVERAGE(OFFSET($CC$3,0,0,'Données projet'!$E$12+1,1))-AVERAGE(OFFSET($H$3,0,0,'Données projet'!$E$12+1,1))</f>
        <v>270.30888762640245</v>
      </c>
      <c r="CE188" s="59">
        <f t="shared" si="148"/>
        <v>202.23783851977691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9.9462750910021339E-2</v>
      </c>
      <c r="CL188" s="21">
        <f>EXP(-LN(2)/25)*CL187+(1-EXP(-LN(2)/25))/(LN(2)/25)*Calculateur!CG188*Calculateur!CI188*VLOOKUP('Données projet'!$B$12,Paramètres!$A$1:$I$89,3,0)*0.475*44/12</f>
        <v>0.16724375625292645</v>
      </c>
      <c r="CM188" s="21">
        <f>EXP(-LN(2)/2)*CM187+(1-EXP(-LN(2)/2))/(LN(2)/2)*CG188*CJ188*VLOOKUP('Données projet'!$B$12,Paramètres!$A$1:$I$89,3,0)*0.475*44/12</f>
        <v>8.6531356820451405E-23</v>
      </c>
      <c r="CN188" s="22">
        <f t="shared" si="172"/>
        <v>0.2667065071629478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-5.1159076974727213E-13</v>
      </c>
      <c r="CU188" s="17">
        <f>CT188*VLOOKUP('Données projet'!$B$13,Paramètres!$A$1:$I$89,3,0)*VLOOKUP('Données projet'!$B$13,Paramètres!$A$1:$I$89,5,0)</f>
        <v>-4.0702161641092972E-13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260.20517190557814</v>
      </c>
      <c r="CZ188" s="59">
        <f t="shared" si="150"/>
        <v>307.22009971147133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0.15152453381389011</v>
      </c>
      <c r="DG188" s="21">
        <f>EXP(-LN(2)/25)*DG187+(1-EXP(-LN(2)/25))/(LN(2)/25)*Calculateur!DB188*Calculateur!DD188*VLOOKUP('Données projet'!$B$13,Paramètres!$A$1:$I$89,3,0)*0.475*44/12</f>
        <v>0.27911487047944861</v>
      </c>
      <c r="DH188" s="21">
        <f>EXP(-LN(2)/2)*DH187+(1-EXP(-LN(2)/2))/(LN(2)/2)*DB188*DE188*VLOOKUP('Données projet'!$B$13,Paramètres!$A$1:$I$89,3,0)*0.475*44/12</f>
        <v>1.1248441456048242E-22</v>
      </c>
      <c r="DI188" s="22">
        <f t="shared" si="175"/>
        <v>0.43063940429333869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4.5474735088646412E-13</v>
      </c>
      <c r="DP188" s="17">
        <f>DO188*VLOOKUP('Données projet'!$B$14,Paramètres!$A$1:$I$89,3,0)*VLOOKUP('Données projet'!$B$14,Paramètres!$A$1:$I$89,5,0)</f>
        <v>4.6111381379887462E-13</v>
      </c>
      <c r="DQ188" s="13">
        <f t="shared" si="176"/>
        <v>5.7981965206434308E-12</v>
      </c>
      <c r="DR188" s="20">
        <f t="shared" si="177"/>
        <v>1.0901632165820347E-11</v>
      </c>
      <c r="DS188" s="59">
        <f t="shared" si="125"/>
        <v>293.33333333334423</v>
      </c>
      <c r="DT188" s="59">
        <f ca="1">AVERAGE(OFFSET($DS$3,0,0,'Données projet'!$E$14+1,1))-AVERAGE(OFFSET($H$3,0,0,'Données projet'!$E$14+1,1))</f>
        <v>263.15518481854753</v>
      </c>
      <c r="DU188" s="59">
        <f t="shared" si="152"/>
        <v>210.80755370263819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0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-5.1159076974727213E-13</v>
      </c>
      <c r="EK188" s="17">
        <f>EJ188*VLOOKUP('Données projet'!$B$15,Paramètres!$A$1:$I$89,3,0)*VLOOKUP('Données projet'!$B$15,Paramètres!$A$1:$I$89,5,0)</f>
        <v>-3.4317508834647017E-13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207.93042467236967</v>
      </c>
      <c r="EP188" s="59">
        <f t="shared" si="154"/>
        <v>250.70954318710835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0.12775597949014253</v>
      </c>
      <c r="EW188" s="21">
        <f>EXP(-LN(2)/25)*EW187+(1-EXP(-LN(2)/25))/(LN(2)/25)*Calculateur!ER188*Calculateur!ET188*VLOOKUP('Données projet'!$B$15,Paramètres!$A$1:$I$89,3,0)*0.475*44/12</f>
        <v>0.235332145698359</v>
      </c>
      <c r="EX188" s="21">
        <f>EXP(-LN(2)/2)*EX187+(1-EXP(-LN(2)/2))/(LN(2)/2)*ER188*EU188*VLOOKUP('Données projet'!$B$15,Paramètres!$A$1:$I$89,3,0)*0.475*44/12</f>
        <v>9.4839800511779291E-23</v>
      </c>
      <c r="EY188" s="22">
        <f t="shared" si="181"/>
        <v>0.36308812518850153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4.5474735088646412E-13</v>
      </c>
      <c r="FF188" s="17">
        <f>FE188*VLOOKUP('Données projet'!$B$16,Paramètres!$A$1:$I$89,3,0)*VLOOKUP('Données projet'!$B$16,Paramètres!$A$1:$I$89,5,0)</f>
        <v>4.8949004849418999E-13</v>
      </c>
      <c r="FG188" s="13">
        <f t="shared" si="182"/>
        <v>6.1123715499968684E-12</v>
      </c>
      <c r="FH188" s="20">
        <f t="shared" si="183"/>
        <v>1.1498242284038591E-11</v>
      </c>
      <c r="FI188" s="59">
        <f t="shared" si="131"/>
        <v>293.3333333333448</v>
      </c>
      <c r="FJ188" s="59">
        <f ca="1">AVERAGE(OFFSET($FI$3,0,0,'Données projet'!$E$16+1,1))-AVERAGE(OFFSET($H$3,0,0,'Données projet'!$E$16+1,1))</f>
        <v>286.77702855541287</v>
      </c>
      <c r="FK188" s="59">
        <f t="shared" si="156"/>
        <v>227.12211541860779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0</v>
      </c>
      <c r="FR188" s="21">
        <f>EXP(-LN(2)/25)*FR187+(1-EXP(-LN(2)/25))/(LN(2)/25)*Calculateur!FM188*Calculateur!FO188*VLOOKUP('Données projet'!$B$16,Paramètres!$A$1:$I$89,3,0)*0.475*44/12</f>
        <v>0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0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5.6843418860808015E-13</v>
      </c>
      <c r="GA188" s="17">
        <f>FZ188*VLOOKUP('Données projet'!$B$17,Paramètres!$A$1:$I$89,3,0)*VLOOKUP('Données projet'!$B$17,Paramètres!$A$1:$I$89,5,0)</f>
        <v>2.6602720026858149E-13</v>
      </c>
      <c r="GB188" s="13">
        <f t="shared" si="185"/>
        <v>3.5662905043956649E-12</v>
      </c>
      <c r="GC188" s="20">
        <f t="shared" si="186"/>
        <v>6.6746200022902298E-12</v>
      </c>
      <c r="GD188" s="59">
        <f t="shared" si="134"/>
        <v>293.33333333333997</v>
      </c>
      <c r="GE188" s="59">
        <f ca="1">AVERAGE(OFFSET($GD$3,0,0,'Données projet'!$E$17+1,1))-AVERAGE(OFFSET($H$3,0,0,'Données projet'!$E$17+1,1))</f>
        <v>123.2823358462245</v>
      </c>
      <c r="GF188" s="59">
        <f t="shared" si="158"/>
        <v>92.75115399786057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0</v>
      </c>
      <c r="GM188" s="21">
        <f>EXP(-LN(2)/25)*GM187+(1-EXP(-LN(2)/25))/(LN(2)/25)*Calculateur!GH188*Calculateur!GJ188*VLOOKUP('Données projet'!$B$17,Paramètres!$A$1:$I$89,3,0)*0.475*44/12</f>
        <v>0</v>
      </c>
      <c r="GN188" s="21">
        <f>EXP(-LN(2)/2)*GN187+(1-EXP(-LN(2)/2))/(LN(2)/2)*GH188*GK188*VLOOKUP('Données projet'!$B$17,Paramètres!$A$1:$I$89,3,0)*0.475*44/12</f>
        <v>0</v>
      </c>
      <c r="GO188" s="21">
        <f t="shared" si="187"/>
        <v>0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-2.8421709430404007E-13</v>
      </c>
      <c r="GV188" s="17">
        <f>GU188*VLOOKUP('Données projet'!$B$18,Paramètres!$A$1:$I$89,3,0)*VLOOKUP('Données projet'!$B$18,Paramètres!$A$1:$I$89,5,0)</f>
        <v>-1.69961822393816E-13</v>
      </c>
      <c r="GW188" s="13" t="e">
        <f t="shared" si="188"/>
        <v>#NUM!</v>
      </c>
      <c r="GX188" s="20" t="e">
        <f t="shared" si="189"/>
        <v>#NUM!</v>
      </c>
      <c r="GY188" s="59" t="e">
        <f t="shared" si="137"/>
        <v>#NUM!</v>
      </c>
      <c r="GZ188" s="59">
        <f ca="1">AVERAGE(OFFSET($GY$3,0,0,'Données projet'!$E$18+1,1))-AVERAGE(OFFSET($H$3,0,0,'Données projet'!$E$18+1,1))</f>
        <v>171.96009656745713</v>
      </c>
      <c r="HA188" s="59">
        <f t="shared" si="160"/>
        <v>172.37574906747716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>
        <f>EXP(-LN(2)/35)*HG187+(1-EXP(-LN(2)/35))/(LN(2)/35)*HC188*HD188*VLOOKUP('Données projet'!$B$18,Paramètres!$A$1:$I$89,3,0)*0.475*44/12</f>
        <v>7.7459807974852649E-2</v>
      </c>
      <c r="HH188" s="21">
        <f>EXP(-LN(2)/25)*HH187+(1-EXP(-LN(2)/25))/(LN(2)/25)*Calculateur!HC188*Calculateur!HE188*VLOOKUP('Données projet'!$B$18,Paramètres!$A$1:$I$89,3,0)*0.475*44/12</f>
        <v>0.27962316041309759</v>
      </c>
      <c r="HI188" s="21">
        <f>EXP(-LN(2)/2)*HI187+(1-EXP(-LN(2)/2))/(LN(2)/2)*HC188*HF188*VLOOKUP('Données projet'!$B$18,Paramètres!$A$1:$I$89,3,0)*0.475*44/12</f>
        <v>5.635967564284856E-23</v>
      </c>
      <c r="HJ188" s="22">
        <f t="shared" si="190"/>
        <v>0.35708296838795023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-2.2737367544323206E-13</v>
      </c>
      <c r="O189" s="13">
        <f>N189*VLOOKUP('Données projet'!$B$9,Paramètres!$A$1:$I$89,3,0)*VLOOKUP('Données projet'!$B$9,Paramètres!$A$1:$I$89,5,0)</f>
        <v>-1.2710188457276673E-13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255.5374979188561</v>
      </c>
      <c r="T189" s="59">
        <f t="shared" si="142"/>
        <v>343.10418468620901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0.14067940582053806</v>
      </c>
      <c r="AA189" s="21">
        <f>EXP(-LN(2)/25)*AA188+(1-EXP(-LN(2)/25))/(LN(2)/25)*Calculateur!V189*Calculateur!X189*VLOOKUP('Données projet'!$B$9,Paramètres!$A$1:$I$89,3,0)*0.475*44/12</f>
        <v>0.21116054066633902</v>
      </c>
      <c r="AB189" s="21">
        <f>EXP(-LN(2)/2)*AB188+(1-EXP(-LN(2)/2))/(LN(2)/2)*V189*Y189*VLOOKUP('Données projet'!$B$9,Paramètres!$A$1:$I$89,3,0)*0.475*44/12</f>
        <v>5.6005159356878817E-24</v>
      </c>
      <c r="AC189" s="22">
        <f t="shared" si="163"/>
        <v>0.35183994648687711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3.4106051316484809E-13</v>
      </c>
      <c r="AJ189" s="13">
        <f>AI189*VLOOKUP('Données projet'!$B$10,Paramètres!$A$1:$I$89,3,0)*VLOOKUP('Données projet'!$B$10,Paramètres!$A$1:$I$89,5,0)</f>
        <v>1.5961632016114892E-13</v>
      </c>
      <c r="AK189" s="13">
        <f t="shared" si="164"/>
        <v>2.2708641912150958E-12</v>
      </c>
      <c r="AL189" s="20">
        <f t="shared" si="165"/>
        <v>4.2330868906469593E-12</v>
      </c>
      <c r="AM189" s="59">
        <f t="shared" si="113"/>
        <v>293.33333333333752</v>
      </c>
      <c r="AN189" s="59">
        <f ca="1">AVERAGE(OFFSET($AM$3,0,0,'Données projet'!$E$10+1,1))-AVERAGE(OFFSET($H$3,0,0,'Données projet'!$E$10+1,1))</f>
        <v>158.58786357608489</v>
      </c>
      <c r="AO189" s="59">
        <f t="shared" si="144"/>
        <v>163.20074068819849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0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-1.7053025658242404E-13</v>
      </c>
      <c r="BE189" s="13">
        <f>BD189*VLOOKUP('Données projet'!$B$11,Paramètres!$A$1:$I$89,3,0)*VLOOKUP('Données projet'!$B$11,Paramètres!$A$1:$I$89,5,0)</f>
        <v>-1.0197709343628959E-13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243.85350804244348</v>
      </c>
      <c r="BJ189" s="59">
        <f t="shared" si="146"/>
        <v>304.60992308960545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0.20604644764341348</v>
      </c>
      <c r="BQ189" s="21">
        <f>EXP(-LN(2)/25)*BQ188+(1-EXP(-LN(2)/25))/(LN(2)/25)*Calculateur!BL189*Calculateur!BN189*VLOOKUP('Données projet'!$B$11,Paramètres!$A$1:$I$89,3,0)*0.475*44/12</f>
        <v>0.23456036890190365</v>
      </c>
      <c r="BR189" s="21">
        <f>EXP(-LN(2)/2)*BR188+(1-EXP(-LN(2)/2))/(LN(2)/2)*BL189*BO189*VLOOKUP('Données projet'!$B$11,Paramètres!$A$1:$I$89,3,0)*0.475*44/12</f>
        <v>1.2368754034762329E-23</v>
      </c>
      <c r="BS189" s="22">
        <f t="shared" si="169"/>
        <v>0.44060681654531714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497</v>
      </c>
      <c r="BZ189" s="13">
        <f>BY189*VLOOKUP('Données projet'!$B$12,Paramètres!$A$1:$I$89,3,0)*VLOOKUP('Données projet'!$B$12,Paramètres!$A$1:$I$89,5,0)</f>
        <v>297.20600000000002</v>
      </c>
      <c r="CA189" s="13">
        <f t="shared" si="170"/>
        <v>70.590415164571112</v>
      </c>
      <c r="CB189" s="20">
        <f t="shared" si="171"/>
        <v>640.57875641162809</v>
      </c>
      <c r="CC189" s="59">
        <f t="shared" si="119"/>
        <v>933.91208974496135</v>
      </c>
      <c r="CD189" s="59">
        <f ca="1">AVERAGE(OFFSET($CC$3,0,0,'Données projet'!$E$12+1,1))-AVERAGE(OFFSET($H$3,0,0,'Données projet'!$E$12+1,1))</f>
        <v>270.30888762640245</v>
      </c>
      <c r="CE189" s="59">
        <f t="shared" si="148"/>
        <v>202.23783851977691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9.7512347030963578E-2</v>
      </c>
      <c r="CL189" s="21">
        <f>EXP(-LN(2)/25)*CL188+(1-EXP(-LN(2)/25))/(LN(2)/25)*Calculateur!CG189*Calculateur!CI189*VLOOKUP('Données projet'!$B$12,Paramètres!$A$1:$I$89,3,0)*0.475*44/12</f>
        <v>0.16267046694322326</v>
      </c>
      <c r="CM189" s="21">
        <f>EXP(-LN(2)/2)*CM188+(1-EXP(-LN(2)/2))/(LN(2)/2)*CG189*CJ189*VLOOKUP('Données projet'!$B$12,Paramètres!$A$1:$I$89,3,0)*0.475*44/12</f>
        <v>6.1186909193013998E-23</v>
      </c>
      <c r="CN189" s="22">
        <f t="shared" si="172"/>
        <v>0.26018281397418686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-5.1159076974727213E-13</v>
      </c>
      <c r="CU189" s="17">
        <f>CT189*VLOOKUP('Données projet'!$B$13,Paramètres!$A$1:$I$89,3,0)*VLOOKUP('Données projet'!$B$13,Paramètres!$A$1:$I$89,5,0)</f>
        <v>-4.0702161641092972E-13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260.20517190557814</v>
      </c>
      <c r="CZ189" s="59">
        <f t="shared" si="150"/>
        <v>307.22009971147133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0.14855323012663954</v>
      </c>
      <c r="DG189" s="21">
        <f>EXP(-LN(2)/25)*DG188+(1-EXP(-LN(2)/25))/(LN(2)/25)*Calculateur!DB189*Calculateur!DD189*VLOOKUP('Données projet'!$B$13,Paramètres!$A$1:$I$89,3,0)*0.475*44/12</f>
        <v>0.27148245966817497</v>
      </c>
      <c r="DH189" s="21">
        <f>EXP(-LN(2)/2)*DH188+(1-EXP(-LN(2)/2))/(LN(2)/2)*DB189*DE189*VLOOKUP('Données projet'!$B$13,Paramètres!$A$1:$I$89,3,0)*0.475*44/12</f>
        <v>7.9538492313515944E-23</v>
      </c>
      <c r="DI189" s="22">
        <f t="shared" si="175"/>
        <v>0.42003568979481454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4.5474735088646412E-13</v>
      </c>
      <c r="DP189" s="17">
        <f>DO189*VLOOKUP('Données projet'!$B$14,Paramètres!$A$1:$I$89,3,0)*VLOOKUP('Données projet'!$B$14,Paramètres!$A$1:$I$89,5,0)</f>
        <v>4.6111381379887462E-13</v>
      </c>
      <c r="DQ189" s="13">
        <f t="shared" si="176"/>
        <v>5.7981965206434308E-12</v>
      </c>
      <c r="DR189" s="20">
        <f t="shared" si="177"/>
        <v>1.0901632165820347E-11</v>
      </c>
      <c r="DS189" s="59">
        <f t="shared" si="125"/>
        <v>293.33333333334423</v>
      </c>
      <c r="DT189" s="59">
        <f ca="1">AVERAGE(OFFSET($DS$3,0,0,'Données projet'!$E$14+1,1))-AVERAGE(OFFSET($H$3,0,0,'Données projet'!$E$14+1,1))</f>
        <v>263.15518481854753</v>
      </c>
      <c r="DU189" s="59">
        <f t="shared" si="152"/>
        <v>210.80755370263819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0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-5.1159076974727213E-13</v>
      </c>
      <c r="EK189" s="17">
        <f>EJ189*VLOOKUP('Données projet'!$B$15,Paramètres!$A$1:$I$89,3,0)*VLOOKUP('Données projet'!$B$15,Paramètres!$A$1:$I$89,5,0)</f>
        <v>-3.4317508834647017E-13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207.93042467236967</v>
      </c>
      <c r="EP189" s="59">
        <f t="shared" si="154"/>
        <v>250.70954318710835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0.12525076265579402</v>
      </c>
      <c r="EW189" s="21">
        <f>EXP(-LN(2)/25)*EW188+(1-EXP(-LN(2)/25))/(LN(2)/25)*Calculateur!ER189*Calculateur!ET189*VLOOKUP('Données projet'!$B$15,Paramètres!$A$1:$I$89,3,0)*0.475*44/12</f>
        <v>0.2288969757986577</v>
      </c>
      <c r="EX189" s="21">
        <f>EXP(-LN(2)/2)*EX188+(1-EXP(-LN(2)/2))/(LN(2)/2)*ER189*EU189*VLOOKUP('Données projet'!$B$15,Paramètres!$A$1:$I$89,3,0)*0.475*44/12</f>
        <v>6.7061866068258536E-23</v>
      </c>
      <c r="EY189" s="22">
        <f t="shared" si="181"/>
        <v>0.35414773845445169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4.5474735088646412E-13</v>
      </c>
      <c r="FF189" s="17">
        <f>FE189*VLOOKUP('Données projet'!$B$16,Paramètres!$A$1:$I$89,3,0)*VLOOKUP('Données projet'!$B$16,Paramètres!$A$1:$I$89,5,0)</f>
        <v>4.8949004849418999E-13</v>
      </c>
      <c r="FG189" s="13">
        <f t="shared" si="182"/>
        <v>6.1123715499968684E-12</v>
      </c>
      <c r="FH189" s="20">
        <f t="shared" si="183"/>
        <v>1.1498242284038591E-11</v>
      </c>
      <c r="FI189" s="59">
        <f t="shared" si="131"/>
        <v>293.3333333333448</v>
      </c>
      <c r="FJ189" s="59">
        <f ca="1">AVERAGE(OFFSET($FI$3,0,0,'Données projet'!$E$16+1,1))-AVERAGE(OFFSET($H$3,0,0,'Données projet'!$E$16+1,1))</f>
        <v>286.77702855541287</v>
      </c>
      <c r="FK189" s="59">
        <f t="shared" si="156"/>
        <v>227.12211541860779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0</v>
      </c>
      <c r="FR189" s="21">
        <f>EXP(-LN(2)/25)*FR188+(1-EXP(-LN(2)/25))/(LN(2)/25)*Calculateur!FM189*Calculateur!FO189*VLOOKUP('Données projet'!$B$16,Paramètres!$A$1:$I$89,3,0)*0.475*44/12</f>
        <v>0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0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5.6843418860808015E-13</v>
      </c>
      <c r="GA189" s="17">
        <f>FZ189*VLOOKUP('Données projet'!$B$17,Paramètres!$A$1:$I$89,3,0)*VLOOKUP('Données projet'!$B$17,Paramètres!$A$1:$I$89,5,0)</f>
        <v>2.6602720026858149E-13</v>
      </c>
      <c r="GB189" s="13">
        <f t="shared" si="185"/>
        <v>3.5662905043956649E-12</v>
      </c>
      <c r="GC189" s="20">
        <f t="shared" si="186"/>
        <v>6.6746200022902298E-12</v>
      </c>
      <c r="GD189" s="59">
        <f t="shared" si="134"/>
        <v>293.33333333333997</v>
      </c>
      <c r="GE189" s="59">
        <f ca="1">AVERAGE(OFFSET($GD$3,0,0,'Données projet'!$E$17+1,1))-AVERAGE(OFFSET($H$3,0,0,'Données projet'!$E$17+1,1))</f>
        <v>123.2823358462245</v>
      </c>
      <c r="GF189" s="59">
        <f t="shared" si="158"/>
        <v>92.75115399786057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0</v>
      </c>
      <c r="GM189" s="21">
        <f>EXP(-LN(2)/25)*GM188+(1-EXP(-LN(2)/25))/(LN(2)/25)*Calculateur!GH189*Calculateur!GJ189*VLOOKUP('Données projet'!$B$17,Paramètres!$A$1:$I$89,3,0)*0.475*44/12</f>
        <v>0</v>
      </c>
      <c r="GN189" s="21">
        <f>EXP(-LN(2)/2)*GN188+(1-EXP(-LN(2)/2))/(LN(2)/2)*GH189*GK189*VLOOKUP('Données projet'!$B$17,Paramètres!$A$1:$I$89,3,0)*0.475*44/12</f>
        <v>0</v>
      </c>
      <c r="GO189" s="21">
        <f t="shared" si="187"/>
        <v>0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-2.8421709430404007E-13</v>
      </c>
      <c r="GV189" s="17">
        <f>GU189*VLOOKUP('Données projet'!$B$18,Paramètres!$A$1:$I$89,3,0)*VLOOKUP('Données projet'!$B$18,Paramètres!$A$1:$I$89,5,0)</f>
        <v>-1.69961822393816E-13</v>
      </c>
      <c r="GW189" s="13" t="e">
        <f t="shared" si="188"/>
        <v>#NUM!</v>
      </c>
      <c r="GX189" s="20" t="e">
        <f t="shared" si="189"/>
        <v>#NUM!</v>
      </c>
      <c r="GY189" s="59" t="e">
        <f t="shared" si="137"/>
        <v>#NUM!</v>
      </c>
      <c r="GZ189" s="59">
        <f ca="1">AVERAGE(OFFSET($GY$3,0,0,'Données projet'!$E$18+1,1))-AVERAGE(OFFSET($H$3,0,0,'Données projet'!$E$18+1,1))</f>
        <v>171.96009656745713</v>
      </c>
      <c r="HA189" s="59">
        <f t="shared" si="160"/>
        <v>172.37574906747716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>
        <f>EXP(-LN(2)/35)*HG188+(1-EXP(-LN(2)/35))/(LN(2)/35)*HC189*HD189*VLOOKUP('Données projet'!$B$18,Paramètres!$A$1:$I$89,3,0)*0.475*44/12</f>
        <v>7.5940868386283514E-2</v>
      </c>
      <c r="HH189" s="21">
        <f>EXP(-LN(2)/25)*HH188+(1-EXP(-LN(2)/25))/(LN(2)/25)*Calculateur!HC189*Calculateur!HE189*VLOOKUP('Données projet'!$B$18,Paramètres!$A$1:$I$89,3,0)*0.475*44/12</f>
        <v>0.27197685038685854</v>
      </c>
      <c r="HI189" s="21">
        <f>EXP(-LN(2)/2)*HI188+(1-EXP(-LN(2)/2))/(LN(2)/2)*HC189*HF189*VLOOKUP('Données projet'!$B$18,Paramètres!$A$1:$I$89,3,0)*0.475*44/12</f>
        <v>3.9852308832532509E-23</v>
      </c>
      <c r="HJ189" s="22">
        <f t="shared" si="190"/>
        <v>0.34791771877314204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-2.2737367544323206E-13</v>
      </c>
      <c r="O190" s="13">
        <f>N190*VLOOKUP('Données projet'!$B$9,Paramètres!$A$1:$I$89,3,0)*VLOOKUP('Données projet'!$B$9,Paramètres!$A$1:$I$89,5,0)</f>
        <v>-1.2710188457276673E-13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255.5374979188561</v>
      </c>
      <c r="T190" s="59">
        <f t="shared" si="142"/>
        <v>343.10418468620901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0.13792076847836224</v>
      </c>
      <c r="AA190" s="21">
        <f>EXP(-LN(2)/25)*AA189+(1-EXP(-LN(2)/25))/(LN(2)/25)*Calculateur!V190*Calculateur!X190*VLOOKUP('Données projet'!$B$9,Paramètres!$A$1:$I$89,3,0)*0.475*44/12</f>
        <v>0.20538634457736776</v>
      </c>
      <c r="AB190" s="21">
        <f>EXP(-LN(2)/2)*AB189+(1-EXP(-LN(2)/2))/(LN(2)/2)*V190*Y190*VLOOKUP('Données projet'!$B$9,Paramètres!$A$1:$I$89,3,0)*0.475*44/12</f>
        <v>3.9601627962682233E-24</v>
      </c>
      <c r="AC190" s="22">
        <f t="shared" si="163"/>
        <v>0.34330711305573003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3.4106051316484809E-13</v>
      </c>
      <c r="AJ190" s="13">
        <f>AI190*VLOOKUP('Données projet'!$B$10,Paramètres!$A$1:$I$89,3,0)*VLOOKUP('Données projet'!$B$10,Paramètres!$A$1:$I$89,5,0)</f>
        <v>1.5961632016114892E-13</v>
      </c>
      <c r="AK190" s="13">
        <f t="shared" si="164"/>
        <v>2.2708641912150958E-12</v>
      </c>
      <c r="AL190" s="20">
        <f t="shared" si="165"/>
        <v>4.2330868906469593E-12</v>
      </c>
      <c r="AM190" s="59">
        <f t="shared" si="113"/>
        <v>293.33333333333752</v>
      </c>
      <c r="AN190" s="59">
        <f ca="1">AVERAGE(OFFSET($AM$3,0,0,'Données projet'!$E$10+1,1))-AVERAGE(OFFSET($H$3,0,0,'Données projet'!$E$10+1,1))</f>
        <v>158.58786357608489</v>
      </c>
      <c r="AO190" s="59">
        <f t="shared" si="144"/>
        <v>163.20074068819849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0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-1.7053025658242404E-13</v>
      </c>
      <c r="BE190" s="13">
        <f>BD190*VLOOKUP('Données projet'!$B$11,Paramètres!$A$1:$I$89,3,0)*VLOOKUP('Données projet'!$B$11,Paramètres!$A$1:$I$89,5,0)</f>
        <v>-1.0197709343628959E-13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243.85350804244348</v>
      </c>
      <c r="BJ190" s="59">
        <f t="shared" si="146"/>
        <v>304.60992308960545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0.20200600248104975</v>
      </c>
      <c r="BQ190" s="21">
        <f>EXP(-LN(2)/25)*BQ189+(1-EXP(-LN(2)/25))/(LN(2)/25)*Calculateur!BL190*Calculateur!BN190*VLOOKUP('Données projet'!$B$11,Paramètres!$A$1:$I$89,3,0)*0.475*44/12</f>
        <v>0.22814630327928739</v>
      </c>
      <c r="BR190" s="21">
        <f>EXP(-LN(2)/2)*BR189+(1-EXP(-LN(2)/2))/(LN(2)/2)*BL190*BO190*VLOOKUP('Données projet'!$B$11,Paramètres!$A$1:$I$89,3,0)*0.475*44/12</f>
        <v>8.7460298528089131E-24</v>
      </c>
      <c r="BS190" s="22">
        <f t="shared" si="169"/>
        <v>0.43015230576033714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497</v>
      </c>
      <c r="BZ190" s="13">
        <f>BY190*VLOOKUP('Données projet'!$B$12,Paramètres!$A$1:$I$89,3,0)*VLOOKUP('Données projet'!$B$12,Paramètres!$A$1:$I$89,5,0)</f>
        <v>297.20600000000002</v>
      </c>
      <c r="CA190" s="13">
        <f t="shared" si="170"/>
        <v>70.590415164571112</v>
      </c>
      <c r="CB190" s="20">
        <f t="shared" si="171"/>
        <v>640.57875641162809</v>
      </c>
      <c r="CC190" s="59">
        <f t="shared" si="119"/>
        <v>933.91208974496135</v>
      </c>
      <c r="CD190" s="59">
        <f ca="1">AVERAGE(OFFSET($CC$3,0,0,'Données projet'!$E$12+1,1))-AVERAGE(OFFSET($H$3,0,0,'Données projet'!$E$12+1,1))</f>
        <v>270.30888762640245</v>
      </c>
      <c r="CE190" s="59">
        <f t="shared" si="148"/>
        <v>202.23783851977691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9.5600189382345241E-2</v>
      </c>
      <c r="CL190" s="21">
        <f>EXP(-LN(2)/25)*CL189+(1-EXP(-LN(2)/25))/(LN(2)/25)*Calculateur!CG190*Calculateur!CI190*VLOOKUP('Données projet'!$B$12,Paramètres!$A$1:$I$89,3,0)*0.475*44/12</f>
        <v>0.15822223447019276</v>
      </c>
      <c r="CM190" s="21">
        <f>EXP(-LN(2)/2)*CM189+(1-EXP(-LN(2)/2))/(LN(2)/2)*CG190*CJ190*VLOOKUP('Données projet'!$B$12,Paramètres!$A$1:$I$89,3,0)*0.475*44/12</f>
        <v>4.3265678410225702E-23</v>
      </c>
      <c r="CN190" s="22">
        <f t="shared" si="172"/>
        <v>0.253822423852538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-5.1159076974727213E-13</v>
      </c>
      <c r="CU190" s="17">
        <f>CT190*VLOOKUP('Données projet'!$B$13,Paramètres!$A$1:$I$89,3,0)*VLOOKUP('Données projet'!$B$13,Paramètres!$A$1:$I$89,5,0)</f>
        <v>-4.0702161641092972E-13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260.20517190557814</v>
      </c>
      <c r="CZ190" s="59">
        <f t="shared" si="150"/>
        <v>307.22009971147133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0.14564019189237967</v>
      </c>
      <c r="DG190" s="21">
        <f>EXP(-LN(2)/25)*DG189+(1-EXP(-LN(2)/25))/(LN(2)/25)*Calculateur!DB190*Calculateur!DD190*VLOOKUP('Données projet'!$B$13,Paramètres!$A$1:$I$89,3,0)*0.475*44/12</f>
        <v>0.26405875753190666</v>
      </c>
      <c r="DH190" s="21">
        <f>EXP(-LN(2)/2)*DH189+(1-EXP(-LN(2)/2))/(LN(2)/2)*DB190*DE190*VLOOKUP('Données projet'!$B$13,Paramètres!$A$1:$I$89,3,0)*0.475*44/12</f>
        <v>5.624220728024121E-23</v>
      </c>
      <c r="DI190" s="22">
        <f t="shared" si="175"/>
        <v>0.40969894942428631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4.5474735088646412E-13</v>
      </c>
      <c r="DP190" s="17">
        <f>DO190*VLOOKUP('Données projet'!$B$14,Paramètres!$A$1:$I$89,3,0)*VLOOKUP('Données projet'!$B$14,Paramètres!$A$1:$I$89,5,0)</f>
        <v>4.6111381379887462E-13</v>
      </c>
      <c r="DQ190" s="13">
        <f t="shared" si="176"/>
        <v>5.7981965206434308E-12</v>
      </c>
      <c r="DR190" s="20">
        <f t="shared" si="177"/>
        <v>1.0901632165820347E-11</v>
      </c>
      <c r="DS190" s="59">
        <f t="shared" si="125"/>
        <v>293.33333333334423</v>
      </c>
      <c r="DT190" s="59">
        <f ca="1">AVERAGE(OFFSET($DS$3,0,0,'Données projet'!$E$14+1,1))-AVERAGE(OFFSET($H$3,0,0,'Données projet'!$E$14+1,1))</f>
        <v>263.15518481854753</v>
      </c>
      <c r="DU190" s="59">
        <f t="shared" si="152"/>
        <v>210.80755370263819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0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-5.1159076974727213E-13</v>
      </c>
      <c r="EK190" s="17">
        <f>EJ190*VLOOKUP('Données projet'!$B$15,Paramètres!$A$1:$I$89,3,0)*VLOOKUP('Données projet'!$B$15,Paramètres!$A$1:$I$89,5,0)</f>
        <v>-3.4317508834647017E-13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207.93042467236967</v>
      </c>
      <c r="EP190" s="59">
        <f t="shared" si="154"/>
        <v>250.70954318710835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0.1227946715955357</v>
      </c>
      <c r="EW190" s="21">
        <f>EXP(-LN(2)/25)*EW189+(1-EXP(-LN(2)/25))/(LN(2)/25)*Calculateur!ER190*Calculateur!ET190*VLOOKUP('Données projet'!$B$15,Paramètres!$A$1:$I$89,3,0)*0.475*44/12</f>
        <v>0.22263777595827461</v>
      </c>
      <c r="EX190" s="21">
        <f>EXP(-LN(2)/2)*EX189+(1-EXP(-LN(2)/2))/(LN(2)/2)*ER190*EU190*VLOOKUP('Données projet'!$B$15,Paramètres!$A$1:$I$89,3,0)*0.475*44/12</f>
        <v>4.7419900255889645E-23</v>
      </c>
      <c r="EY190" s="22">
        <f t="shared" si="181"/>
        <v>0.34543244755381031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4.5474735088646412E-13</v>
      </c>
      <c r="FF190" s="17">
        <f>FE190*VLOOKUP('Données projet'!$B$16,Paramètres!$A$1:$I$89,3,0)*VLOOKUP('Données projet'!$B$16,Paramètres!$A$1:$I$89,5,0)</f>
        <v>4.8949004849418999E-13</v>
      </c>
      <c r="FG190" s="13">
        <f t="shared" si="182"/>
        <v>6.1123715499968684E-12</v>
      </c>
      <c r="FH190" s="20">
        <f t="shared" si="183"/>
        <v>1.1498242284038591E-11</v>
      </c>
      <c r="FI190" s="59">
        <f t="shared" si="131"/>
        <v>293.3333333333448</v>
      </c>
      <c r="FJ190" s="59">
        <f ca="1">AVERAGE(OFFSET($FI$3,0,0,'Données projet'!$E$16+1,1))-AVERAGE(OFFSET($H$3,0,0,'Données projet'!$E$16+1,1))</f>
        <v>286.77702855541287</v>
      </c>
      <c r="FK190" s="59">
        <f t="shared" si="156"/>
        <v>227.12211541860779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0</v>
      </c>
      <c r="FR190" s="21">
        <f>EXP(-LN(2)/25)*FR189+(1-EXP(-LN(2)/25))/(LN(2)/25)*Calculateur!FM190*Calculateur!FO190*VLOOKUP('Données projet'!$B$16,Paramètres!$A$1:$I$89,3,0)*0.475*44/12</f>
        <v>0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0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5.6843418860808015E-13</v>
      </c>
      <c r="GA190" s="17">
        <f>FZ190*VLOOKUP('Données projet'!$B$17,Paramètres!$A$1:$I$89,3,0)*VLOOKUP('Données projet'!$B$17,Paramètres!$A$1:$I$89,5,0)</f>
        <v>2.6602720026858149E-13</v>
      </c>
      <c r="GB190" s="13">
        <f t="shared" si="185"/>
        <v>3.5662905043956649E-12</v>
      </c>
      <c r="GC190" s="20">
        <f t="shared" si="186"/>
        <v>6.6746200022902298E-12</v>
      </c>
      <c r="GD190" s="59">
        <f t="shared" si="134"/>
        <v>293.33333333333997</v>
      </c>
      <c r="GE190" s="59">
        <f ca="1">AVERAGE(OFFSET($GD$3,0,0,'Données projet'!$E$17+1,1))-AVERAGE(OFFSET($H$3,0,0,'Données projet'!$E$17+1,1))</f>
        <v>123.2823358462245</v>
      </c>
      <c r="GF190" s="59">
        <f t="shared" si="158"/>
        <v>92.75115399786057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0</v>
      </c>
      <c r="GM190" s="21">
        <f>EXP(-LN(2)/25)*GM189+(1-EXP(-LN(2)/25))/(LN(2)/25)*Calculateur!GH190*Calculateur!GJ190*VLOOKUP('Données projet'!$B$17,Paramètres!$A$1:$I$89,3,0)*0.475*44/12</f>
        <v>0</v>
      </c>
      <c r="GN190" s="21">
        <f>EXP(-LN(2)/2)*GN189+(1-EXP(-LN(2)/2))/(LN(2)/2)*GH190*GK190*VLOOKUP('Données projet'!$B$17,Paramètres!$A$1:$I$89,3,0)*0.475*44/12</f>
        <v>0</v>
      </c>
      <c r="GO190" s="21">
        <f t="shared" si="187"/>
        <v>0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-2.8421709430404007E-13</v>
      </c>
      <c r="GV190" s="17">
        <f>GU190*VLOOKUP('Données projet'!$B$18,Paramètres!$A$1:$I$89,3,0)*VLOOKUP('Données projet'!$B$18,Paramètres!$A$1:$I$89,5,0)</f>
        <v>-1.69961822393816E-13</v>
      </c>
      <c r="GW190" s="13" t="e">
        <f t="shared" si="188"/>
        <v>#NUM!</v>
      </c>
      <c r="GX190" s="20" t="e">
        <f t="shared" si="189"/>
        <v>#NUM!</v>
      </c>
      <c r="GY190" s="59" t="e">
        <f t="shared" si="137"/>
        <v>#NUM!</v>
      </c>
      <c r="GZ190" s="59">
        <f ca="1">AVERAGE(OFFSET($GY$3,0,0,'Données projet'!$E$18+1,1))-AVERAGE(OFFSET($H$3,0,0,'Données projet'!$E$18+1,1))</f>
        <v>171.96009656745713</v>
      </c>
      <c r="HA190" s="59">
        <f t="shared" si="160"/>
        <v>172.37574906747716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>
        <f>EXP(-LN(2)/35)*HG189+(1-EXP(-LN(2)/35))/(LN(2)/35)*HC190*HD190*VLOOKUP('Données projet'!$B$18,Paramètres!$A$1:$I$89,3,0)*0.475*44/12</f>
        <v>7.4451714276584549E-2</v>
      </c>
      <c r="HH190" s="21">
        <f>EXP(-LN(2)/25)*HH189+(1-EXP(-LN(2)/25))/(LN(2)/25)*Calculateur!HC190*Calculateur!HE190*VLOOKUP('Données projet'!$B$18,Paramètres!$A$1:$I$89,3,0)*0.475*44/12</f>
        <v>0.26453962911038892</v>
      </c>
      <c r="HI190" s="21">
        <f>EXP(-LN(2)/2)*HI189+(1-EXP(-LN(2)/2))/(LN(2)/2)*HC190*HF190*VLOOKUP('Données projet'!$B$18,Paramètres!$A$1:$I$89,3,0)*0.475*44/12</f>
        <v>2.817983782142428E-23</v>
      </c>
      <c r="HJ190" s="22">
        <f t="shared" si="190"/>
        <v>0.33899134338697345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-2.2737367544323206E-13</v>
      </c>
      <c r="O191" s="13">
        <f>N191*VLOOKUP('Données projet'!$B$9,Paramètres!$A$1:$I$89,3,0)*VLOOKUP('Données projet'!$B$9,Paramètres!$A$1:$I$89,5,0)</f>
        <v>-1.2710188457276673E-13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255.5374979188561</v>
      </c>
      <c r="T191" s="59">
        <f t="shared" si="142"/>
        <v>343.10418468620901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0.13521622633186384</v>
      </c>
      <c r="AA191" s="21">
        <f>EXP(-LN(2)/25)*AA190+(1-EXP(-LN(2)/25))/(LN(2)/25)*Calculateur!V191*Calculateur!X191*VLOOKUP('Données projet'!$B$9,Paramètres!$A$1:$I$89,3,0)*0.475*44/12</f>
        <v>0.19977004418410119</v>
      </c>
      <c r="AB191" s="21">
        <f>EXP(-LN(2)/2)*AB190+(1-EXP(-LN(2)/2))/(LN(2)/2)*V191*Y191*VLOOKUP('Données projet'!$B$9,Paramètres!$A$1:$I$89,3,0)*0.475*44/12</f>
        <v>2.8002579678439408E-24</v>
      </c>
      <c r="AC191" s="22">
        <f t="shared" si="163"/>
        <v>0.33498627051596502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3.4106051316484809E-13</v>
      </c>
      <c r="AJ191" s="13">
        <f>AI191*VLOOKUP('Données projet'!$B$10,Paramètres!$A$1:$I$89,3,0)*VLOOKUP('Données projet'!$B$10,Paramètres!$A$1:$I$89,5,0)</f>
        <v>1.5961632016114892E-13</v>
      </c>
      <c r="AK191" s="13">
        <f t="shared" si="164"/>
        <v>2.2708641912150958E-12</v>
      </c>
      <c r="AL191" s="20">
        <f t="shared" si="165"/>
        <v>4.2330868906469593E-12</v>
      </c>
      <c r="AM191" s="59">
        <f t="shared" si="113"/>
        <v>293.33333333333752</v>
      </c>
      <c r="AN191" s="59">
        <f ca="1">AVERAGE(OFFSET($AM$3,0,0,'Données projet'!$E$10+1,1))-AVERAGE(OFFSET($H$3,0,0,'Données projet'!$E$10+1,1))</f>
        <v>158.58786357608489</v>
      </c>
      <c r="AO191" s="59">
        <f t="shared" si="144"/>
        <v>163.20074068819849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0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-1.7053025658242404E-13</v>
      </c>
      <c r="BE191" s="13">
        <f>BD191*VLOOKUP('Données projet'!$B$11,Paramètres!$A$1:$I$89,3,0)*VLOOKUP('Données projet'!$B$11,Paramètres!$A$1:$I$89,5,0)</f>
        <v>-1.0197709343628959E-13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243.85350804244348</v>
      </c>
      <c r="BJ191" s="59">
        <f t="shared" si="146"/>
        <v>304.60992308960545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0.19804478798389175</v>
      </c>
      <c r="BQ191" s="21">
        <f>EXP(-LN(2)/25)*BQ190+(1-EXP(-LN(2)/25))/(LN(2)/25)*Calculateur!BL191*Calculateur!BN191*VLOOKUP('Données projet'!$B$11,Paramètres!$A$1:$I$89,3,0)*0.475*44/12</f>
        <v>0.22190763061842261</v>
      </c>
      <c r="BR191" s="21">
        <f>EXP(-LN(2)/2)*BR190+(1-EXP(-LN(2)/2))/(LN(2)/2)*BL191*BO191*VLOOKUP('Données projet'!$B$11,Paramètres!$A$1:$I$89,3,0)*0.475*44/12</f>
        <v>6.1843770173811647E-24</v>
      </c>
      <c r="BS191" s="22">
        <f t="shared" si="169"/>
        <v>0.41995241860231436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497</v>
      </c>
      <c r="BZ191" s="13">
        <f>BY191*VLOOKUP('Données projet'!$B$12,Paramètres!$A$1:$I$89,3,0)*VLOOKUP('Données projet'!$B$12,Paramètres!$A$1:$I$89,5,0)</f>
        <v>297.20600000000002</v>
      </c>
      <c r="CA191" s="13">
        <f t="shared" si="170"/>
        <v>70.590415164571112</v>
      </c>
      <c r="CB191" s="20">
        <f t="shared" si="171"/>
        <v>640.57875641162809</v>
      </c>
      <c r="CC191" s="59">
        <f t="shared" si="119"/>
        <v>933.91208974496135</v>
      </c>
      <c r="CD191" s="59">
        <f ca="1">AVERAGE(OFFSET($CC$3,0,0,'Données projet'!$E$12+1,1))-AVERAGE(OFFSET($H$3,0,0,'Données projet'!$E$12+1,1))</f>
        <v>270.30888762640245</v>
      </c>
      <c r="CE191" s="59">
        <f t="shared" si="148"/>
        <v>202.23783851977691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9.3725527978915299E-2</v>
      </c>
      <c r="CL191" s="21">
        <f>EXP(-LN(2)/25)*CL190+(1-EXP(-LN(2)/25))/(LN(2)/25)*Calculateur!CG191*Calculateur!CI191*VLOOKUP('Données projet'!$B$12,Paramètres!$A$1:$I$89,3,0)*0.475*44/12</f>
        <v>0.15389563914805965</v>
      </c>
      <c r="CM191" s="21">
        <f>EXP(-LN(2)/2)*CM190+(1-EXP(-LN(2)/2))/(LN(2)/2)*CG191*CJ191*VLOOKUP('Données projet'!$B$12,Paramètres!$A$1:$I$89,3,0)*0.475*44/12</f>
        <v>3.0593454596506999E-23</v>
      </c>
      <c r="CN191" s="22">
        <f t="shared" si="172"/>
        <v>0.24762116712697496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-5.1159076974727213E-13</v>
      </c>
      <c r="CU191" s="17">
        <f>CT191*VLOOKUP('Données projet'!$B$13,Paramètres!$A$1:$I$89,3,0)*VLOOKUP('Données projet'!$B$13,Paramètres!$A$1:$I$89,5,0)</f>
        <v>-4.0702161641092972E-13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260.20517190557814</v>
      </c>
      <c r="CZ191" s="59">
        <f t="shared" si="150"/>
        <v>307.22009971147133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0.14278427656111575</v>
      </c>
      <c r="DG191" s="21">
        <f>EXP(-LN(2)/25)*DG190+(1-EXP(-LN(2)/25))/(LN(2)/25)*Calculateur!DB191*Calculateur!DD191*VLOOKUP('Données projet'!$B$13,Paramètres!$A$1:$I$89,3,0)*0.475*44/12</f>
        <v>0.25683805692095013</v>
      </c>
      <c r="DH191" s="21">
        <f>EXP(-LN(2)/2)*DH190+(1-EXP(-LN(2)/2))/(LN(2)/2)*DB191*DE191*VLOOKUP('Données projet'!$B$13,Paramètres!$A$1:$I$89,3,0)*0.475*44/12</f>
        <v>3.9769246156757972E-23</v>
      </c>
      <c r="DI191" s="22">
        <f t="shared" si="175"/>
        <v>0.39962233348206588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4.5474735088646412E-13</v>
      </c>
      <c r="DP191" s="17">
        <f>DO191*VLOOKUP('Données projet'!$B$14,Paramètres!$A$1:$I$89,3,0)*VLOOKUP('Données projet'!$B$14,Paramètres!$A$1:$I$89,5,0)</f>
        <v>4.6111381379887462E-13</v>
      </c>
      <c r="DQ191" s="13">
        <f t="shared" si="176"/>
        <v>5.7981965206434308E-12</v>
      </c>
      <c r="DR191" s="20">
        <f t="shared" si="177"/>
        <v>1.0901632165820347E-11</v>
      </c>
      <c r="DS191" s="59">
        <f t="shared" si="125"/>
        <v>293.33333333334423</v>
      </c>
      <c r="DT191" s="59">
        <f ca="1">AVERAGE(OFFSET($DS$3,0,0,'Données projet'!$E$14+1,1))-AVERAGE(OFFSET($H$3,0,0,'Données projet'!$E$14+1,1))</f>
        <v>263.15518481854753</v>
      </c>
      <c r="DU191" s="59">
        <f t="shared" si="152"/>
        <v>210.80755370263819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0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-5.1159076974727213E-13</v>
      </c>
      <c r="EK191" s="17">
        <f>EJ191*VLOOKUP('Données projet'!$B$15,Paramètres!$A$1:$I$89,3,0)*VLOOKUP('Données projet'!$B$15,Paramètres!$A$1:$I$89,5,0)</f>
        <v>-3.4317508834647017E-13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207.93042467236967</v>
      </c>
      <c r="EP191" s="59">
        <f t="shared" si="154"/>
        <v>250.70954318710835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0.12038674298290142</v>
      </c>
      <c r="EW191" s="21">
        <f>EXP(-LN(2)/25)*EW190+(1-EXP(-LN(2)/25))/(LN(2)/25)*Calculateur!ER191*Calculateur!ET191*VLOOKUP('Données projet'!$B$15,Paramètres!$A$1:$I$89,3,0)*0.475*44/12</f>
        <v>0.21654973426668381</v>
      </c>
      <c r="EX191" s="21">
        <f>EXP(-LN(2)/2)*EX190+(1-EXP(-LN(2)/2))/(LN(2)/2)*ER191*EU191*VLOOKUP('Données projet'!$B$15,Paramètres!$A$1:$I$89,3,0)*0.475*44/12</f>
        <v>3.3530933034129268E-23</v>
      </c>
      <c r="EY191" s="22">
        <f t="shared" si="181"/>
        <v>0.3369364772495852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4.5474735088646412E-13</v>
      </c>
      <c r="FF191" s="17">
        <f>FE191*VLOOKUP('Données projet'!$B$16,Paramètres!$A$1:$I$89,3,0)*VLOOKUP('Données projet'!$B$16,Paramètres!$A$1:$I$89,5,0)</f>
        <v>4.8949004849418999E-13</v>
      </c>
      <c r="FG191" s="13">
        <f t="shared" si="182"/>
        <v>6.1123715499968684E-12</v>
      </c>
      <c r="FH191" s="20">
        <f t="shared" si="183"/>
        <v>1.1498242284038591E-11</v>
      </c>
      <c r="FI191" s="59">
        <f t="shared" si="131"/>
        <v>293.3333333333448</v>
      </c>
      <c r="FJ191" s="59">
        <f ca="1">AVERAGE(OFFSET($FI$3,0,0,'Données projet'!$E$16+1,1))-AVERAGE(OFFSET($H$3,0,0,'Données projet'!$E$16+1,1))</f>
        <v>286.77702855541287</v>
      </c>
      <c r="FK191" s="59">
        <f t="shared" si="156"/>
        <v>227.12211541860779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0</v>
      </c>
      <c r="FR191" s="21">
        <f>EXP(-LN(2)/25)*FR190+(1-EXP(-LN(2)/25))/(LN(2)/25)*Calculateur!FM191*Calculateur!FO191*VLOOKUP('Données projet'!$B$16,Paramètres!$A$1:$I$89,3,0)*0.475*44/12</f>
        <v>0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0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5.6843418860808015E-13</v>
      </c>
      <c r="GA191" s="17">
        <f>FZ191*VLOOKUP('Données projet'!$B$17,Paramètres!$A$1:$I$89,3,0)*VLOOKUP('Données projet'!$B$17,Paramètres!$A$1:$I$89,5,0)</f>
        <v>2.6602720026858149E-13</v>
      </c>
      <c r="GB191" s="13">
        <f t="shared" si="185"/>
        <v>3.5662905043956649E-12</v>
      </c>
      <c r="GC191" s="20">
        <f t="shared" si="186"/>
        <v>6.6746200022902298E-12</v>
      </c>
      <c r="GD191" s="59">
        <f t="shared" si="134"/>
        <v>293.33333333333997</v>
      </c>
      <c r="GE191" s="59">
        <f ca="1">AVERAGE(OFFSET($GD$3,0,0,'Données projet'!$E$17+1,1))-AVERAGE(OFFSET($H$3,0,0,'Données projet'!$E$17+1,1))</f>
        <v>123.2823358462245</v>
      </c>
      <c r="GF191" s="59">
        <f t="shared" si="158"/>
        <v>92.75115399786057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0</v>
      </c>
      <c r="GM191" s="21">
        <f>EXP(-LN(2)/25)*GM190+(1-EXP(-LN(2)/25))/(LN(2)/25)*Calculateur!GH191*Calculateur!GJ191*VLOOKUP('Données projet'!$B$17,Paramètres!$A$1:$I$89,3,0)*0.475*44/12</f>
        <v>0</v>
      </c>
      <c r="GN191" s="21">
        <f>EXP(-LN(2)/2)*GN190+(1-EXP(-LN(2)/2))/(LN(2)/2)*GH191*GK191*VLOOKUP('Données projet'!$B$17,Paramètres!$A$1:$I$89,3,0)*0.475*44/12</f>
        <v>0</v>
      </c>
      <c r="GO191" s="21">
        <f t="shared" si="187"/>
        <v>0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-2.8421709430404007E-13</v>
      </c>
      <c r="GV191" s="17">
        <f>GU191*VLOOKUP('Données projet'!$B$18,Paramètres!$A$1:$I$89,3,0)*VLOOKUP('Données projet'!$B$18,Paramètres!$A$1:$I$89,5,0)</f>
        <v>-1.69961822393816E-13</v>
      </c>
      <c r="GW191" s="13" t="e">
        <f t="shared" si="188"/>
        <v>#NUM!</v>
      </c>
      <c r="GX191" s="20" t="e">
        <f t="shared" si="189"/>
        <v>#NUM!</v>
      </c>
      <c r="GY191" s="59" t="e">
        <f t="shared" si="137"/>
        <v>#NUM!</v>
      </c>
      <c r="GZ191" s="59">
        <f ca="1">AVERAGE(OFFSET($GY$3,0,0,'Données projet'!$E$18+1,1))-AVERAGE(OFFSET($H$3,0,0,'Données projet'!$E$18+1,1))</f>
        <v>171.96009656745713</v>
      </c>
      <c r="HA191" s="59">
        <f t="shared" si="160"/>
        <v>172.37574906747716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>
        <f>EXP(-LN(2)/35)*HG190+(1-EXP(-LN(2)/35))/(LN(2)/35)*HC191*HD191*VLOOKUP('Données projet'!$B$18,Paramètres!$A$1:$I$89,3,0)*0.475*44/12</f>
        <v>7.2991761570682462E-2</v>
      </c>
      <c r="HH191" s="21">
        <f>EXP(-LN(2)/25)*HH190+(1-EXP(-LN(2)/25))/(LN(2)/25)*Calculateur!HC191*Calculateur!HE191*VLOOKUP('Données projet'!$B$18,Paramètres!$A$1:$I$89,3,0)*0.475*44/12</f>
        <v>0.25730577904083085</v>
      </c>
      <c r="HI191" s="21">
        <f>EXP(-LN(2)/2)*HI190+(1-EXP(-LN(2)/2))/(LN(2)/2)*HC191*HF191*VLOOKUP('Données projet'!$B$18,Paramètres!$A$1:$I$89,3,0)*0.475*44/12</f>
        <v>1.9926154416266255E-23</v>
      </c>
      <c r="HJ191" s="22">
        <f t="shared" si="190"/>
        <v>0.33029754061151329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-2.2737367544323206E-13</v>
      </c>
      <c r="O192" s="13">
        <f>N192*VLOOKUP('Données projet'!$B$9,Paramètres!$A$1:$I$89,3,0)*VLOOKUP('Données projet'!$B$9,Paramètres!$A$1:$I$89,5,0)</f>
        <v>-1.2710188457276673E-13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255.5374979188561</v>
      </c>
      <c r="T192" s="59">
        <f t="shared" si="142"/>
        <v>343.10418468620901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0.13256471860725044</v>
      </c>
      <c r="AA192" s="21">
        <f>EXP(-LN(2)/25)*AA191+(1-EXP(-LN(2)/25))/(LN(2)/25)*Calculateur!V192*Calculateur!X192*VLOOKUP('Données projet'!$B$9,Paramètres!$A$1:$I$89,3,0)*0.475*44/12</f>
        <v>0.19430732182043689</v>
      </c>
      <c r="AB192" s="21">
        <f>EXP(-LN(2)/2)*AB191+(1-EXP(-LN(2)/2))/(LN(2)/2)*V192*Y192*VLOOKUP('Données projet'!$B$9,Paramètres!$A$1:$I$89,3,0)*0.475*44/12</f>
        <v>1.9800813981341117E-24</v>
      </c>
      <c r="AC192" s="22">
        <f t="shared" si="163"/>
        <v>0.32687204042768736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3.4106051316484809E-13</v>
      </c>
      <c r="AJ192" s="13">
        <f>AI192*VLOOKUP('Données projet'!$B$10,Paramètres!$A$1:$I$89,3,0)*VLOOKUP('Données projet'!$B$10,Paramètres!$A$1:$I$89,5,0)</f>
        <v>1.5961632016114892E-13</v>
      </c>
      <c r="AK192" s="13">
        <f t="shared" si="164"/>
        <v>2.2708641912150958E-12</v>
      </c>
      <c r="AL192" s="20">
        <f t="shared" si="165"/>
        <v>4.2330868906469593E-12</v>
      </c>
      <c r="AM192" s="59">
        <f t="shared" si="113"/>
        <v>293.33333333333752</v>
      </c>
      <c r="AN192" s="59">
        <f ca="1">AVERAGE(OFFSET($AM$3,0,0,'Données projet'!$E$10+1,1))-AVERAGE(OFFSET($H$3,0,0,'Données projet'!$E$10+1,1))</f>
        <v>158.58786357608489</v>
      </c>
      <c r="AO192" s="59">
        <f t="shared" si="144"/>
        <v>163.20074068819849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0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-1.7053025658242404E-13</v>
      </c>
      <c r="BE192" s="13">
        <f>BD192*VLOOKUP('Données projet'!$B$11,Paramètres!$A$1:$I$89,3,0)*VLOOKUP('Données projet'!$B$11,Paramètres!$A$1:$I$89,5,0)</f>
        <v>-1.0197709343628959E-13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243.85350804244348</v>
      </c>
      <c r="BJ192" s="59">
        <f t="shared" si="146"/>
        <v>304.60992308960545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0.19416125048692073</v>
      </c>
      <c r="BQ192" s="21">
        <f>EXP(-LN(2)/25)*BQ191+(1-EXP(-LN(2)/25))/(LN(2)/25)*Calculateur!BL192*Calculateur!BN192*VLOOKUP('Données projet'!$B$11,Paramètres!$A$1:$I$89,3,0)*0.475*44/12</f>
        <v>0.21583955478954672</v>
      </c>
      <c r="BR192" s="21">
        <f>EXP(-LN(2)/2)*BR191+(1-EXP(-LN(2)/2))/(LN(2)/2)*BL192*BO192*VLOOKUP('Données projet'!$B$11,Paramètres!$A$1:$I$89,3,0)*0.475*44/12</f>
        <v>4.3730149264044566E-24</v>
      </c>
      <c r="BS192" s="22">
        <f t="shared" si="169"/>
        <v>0.41000080527646743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497</v>
      </c>
      <c r="BZ192" s="13">
        <f>BY192*VLOOKUP('Données projet'!$B$12,Paramètres!$A$1:$I$89,3,0)*VLOOKUP('Données projet'!$B$12,Paramètres!$A$1:$I$89,5,0)</f>
        <v>297.20600000000002</v>
      </c>
      <c r="CA192" s="13">
        <f t="shared" si="170"/>
        <v>70.590415164571112</v>
      </c>
      <c r="CB192" s="20">
        <f t="shared" si="171"/>
        <v>640.57875641162809</v>
      </c>
      <c r="CC192" s="59">
        <f t="shared" si="119"/>
        <v>933.91208974496135</v>
      </c>
      <c r="CD192" s="59">
        <f ca="1">AVERAGE(OFFSET($CC$3,0,0,'Données projet'!$E$12+1,1))-AVERAGE(OFFSET($H$3,0,0,'Données projet'!$E$12+1,1))</f>
        <v>270.30888762640245</v>
      </c>
      <c r="CE192" s="59">
        <f t="shared" si="148"/>
        <v>202.23783851977691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9.1887627542176067E-2</v>
      </c>
      <c r="CL192" s="21">
        <f>EXP(-LN(2)/25)*CL191+(1-EXP(-LN(2)/25))/(LN(2)/25)*Calculateur!CG192*Calculateur!CI192*VLOOKUP('Données projet'!$B$12,Paramètres!$A$1:$I$89,3,0)*0.475*44/12</f>
        <v>0.14968735480253603</v>
      </c>
      <c r="CM192" s="21">
        <f>EXP(-LN(2)/2)*CM191+(1-EXP(-LN(2)/2))/(LN(2)/2)*CG192*CJ192*VLOOKUP('Données projet'!$B$12,Paramètres!$A$1:$I$89,3,0)*0.475*44/12</f>
        <v>2.1632839205112851E-23</v>
      </c>
      <c r="CN192" s="22">
        <f t="shared" si="172"/>
        <v>0.24157498234471209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-5.1159076974727213E-13</v>
      </c>
      <c r="CU192" s="17">
        <f>CT192*VLOOKUP('Données projet'!$B$13,Paramètres!$A$1:$I$89,3,0)*VLOOKUP('Données projet'!$B$13,Paramètres!$A$1:$I$89,5,0)</f>
        <v>-4.0702161641092972E-13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260.20517190557814</v>
      </c>
      <c r="CZ192" s="59">
        <f t="shared" si="150"/>
        <v>307.22009971147133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0.13998436398756156</v>
      </c>
      <c r="DG192" s="21">
        <f>EXP(-LN(2)/25)*DG191+(1-EXP(-LN(2)/25))/(LN(2)/25)*Calculateur!DB192*Calculateur!DD192*VLOOKUP('Données projet'!$B$13,Paramètres!$A$1:$I$89,3,0)*0.475*44/12</f>
        <v>0.24981480674792034</v>
      </c>
      <c r="DH192" s="21">
        <f>EXP(-LN(2)/2)*DH191+(1-EXP(-LN(2)/2))/(LN(2)/2)*DB192*DE192*VLOOKUP('Données projet'!$B$13,Paramètres!$A$1:$I$89,3,0)*0.475*44/12</f>
        <v>2.8121103640120605E-23</v>
      </c>
      <c r="DI192" s="22">
        <f t="shared" si="175"/>
        <v>0.38979917073548187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4.5474735088646412E-13</v>
      </c>
      <c r="DP192" s="17">
        <f>DO192*VLOOKUP('Données projet'!$B$14,Paramètres!$A$1:$I$89,3,0)*VLOOKUP('Données projet'!$B$14,Paramètres!$A$1:$I$89,5,0)</f>
        <v>4.6111381379887462E-13</v>
      </c>
      <c r="DQ192" s="13">
        <f t="shared" si="176"/>
        <v>5.7981965206434308E-12</v>
      </c>
      <c r="DR192" s="20">
        <f t="shared" si="177"/>
        <v>1.0901632165820347E-11</v>
      </c>
      <c r="DS192" s="59">
        <f t="shared" si="125"/>
        <v>293.33333333334423</v>
      </c>
      <c r="DT192" s="59">
        <f ca="1">AVERAGE(OFFSET($DS$3,0,0,'Données projet'!$E$14+1,1))-AVERAGE(OFFSET($H$3,0,0,'Données projet'!$E$14+1,1))</f>
        <v>263.15518481854753</v>
      </c>
      <c r="DU192" s="59">
        <f t="shared" si="152"/>
        <v>210.80755370263819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0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-5.1159076974727213E-13</v>
      </c>
      <c r="EK192" s="17">
        <f>EJ192*VLOOKUP('Données projet'!$B$15,Paramètres!$A$1:$I$89,3,0)*VLOOKUP('Données projet'!$B$15,Paramètres!$A$1:$I$89,5,0)</f>
        <v>-3.4317508834647017E-13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207.93042467236967</v>
      </c>
      <c r="EP192" s="59">
        <f t="shared" si="154"/>
        <v>250.70954318710835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0.11802603238166946</v>
      </c>
      <c r="EW192" s="21">
        <f>EXP(-LN(2)/25)*EW191+(1-EXP(-LN(2)/25))/(LN(2)/25)*Calculateur!ER192*Calculateur!ET192*VLOOKUP('Données projet'!$B$15,Paramètres!$A$1:$I$89,3,0)*0.475*44/12</f>
        <v>0.21062817039530574</v>
      </c>
      <c r="EX192" s="21">
        <f>EXP(-LN(2)/2)*EX191+(1-EXP(-LN(2)/2))/(LN(2)/2)*ER192*EU192*VLOOKUP('Données projet'!$B$15,Paramètres!$A$1:$I$89,3,0)*0.475*44/12</f>
        <v>2.3709950127944823E-23</v>
      </c>
      <c r="EY192" s="22">
        <f t="shared" si="181"/>
        <v>0.32865420277697521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4.5474735088646412E-13</v>
      </c>
      <c r="FF192" s="17">
        <f>FE192*VLOOKUP('Données projet'!$B$16,Paramètres!$A$1:$I$89,3,0)*VLOOKUP('Données projet'!$B$16,Paramètres!$A$1:$I$89,5,0)</f>
        <v>4.8949004849418999E-13</v>
      </c>
      <c r="FG192" s="13">
        <f t="shared" si="182"/>
        <v>6.1123715499968684E-12</v>
      </c>
      <c r="FH192" s="20">
        <f t="shared" si="183"/>
        <v>1.1498242284038591E-11</v>
      </c>
      <c r="FI192" s="59">
        <f t="shared" si="131"/>
        <v>293.3333333333448</v>
      </c>
      <c r="FJ192" s="59">
        <f ca="1">AVERAGE(OFFSET($FI$3,0,0,'Données projet'!$E$16+1,1))-AVERAGE(OFFSET($H$3,0,0,'Données projet'!$E$16+1,1))</f>
        <v>286.77702855541287</v>
      </c>
      <c r="FK192" s="59">
        <f t="shared" si="156"/>
        <v>227.12211541860779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0</v>
      </c>
      <c r="FR192" s="21">
        <f>EXP(-LN(2)/25)*FR191+(1-EXP(-LN(2)/25))/(LN(2)/25)*Calculateur!FM192*Calculateur!FO192*VLOOKUP('Données projet'!$B$16,Paramètres!$A$1:$I$89,3,0)*0.475*44/12</f>
        <v>0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0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5.6843418860808015E-13</v>
      </c>
      <c r="GA192" s="17">
        <f>FZ192*VLOOKUP('Données projet'!$B$17,Paramètres!$A$1:$I$89,3,0)*VLOOKUP('Données projet'!$B$17,Paramètres!$A$1:$I$89,5,0)</f>
        <v>2.6602720026858149E-13</v>
      </c>
      <c r="GB192" s="13">
        <f t="shared" si="185"/>
        <v>3.5662905043956649E-12</v>
      </c>
      <c r="GC192" s="20">
        <f t="shared" si="186"/>
        <v>6.6746200022902298E-12</v>
      </c>
      <c r="GD192" s="59">
        <f t="shared" si="134"/>
        <v>293.33333333333997</v>
      </c>
      <c r="GE192" s="59">
        <f ca="1">AVERAGE(OFFSET($GD$3,0,0,'Données projet'!$E$17+1,1))-AVERAGE(OFFSET($H$3,0,0,'Données projet'!$E$17+1,1))</f>
        <v>123.2823358462245</v>
      </c>
      <c r="GF192" s="59">
        <f t="shared" si="158"/>
        <v>92.75115399786057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0</v>
      </c>
      <c r="GM192" s="21">
        <f>EXP(-LN(2)/25)*GM191+(1-EXP(-LN(2)/25))/(LN(2)/25)*Calculateur!GH192*Calculateur!GJ192*VLOOKUP('Données projet'!$B$17,Paramètres!$A$1:$I$89,3,0)*0.475*44/12</f>
        <v>0</v>
      </c>
      <c r="GN192" s="21">
        <f>EXP(-LN(2)/2)*GN191+(1-EXP(-LN(2)/2))/(LN(2)/2)*GH192*GK192*VLOOKUP('Données projet'!$B$17,Paramètres!$A$1:$I$89,3,0)*0.475*44/12</f>
        <v>0</v>
      </c>
      <c r="GO192" s="21">
        <f t="shared" si="187"/>
        <v>0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-2.8421709430404007E-13</v>
      </c>
      <c r="GV192" s="17">
        <f>GU192*VLOOKUP('Données projet'!$B$18,Paramètres!$A$1:$I$89,3,0)*VLOOKUP('Données projet'!$B$18,Paramètres!$A$1:$I$89,5,0)</f>
        <v>-1.69961822393816E-13</v>
      </c>
      <c r="GW192" s="13" t="e">
        <f t="shared" si="188"/>
        <v>#NUM!</v>
      </c>
      <c r="GX192" s="20" t="e">
        <f t="shared" si="189"/>
        <v>#NUM!</v>
      </c>
      <c r="GY192" s="59" t="e">
        <f t="shared" si="137"/>
        <v>#NUM!</v>
      </c>
      <c r="GZ192" s="59">
        <f ca="1">AVERAGE(OFFSET($GY$3,0,0,'Données projet'!$E$18+1,1))-AVERAGE(OFFSET($H$3,0,0,'Données projet'!$E$18+1,1))</f>
        <v>171.96009656745713</v>
      </c>
      <c r="HA192" s="59">
        <f t="shared" si="160"/>
        <v>172.37574906747716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>
        <f>EXP(-LN(2)/35)*HG191+(1-EXP(-LN(2)/35))/(LN(2)/35)*HC192*HD192*VLOOKUP('Données projet'!$B$18,Paramètres!$A$1:$I$89,3,0)*0.475*44/12</f>
        <v>7.156043764685989E-2</v>
      </c>
      <c r="HH192" s="21">
        <f>EXP(-LN(2)/25)*HH191+(1-EXP(-LN(2)/25))/(LN(2)/25)*Calculateur!HC192*Calculateur!HE192*VLOOKUP('Données projet'!$B$18,Paramètres!$A$1:$I$89,3,0)*0.475*44/12</f>
        <v>0.25026973898183646</v>
      </c>
      <c r="HI192" s="21">
        <f>EXP(-LN(2)/2)*HI191+(1-EXP(-LN(2)/2))/(LN(2)/2)*HC192*HF192*VLOOKUP('Données projet'!$B$18,Paramètres!$A$1:$I$89,3,0)*0.475*44/12</f>
        <v>1.408991891071214E-23</v>
      </c>
      <c r="HJ192" s="22">
        <f t="shared" si="190"/>
        <v>0.32183017662869634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-2.2737367544323206E-13</v>
      </c>
      <c r="O193" s="13">
        <f>N193*VLOOKUP('Données projet'!$B$9,Paramètres!$A$1:$I$89,3,0)*VLOOKUP('Données projet'!$B$9,Paramètres!$A$1:$I$89,5,0)</f>
        <v>-1.2710188457276673E-13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255.5374979188561</v>
      </c>
      <c r="T193" s="59">
        <f t="shared" si="142"/>
        <v>343.10418468620901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0.12996520533185671</v>
      </c>
      <c r="AA193" s="21">
        <f>EXP(-LN(2)/25)*AA192+(1-EXP(-LN(2)/25))/(LN(2)/25)*Calculateur!V193*Calculateur!X193*VLOOKUP('Données projet'!$B$9,Paramètres!$A$1:$I$89,3,0)*0.475*44/12</f>
        <v>0.18899397788707908</v>
      </c>
      <c r="AB193" s="21">
        <f>EXP(-LN(2)/2)*AB192+(1-EXP(-LN(2)/2))/(LN(2)/2)*V193*Y193*VLOOKUP('Données projet'!$B$9,Paramètres!$A$1:$I$89,3,0)*0.475*44/12</f>
        <v>1.4001289839219704E-24</v>
      </c>
      <c r="AC193" s="22">
        <f t="shared" si="163"/>
        <v>0.31895918321893579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3.4106051316484809E-13</v>
      </c>
      <c r="AJ193" s="13">
        <f>AI193*VLOOKUP('Données projet'!$B$10,Paramètres!$A$1:$I$89,3,0)*VLOOKUP('Données projet'!$B$10,Paramètres!$A$1:$I$89,5,0)</f>
        <v>1.5961632016114892E-13</v>
      </c>
      <c r="AK193" s="13">
        <f t="shared" si="164"/>
        <v>2.2708641912150958E-12</v>
      </c>
      <c r="AL193" s="20">
        <f t="shared" si="165"/>
        <v>4.2330868906469593E-12</v>
      </c>
      <c r="AM193" s="59">
        <f t="shared" si="113"/>
        <v>293.33333333333752</v>
      </c>
      <c r="AN193" s="59">
        <f ca="1">AVERAGE(OFFSET($AM$3,0,0,'Données projet'!$E$10+1,1))-AVERAGE(OFFSET($H$3,0,0,'Données projet'!$E$10+1,1))</f>
        <v>158.58786357608489</v>
      </c>
      <c r="AO193" s="59">
        <f t="shared" si="144"/>
        <v>163.20074068819849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0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-1.7053025658242404E-13</v>
      </c>
      <c r="BE193" s="13">
        <f>BD193*VLOOKUP('Données projet'!$B$11,Paramètres!$A$1:$I$89,3,0)*VLOOKUP('Données projet'!$B$11,Paramètres!$A$1:$I$89,5,0)</f>
        <v>-1.0197709343628959E-13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243.85350804244348</v>
      </c>
      <c r="BJ193" s="59">
        <f t="shared" si="146"/>
        <v>304.60992308960545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0.19035386679154134</v>
      </c>
      <c r="BQ193" s="21">
        <f>EXP(-LN(2)/25)*BQ192+(1-EXP(-LN(2)/25))/(LN(2)/25)*Calculateur!BL193*Calculateur!BN193*VLOOKUP('Données projet'!$B$11,Paramètres!$A$1:$I$89,3,0)*0.475*44/12</f>
        <v>0.20993741081331768</v>
      </c>
      <c r="BR193" s="21">
        <f>EXP(-LN(2)/2)*BR192+(1-EXP(-LN(2)/2))/(LN(2)/2)*BL193*BO193*VLOOKUP('Données projet'!$B$11,Paramètres!$A$1:$I$89,3,0)*0.475*44/12</f>
        <v>3.0921885086905823E-24</v>
      </c>
      <c r="BS193" s="22">
        <f t="shared" si="169"/>
        <v>0.40029127760485905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497</v>
      </c>
      <c r="BZ193" s="13">
        <f>BY193*VLOOKUP('Données projet'!$B$12,Paramètres!$A$1:$I$89,3,0)*VLOOKUP('Données projet'!$B$12,Paramètres!$A$1:$I$89,5,0)</f>
        <v>297.20600000000002</v>
      </c>
      <c r="CA193" s="13">
        <f t="shared" si="170"/>
        <v>70.590415164571112</v>
      </c>
      <c r="CB193" s="20">
        <f t="shared" si="171"/>
        <v>640.57875641162809</v>
      </c>
      <c r="CC193" s="59">
        <f t="shared" si="119"/>
        <v>933.91208974496135</v>
      </c>
      <c r="CD193" s="59">
        <f ca="1">AVERAGE(OFFSET($CC$3,0,0,'Données projet'!$E$12+1,1))-AVERAGE(OFFSET($H$3,0,0,'Données projet'!$E$12+1,1))</f>
        <v>270.30888762640245</v>
      </c>
      <c r="CE193" s="59">
        <f t="shared" si="148"/>
        <v>202.23783851977691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9.0085767211992726E-2</v>
      </c>
      <c r="CL193" s="21">
        <f>EXP(-LN(2)/25)*CL192+(1-EXP(-LN(2)/25))/(LN(2)/25)*Calculateur!CG193*Calculateur!CI193*VLOOKUP('Données projet'!$B$12,Paramètres!$A$1:$I$89,3,0)*0.475*44/12</f>
        <v>0.14559414621374481</v>
      </c>
      <c r="CM193" s="21">
        <f>EXP(-LN(2)/2)*CM192+(1-EXP(-LN(2)/2))/(LN(2)/2)*CG193*CJ193*VLOOKUP('Données projet'!$B$12,Paramètres!$A$1:$I$89,3,0)*0.475*44/12</f>
        <v>1.5296727298253499E-23</v>
      </c>
      <c r="CN193" s="22">
        <f t="shared" si="172"/>
        <v>0.23567991342573752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-5.1159076974727213E-13</v>
      </c>
      <c r="CU193" s="17">
        <f>CT193*VLOOKUP('Données projet'!$B$13,Paramètres!$A$1:$I$89,3,0)*VLOOKUP('Données projet'!$B$13,Paramètres!$A$1:$I$89,5,0)</f>
        <v>-4.0702161641092972E-13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260.20517190557814</v>
      </c>
      <c r="CZ193" s="59">
        <f t="shared" si="150"/>
        <v>307.22009971147133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0.13723935599179674</v>
      </c>
      <c r="DG193" s="21">
        <f>EXP(-LN(2)/25)*DG192+(1-EXP(-LN(2)/25))/(LN(2)/25)*Calculateur!DB193*Calculateur!DD193*VLOOKUP('Données projet'!$B$13,Paramètres!$A$1:$I$89,3,0)*0.475*44/12</f>
        <v>0.24298360772020872</v>
      </c>
      <c r="DH193" s="21">
        <f>EXP(-LN(2)/2)*DH192+(1-EXP(-LN(2)/2))/(LN(2)/2)*DB193*DE193*VLOOKUP('Données projet'!$B$13,Paramètres!$A$1:$I$89,3,0)*0.475*44/12</f>
        <v>1.9884623078378986E-23</v>
      </c>
      <c r="DI193" s="22">
        <f t="shared" si="175"/>
        <v>0.38022296371200548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4.5474735088646412E-13</v>
      </c>
      <c r="DP193" s="17">
        <f>DO193*VLOOKUP('Données projet'!$B$14,Paramètres!$A$1:$I$89,3,0)*VLOOKUP('Données projet'!$B$14,Paramètres!$A$1:$I$89,5,0)</f>
        <v>4.6111381379887462E-13</v>
      </c>
      <c r="DQ193" s="13">
        <f t="shared" si="176"/>
        <v>5.7981965206434308E-12</v>
      </c>
      <c r="DR193" s="20">
        <f t="shared" si="177"/>
        <v>1.0901632165820347E-11</v>
      </c>
      <c r="DS193" s="59">
        <f t="shared" si="125"/>
        <v>293.33333333334423</v>
      </c>
      <c r="DT193" s="59">
        <f ca="1">AVERAGE(OFFSET($DS$3,0,0,'Données projet'!$E$14+1,1))-AVERAGE(OFFSET($H$3,0,0,'Données projet'!$E$14+1,1))</f>
        <v>263.15518481854753</v>
      </c>
      <c r="DU193" s="59">
        <f t="shared" si="152"/>
        <v>210.80755370263819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0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-5.1159076974727213E-13</v>
      </c>
      <c r="EK193" s="17">
        <f>EJ193*VLOOKUP('Données projet'!$B$15,Paramètres!$A$1:$I$89,3,0)*VLOOKUP('Données projet'!$B$15,Paramètres!$A$1:$I$89,5,0)</f>
        <v>-3.4317508834647017E-13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207.93042467236967</v>
      </c>
      <c r="EP193" s="59">
        <f t="shared" si="154"/>
        <v>250.70954318710835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0.11571161387543638</v>
      </c>
      <c r="EW193" s="21">
        <f>EXP(-LN(2)/25)*EW192+(1-EXP(-LN(2)/25))/(LN(2)/25)*Calculateur!ER193*Calculateur!ET193*VLOOKUP('Données projet'!$B$15,Paramètres!$A$1:$I$89,3,0)*0.475*44/12</f>
        <v>0.20486853199939201</v>
      </c>
      <c r="EX193" s="21">
        <f>EXP(-LN(2)/2)*EX192+(1-EXP(-LN(2)/2))/(LN(2)/2)*ER193*EU193*VLOOKUP('Données projet'!$B$15,Paramètres!$A$1:$I$89,3,0)*0.475*44/12</f>
        <v>1.6765466517064634E-23</v>
      </c>
      <c r="EY193" s="22">
        <f t="shared" si="181"/>
        <v>0.32058014587482841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4.5474735088646412E-13</v>
      </c>
      <c r="FF193" s="17">
        <f>FE193*VLOOKUP('Données projet'!$B$16,Paramètres!$A$1:$I$89,3,0)*VLOOKUP('Données projet'!$B$16,Paramètres!$A$1:$I$89,5,0)</f>
        <v>4.8949004849418999E-13</v>
      </c>
      <c r="FG193" s="13">
        <f t="shared" si="182"/>
        <v>6.1123715499968684E-12</v>
      </c>
      <c r="FH193" s="20">
        <f t="shared" si="183"/>
        <v>1.1498242284038591E-11</v>
      </c>
      <c r="FI193" s="59">
        <f t="shared" si="131"/>
        <v>293.3333333333448</v>
      </c>
      <c r="FJ193" s="59">
        <f ca="1">AVERAGE(OFFSET($FI$3,0,0,'Données projet'!$E$16+1,1))-AVERAGE(OFFSET($H$3,0,0,'Données projet'!$E$16+1,1))</f>
        <v>286.77702855541287</v>
      </c>
      <c r="FK193" s="59">
        <f t="shared" si="156"/>
        <v>227.12211541860779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0</v>
      </c>
      <c r="FR193" s="21">
        <f>EXP(-LN(2)/25)*FR192+(1-EXP(-LN(2)/25))/(LN(2)/25)*Calculateur!FM193*Calculateur!FO193*VLOOKUP('Données projet'!$B$16,Paramètres!$A$1:$I$89,3,0)*0.475*44/12</f>
        <v>0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0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5.6843418860808015E-13</v>
      </c>
      <c r="GA193" s="17">
        <f>FZ193*VLOOKUP('Données projet'!$B$17,Paramètres!$A$1:$I$89,3,0)*VLOOKUP('Données projet'!$B$17,Paramètres!$A$1:$I$89,5,0)</f>
        <v>2.6602720026858149E-13</v>
      </c>
      <c r="GB193" s="13">
        <f t="shared" si="185"/>
        <v>3.5662905043956649E-12</v>
      </c>
      <c r="GC193" s="20">
        <f t="shared" si="186"/>
        <v>6.6746200022902298E-12</v>
      </c>
      <c r="GD193" s="59">
        <f t="shared" si="134"/>
        <v>293.33333333333997</v>
      </c>
      <c r="GE193" s="59">
        <f ca="1">AVERAGE(OFFSET($GD$3,0,0,'Données projet'!$E$17+1,1))-AVERAGE(OFFSET($H$3,0,0,'Données projet'!$E$17+1,1))</f>
        <v>123.2823358462245</v>
      </c>
      <c r="GF193" s="59">
        <f t="shared" si="158"/>
        <v>92.75115399786057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0</v>
      </c>
      <c r="GM193" s="21">
        <f>EXP(-LN(2)/25)*GM192+(1-EXP(-LN(2)/25))/(LN(2)/25)*Calculateur!GH193*Calculateur!GJ193*VLOOKUP('Données projet'!$B$17,Paramètres!$A$1:$I$89,3,0)*0.475*44/12</f>
        <v>0</v>
      </c>
      <c r="GN193" s="21">
        <f>EXP(-LN(2)/2)*GN192+(1-EXP(-LN(2)/2))/(LN(2)/2)*GH193*GK193*VLOOKUP('Données projet'!$B$17,Paramètres!$A$1:$I$89,3,0)*0.475*44/12</f>
        <v>0</v>
      </c>
      <c r="GO193" s="21">
        <f t="shared" si="187"/>
        <v>0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-2.8421709430404007E-13</v>
      </c>
      <c r="GV193" s="17">
        <f>GU193*VLOOKUP('Données projet'!$B$18,Paramètres!$A$1:$I$89,3,0)*VLOOKUP('Données projet'!$B$18,Paramètres!$A$1:$I$89,5,0)</f>
        <v>-1.69961822393816E-13</v>
      </c>
      <c r="GW193" s="13" t="e">
        <f t="shared" si="188"/>
        <v>#NUM!</v>
      </c>
      <c r="GX193" s="20" t="e">
        <f t="shared" si="189"/>
        <v>#NUM!</v>
      </c>
      <c r="GY193" s="59" t="e">
        <f t="shared" si="137"/>
        <v>#NUM!</v>
      </c>
      <c r="GZ193" s="59">
        <f ca="1">AVERAGE(OFFSET($GY$3,0,0,'Données projet'!$E$18+1,1))-AVERAGE(OFFSET($H$3,0,0,'Données projet'!$E$18+1,1))</f>
        <v>171.96009656745713</v>
      </c>
      <c r="HA193" s="59">
        <f t="shared" si="160"/>
        <v>172.37574906747716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>
        <f>EXP(-LN(2)/35)*HG192+(1-EXP(-LN(2)/35))/(LN(2)/35)*HC193*HD193*VLOOKUP('Données projet'!$B$18,Paramètres!$A$1:$I$89,3,0)*0.475*44/12</f>
        <v>7.0157181112162098E-2</v>
      </c>
      <c r="HH193" s="21">
        <f>EXP(-LN(2)/25)*HH192+(1-EXP(-LN(2)/25))/(LN(2)/25)*Calculateur!HC193*Calculateur!HE193*VLOOKUP('Données projet'!$B$18,Paramètres!$A$1:$I$89,3,0)*0.475*44/12</f>
        <v>0.24342609980826457</v>
      </c>
      <c r="HI193" s="21">
        <f>EXP(-LN(2)/2)*HI192+(1-EXP(-LN(2)/2))/(LN(2)/2)*HC193*HF193*VLOOKUP('Données projet'!$B$18,Paramètres!$A$1:$I$89,3,0)*0.475*44/12</f>
        <v>9.9630772081331273E-24</v>
      </c>
      <c r="HJ193" s="22">
        <f t="shared" si="190"/>
        <v>0.31358328092042664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-2.2737367544323206E-13</v>
      </c>
      <c r="O194" s="13">
        <f>N194*VLOOKUP('Données projet'!$B$9,Paramètres!$A$1:$I$89,3,0)*VLOOKUP('Données projet'!$B$9,Paramètres!$A$1:$I$89,5,0)</f>
        <v>-1.2710188457276673E-13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255.5374979188561</v>
      </c>
      <c r="T194" s="59">
        <f t="shared" si="142"/>
        <v>343.10418468620901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0.1274166669262469</v>
      </c>
      <c r="AA194" s="21">
        <f>EXP(-LN(2)/25)*AA193+(1-EXP(-LN(2)/25))/(LN(2)/25)*Calculateur!V194*Calculateur!X194*VLOOKUP('Données projet'!$B$9,Paramètres!$A$1:$I$89,3,0)*0.475*44/12</f>
        <v>0.18382592762299557</v>
      </c>
      <c r="AB194" s="21">
        <f>EXP(-LN(2)/2)*AB193+(1-EXP(-LN(2)/2))/(LN(2)/2)*V194*Y194*VLOOKUP('Données projet'!$B$9,Paramètres!$A$1:$I$89,3,0)*0.475*44/12</f>
        <v>9.9004069906705584E-25</v>
      </c>
      <c r="AC194" s="22">
        <f t="shared" si="163"/>
        <v>0.31124259454924247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3.4106051316484809E-13</v>
      </c>
      <c r="AJ194" s="13">
        <f>AI194*VLOOKUP('Données projet'!$B$10,Paramètres!$A$1:$I$89,3,0)*VLOOKUP('Données projet'!$B$10,Paramètres!$A$1:$I$89,5,0)</f>
        <v>1.5961632016114892E-13</v>
      </c>
      <c r="AK194" s="13">
        <f t="shared" si="164"/>
        <v>2.2708641912150958E-12</v>
      </c>
      <c r="AL194" s="20">
        <f t="shared" si="165"/>
        <v>4.2330868906469593E-12</v>
      </c>
      <c r="AM194" s="59">
        <f t="shared" si="113"/>
        <v>293.33333333333752</v>
      </c>
      <c r="AN194" s="59">
        <f ca="1">AVERAGE(OFFSET($AM$3,0,0,'Données projet'!$E$10+1,1))-AVERAGE(OFFSET($H$3,0,0,'Données projet'!$E$10+1,1))</f>
        <v>158.58786357608489</v>
      </c>
      <c r="AO194" s="59">
        <f t="shared" si="144"/>
        <v>163.20074068819849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0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-1.7053025658242404E-13</v>
      </c>
      <c r="BE194" s="13">
        <f>BD194*VLOOKUP('Données projet'!$B$11,Paramètres!$A$1:$I$89,3,0)*VLOOKUP('Données projet'!$B$11,Paramètres!$A$1:$I$89,5,0)</f>
        <v>-1.0197709343628959E-13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243.85350804244348</v>
      </c>
      <c r="BJ194" s="59">
        <f t="shared" si="146"/>
        <v>304.60992308960545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0.1866211435681536</v>
      </c>
      <c r="BQ194" s="21">
        <f>EXP(-LN(2)/25)*BQ193+(1-EXP(-LN(2)/25))/(LN(2)/25)*Calculateur!BL194*Calculateur!BN194*VLOOKUP('Données projet'!$B$11,Paramètres!$A$1:$I$89,3,0)*0.475*44/12</f>
        <v>0.2041966612744989</v>
      </c>
      <c r="BR194" s="21">
        <f>EXP(-LN(2)/2)*BR193+(1-EXP(-LN(2)/2))/(LN(2)/2)*BL194*BO194*VLOOKUP('Données projet'!$B$11,Paramètres!$A$1:$I$89,3,0)*0.475*44/12</f>
        <v>2.1865074632022283E-24</v>
      </c>
      <c r="BS194" s="22">
        <f t="shared" si="169"/>
        <v>0.39081780484265249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497</v>
      </c>
      <c r="BZ194" s="13">
        <f>BY194*VLOOKUP('Données projet'!$B$12,Paramètres!$A$1:$I$89,3,0)*VLOOKUP('Données projet'!$B$12,Paramètres!$A$1:$I$89,5,0)</f>
        <v>297.20600000000002</v>
      </c>
      <c r="CA194" s="13">
        <f t="shared" si="170"/>
        <v>70.590415164571112</v>
      </c>
      <c r="CB194" s="20">
        <f t="shared" si="171"/>
        <v>640.57875641162809</v>
      </c>
      <c r="CC194" s="59">
        <f t="shared" si="119"/>
        <v>933.91208974496135</v>
      </c>
      <c r="CD194" s="59">
        <f ca="1">AVERAGE(OFFSET($CC$3,0,0,'Données projet'!$E$12+1,1))-AVERAGE(OFFSET($H$3,0,0,'Données projet'!$E$12+1,1))</f>
        <v>270.30888762640245</v>
      </c>
      <c r="CE194" s="59">
        <f t="shared" si="148"/>
        <v>202.23783851977691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8.8319240263857998E-2</v>
      </c>
      <c r="CL194" s="21">
        <f>EXP(-LN(2)/25)*CL193+(1-EXP(-LN(2)/25))/(LN(2)/25)*Calculateur!CG194*Calculateur!CI194*VLOOKUP('Données projet'!$B$12,Paramètres!$A$1:$I$89,3,0)*0.475*44/12</f>
        <v>0.14161286662906655</v>
      </c>
      <c r="CM194" s="21">
        <f>EXP(-LN(2)/2)*CM193+(1-EXP(-LN(2)/2))/(LN(2)/2)*CG194*CJ194*VLOOKUP('Données projet'!$B$12,Paramètres!$A$1:$I$89,3,0)*0.475*44/12</f>
        <v>1.0816419602556426E-23</v>
      </c>
      <c r="CN194" s="22">
        <f t="shared" si="172"/>
        <v>0.22993210689292454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-5.1159076974727213E-13</v>
      </c>
      <c r="CU194" s="17">
        <f>CT194*VLOOKUP('Données projet'!$B$13,Paramètres!$A$1:$I$89,3,0)*VLOOKUP('Données projet'!$B$13,Paramètres!$A$1:$I$89,5,0)</f>
        <v>-4.0702161641092972E-13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260.20517190557814</v>
      </c>
      <c r="CZ194" s="59">
        <f t="shared" si="150"/>
        <v>307.22009971147133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0.13454817592853929</v>
      </c>
      <c r="DG194" s="21">
        <f>EXP(-LN(2)/25)*DG193+(1-EXP(-LN(2)/25))/(LN(2)/25)*Calculateur!DB194*Calculateur!DD194*VLOOKUP('Données projet'!$B$13,Paramètres!$A$1:$I$89,3,0)*0.475*44/12</f>
        <v>0.23633920818914703</v>
      </c>
      <c r="DH194" s="21">
        <f>EXP(-LN(2)/2)*DH193+(1-EXP(-LN(2)/2))/(LN(2)/2)*DB194*DE194*VLOOKUP('Données projet'!$B$13,Paramètres!$A$1:$I$89,3,0)*0.475*44/12</f>
        <v>1.4060551820060303E-23</v>
      </c>
      <c r="DI194" s="22">
        <f t="shared" si="175"/>
        <v>0.37088738411768629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4.5474735088646412E-13</v>
      </c>
      <c r="DP194" s="17">
        <f>DO194*VLOOKUP('Données projet'!$B$14,Paramètres!$A$1:$I$89,3,0)*VLOOKUP('Données projet'!$B$14,Paramètres!$A$1:$I$89,5,0)</f>
        <v>4.6111381379887462E-13</v>
      </c>
      <c r="DQ194" s="13">
        <f t="shared" si="176"/>
        <v>5.7981965206434308E-12</v>
      </c>
      <c r="DR194" s="20">
        <f t="shared" si="177"/>
        <v>1.0901632165820347E-11</v>
      </c>
      <c r="DS194" s="59">
        <f t="shared" si="125"/>
        <v>293.33333333334423</v>
      </c>
      <c r="DT194" s="59">
        <f ca="1">AVERAGE(OFFSET($DS$3,0,0,'Données projet'!$E$14+1,1))-AVERAGE(OFFSET($H$3,0,0,'Données projet'!$E$14+1,1))</f>
        <v>263.15518481854753</v>
      </c>
      <c r="DU194" s="59">
        <f t="shared" si="152"/>
        <v>210.80755370263819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0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-5.1159076974727213E-13</v>
      </c>
      <c r="EK194" s="17">
        <f>EJ194*VLOOKUP('Données projet'!$B$15,Paramètres!$A$1:$I$89,3,0)*VLOOKUP('Données projet'!$B$15,Paramètres!$A$1:$I$89,5,0)</f>
        <v>-3.4317508834647017E-13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207.93042467236967</v>
      </c>
      <c r="EP194" s="59">
        <f t="shared" si="154"/>
        <v>250.70954318710835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0.11344257970445462</v>
      </c>
      <c r="EW194" s="21">
        <f>EXP(-LN(2)/25)*EW193+(1-EXP(-LN(2)/25))/(LN(2)/25)*Calculateur!ER194*Calculateur!ET194*VLOOKUP('Données projet'!$B$15,Paramètres!$A$1:$I$89,3,0)*0.475*44/12</f>
        <v>0.19926639121830075</v>
      </c>
      <c r="EX194" s="21">
        <f>EXP(-LN(2)/2)*EX193+(1-EXP(-LN(2)/2))/(LN(2)/2)*ER194*EU194*VLOOKUP('Données projet'!$B$15,Paramètres!$A$1:$I$89,3,0)*0.475*44/12</f>
        <v>1.1854975063972411E-23</v>
      </c>
      <c r="EY194" s="22">
        <f t="shared" si="181"/>
        <v>0.3127089709227554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4.5474735088646412E-13</v>
      </c>
      <c r="FF194" s="17">
        <f>FE194*VLOOKUP('Données projet'!$B$16,Paramètres!$A$1:$I$89,3,0)*VLOOKUP('Données projet'!$B$16,Paramètres!$A$1:$I$89,5,0)</f>
        <v>4.8949004849418999E-13</v>
      </c>
      <c r="FG194" s="13">
        <f t="shared" si="182"/>
        <v>6.1123715499968684E-12</v>
      </c>
      <c r="FH194" s="20">
        <f t="shared" si="183"/>
        <v>1.1498242284038591E-11</v>
      </c>
      <c r="FI194" s="59">
        <f t="shared" si="131"/>
        <v>293.3333333333448</v>
      </c>
      <c r="FJ194" s="59">
        <f ca="1">AVERAGE(OFFSET($FI$3,0,0,'Données projet'!$E$16+1,1))-AVERAGE(OFFSET($H$3,0,0,'Données projet'!$E$16+1,1))</f>
        <v>286.77702855541287</v>
      </c>
      <c r="FK194" s="59">
        <f t="shared" si="156"/>
        <v>227.12211541860779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0</v>
      </c>
      <c r="FR194" s="21">
        <f>EXP(-LN(2)/25)*FR193+(1-EXP(-LN(2)/25))/(LN(2)/25)*Calculateur!FM194*Calculateur!FO194*VLOOKUP('Données projet'!$B$16,Paramètres!$A$1:$I$89,3,0)*0.475*44/12</f>
        <v>0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0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5.6843418860808015E-13</v>
      </c>
      <c r="GA194" s="17">
        <f>FZ194*VLOOKUP('Données projet'!$B$17,Paramètres!$A$1:$I$89,3,0)*VLOOKUP('Données projet'!$B$17,Paramètres!$A$1:$I$89,5,0)</f>
        <v>2.6602720026858149E-13</v>
      </c>
      <c r="GB194" s="13">
        <f t="shared" si="185"/>
        <v>3.5662905043956649E-12</v>
      </c>
      <c r="GC194" s="20">
        <f t="shared" si="186"/>
        <v>6.6746200022902298E-12</v>
      </c>
      <c r="GD194" s="59">
        <f t="shared" si="134"/>
        <v>293.33333333333997</v>
      </c>
      <c r="GE194" s="59">
        <f ca="1">AVERAGE(OFFSET($GD$3,0,0,'Données projet'!$E$17+1,1))-AVERAGE(OFFSET($H$3,0,0,'Données projet'!$E$17+1,1))</f>
        <v>123.2823358462245</v>
      </c>
      <c r="GF194" s="59">
        <f t="shared" si="158"/>
        <v>92.75115399786057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0</v>
      </c>
      <c r="GM194" s="21">
        <f>EXP(-LN(2)/25)*GM193+(1-EXP(-LN(2)/25))/(LN(2)/25)*Calculateur!GH194*Calculateur!GJ194*VLOOKUP('Données projet'!$B$17,Paramètres!$A$1:$I$89,3,0)*0.475*44/12</f>
        <v>0</v>
      </c>
      <c r="GN194" s="21">
        <f>EXP(-LN(2)/2)*GN193+(1-EXP(-LN(2)/2))/(LN(2)/2)*GH194*GK194*VLOOKUP('Données projet'!$B$17,Paramètres!$A$1:$I$89,3,0)*0.475*44/12</f>
        <v>0</v>
      </c>
      <c r="GO194" s="21">
        <f t="shared" si="187"/>
        <v>0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-2.8421709430404007E-13</v>
      </c>
      <c r="GV194" s="17">
        <f>GU194*VLOOKUP('Données projet'!$B$18,Paramètres!$A$1:$I$89,3,0)*VLOOKUP('Données projet'!$B$18,Paramètres!$A$1:$I$89,5,0)</f>
        <v>-1.69961822393816E-13</v>
      </c>
      <c r="GW194" s="13" t="e">
        <f t="shared" si="188"/>
        <v>#NUM!</v>
      </c>
      <c r="GX194" s="20" t="e">
        <f t="shared" si="189"/>
        <v>#NUM!</v>
      </c>
      <c r="GY194" s="59" t="e">
        <f t="shared" si="137"/>
        <v>#NUM!</v>
      </c>
      <c r="GZ194" s="59">
        <f ca="1">AVERAGE(OFFSET($GY$3,0,0,'Données projet'!$E$18+1,1))-AVERAGE(OFFSET($H$3,0,0,'Données projet'!$E$18+1,1))</f>
        <v>171.96009656745713</v>
      </c>
      <c r="HA194" s="59">
        <f t="shared" si="160"/>
        <v>172.37574906747716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>
        <f>EXP(-LN(2)/35)*HG193+(1-EXP(-LN(2)/35))/(LN(2)/35)*HC194*HD194*VLOOKUP('Données projet'!$B$18,Paramètres!$A$1:$I$89,3,0)*0.475*44/12</f>
        <v>6.8781441582207753E-2</v>
      </c>
      <c r="HH194" s="21">
        <f>EXP(-LN(2)/25)*HH193+(1-EXP(-LN(2)/25))/(LN(2)/25)*Calculateur!HC194*Calculateur!HE194*VLOOKUP('Données projet'!$B$18,Paramètres!$A$1:$I$89,3,0)*0.475*44/12</f>
        <v>0.23676960030778535</v>
      </c>
      <c r="HI194" s="21">
        <f>EXP(-LN(2)/2)*HI193+(1-EXP(-LN(2)/2))/(LN(2)/2)*HC194*HF194*VLOOKUP('Données projet'!$B$18,Paramètres!$A$1:$I$89,3,0)*0.475*44/12</f>
        <v>7.04495945535607E-24</v>
      </c>
      <c r="HJ194" s="22">
        <f t="shared" si="190"/>
        <v>0.3055510418899931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-2.2737367544323206E-13</v>
      </c>
      <c r="O195" s="13">
        <f>N195*VLOOKUP('Données projet'!$B$9,Paramètres!$A$1:$I$89,3,0)*VLOOKUP('Données projet'!$B$9,Paramètres!$A$1:$I$89,5,0)</f>
        <v>-1.2710188457276673E-13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255.5374979188561</v>
      </c>
      <c r="T195" s="59">
        <f t="shared" si="142"/>
        <v>343.10418468620901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0.12491810380431616</v>
      </c>
      <c r="AA195" s="21">
        <f>EXP(-LN(2)/25)*AA194+(1-EXP(-LN(2)/25))/(LN(2)/25)*Calculateur!V195*Calculateur!X195*VLOOKUP('Données projet'!$B$9,Paramètres!$A$1:$I$89,3,0)*0.475*44/12</f>
        <v>0.17879919796515936</v>
      </c>
      <c r="AB195" s="21">
        <f>EXP(-LN(2)/2)*AB194+(1-EXP(-LN(2)/2))/(LN(2)/2)*V195*Y195*VLOOKUP('Données projet'!$B$9,Paramètres!$A$1:$I$89,3,0)*0.475*44/12</f>
        <v>7.0006449196098521E-25</v>
      </c>
      <c r="AC195" s="22">
        <f t="shared" si="163"/>
        <v>0.30371730176947553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3.4106051316484809E-13</v>
      </c>
      <c r="AJ195" s="13">
        <f>AI195*VLOOKUP('Données projet'!$B$10,Paramètres!$A$1:$I$89,3,0)*VLOOKUP('Données projet'!$B$10,Paramètres!$A$1:$I$89,5,0)</f>
        <v>1.5961632016114892E-13</v>
      </c>
      <c r="AK195" s="13">
        <f t="shared" si="164"/>
        <v>2.2708641912150958E-12</v>
      </c>
      <c r="AL195" s="20">
        <f t="shared" si="165"/>
        <v>4.2330868906469593E-12</v>
      </c>
      <c r="AM195" s="59">
        <f t="shared" si="113"/>
        <v>293.33333333333752</v>
      </c>
      <c r="AN195" s="59">
        <f ca="1">AVERAGE(OFFSET($AM$3,0,0,'Données projet'!$E$10+1,1))-AVERAGE(OFFSET($H$3,0,0,'Données projet'!$E$10+1,1))</f>
        <v>158.58786357608489</v>
      </c>
      <c r="AO195" s="59">
        <f t="shared" si="144"/>
        <v>163.20074068819849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0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-1.7053025658242404E-13</v>
      </c>
      <c r="BE195" s="13">
        <f>BD195*VLOOKUP('Données projet'!$B$11,Paramètres!$A$1:$I$89,3,0)*VLOOKUP('Données projet'!$B$11,Paramètres!$A$1:$I$89,5,0)</f>
        <v>-1.0197709343628959E-13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243.85350804244348</v>
      </c>
      <c r="BJ195" s="59">
        <f t="shared" si="146"/>
        <v>304.60992308960545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0.18296161677044012</v>
      </c>
      <c r="BQ195" s="21">
        <f>EXP(-LN(2)/25)*BQ194+(1-EXP(-LN(2)/25))/(LN(2)/25)*Calculateur!BL195*Calculateur!BN195*VLOOKUP('Données projet'!$B$11,Paramètres!$A$1:$I$89,3,0)*0.475*44/12</f>
        <v>0.198612892833712</v>
      </c>
      <c r="BR195" s="21">
        <f>EXP(-LN(2)/2)*BR194+(1-EXP(-LN(2)/2))/(LN(2)/2)*BL195*BO195*VLOOKUP('Données projet'!$B$11,Paramètres!$A$1:$I$89,3,0)*0.475*44/12</f>
        <v>1.5460942543452912E-24</v>
      </c>
      <c r="BS195" s="22">
        <f t="shared" si="169"/>
        <v>0.38157450960415212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497</v>
      </c>
      <c r="BZ195" s="13">
        <f>BY195*VLOOKUP('Données projet'!$B$12,Paramètres!$A$1:$I$89,3,0)*VLOOKUP('Données projet'!$B$12,Paramètres!$A$1:$I$89,5,0)</f>
        <v>297.20600000000002</v>
      </c>
      <c r="CA195" s="13">
        <f t="shared" si="170"/>
        <v>70.590415164571112</v>
      </c>
      <c r="CB195" s="20">
        <f t="shared" si="171"/>
        <v>640.57875641162809</v>
      </c>
      <c r="CC195" s="59">
        <f t="shared" si="119"/>
        <v>933.91208974496135</v>
      </c>
      <c r="CD195" s="59">
        <f ca="1">AVERAGE(OFFSET($CC$3,0,0,'Données projet'!$E$12+1,1))-AVERAGE(OFFSET($H$3,0,0,'Données projet'!$E$12+1,1))</f>
        <v>270.30888762640245</v>
      </c>
      <c r="CE195" s="59">
        <f t="shared" si="148"/>
        <v>202.23783851977691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8.6587353831701144E-2</v>
      </c>
      <c r="CL195" s="21">
        <f>EXP(-LN(2)/25)*CL194+(1-EXP(-LN(2)/25))/(LN(2)/25)*Calculateur!CG195*Calculateur!CI195*VLOOKUP('Données projet'!$B$12,Paramètres!$A$1:$I$89,3,0)*0.475*44/12</f>
        <v>0.13774045534399773</v>
      </c>
      <c r="CM195" s="21">
        <f>EXP(-LN(2)/2)*CM194+(1-EXP(-LN(2)/2))/(LN(2)/2)*CG195*CJ195*VLOOKUP('Données projet'!$B$12,Paramètres!$A$1:$I$89,3,0)*0.475*44/12</f>
        <v>7.6483636491267497E-24</v>
      </c>
      <c r="CN195" s="22">
        <f t="shared" si="172"/>
        <v>0.22432780917569889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-5.1159076974727213E-13</v>
      </c>
      <c r="CU195" s="17">
        <f>CT195*VLOOKUP('Données projet'!$B$13,Paramètres!$A$1:$I$89,3,0)*VLOOKUP('Données projet'!$B$13,Paramètres!$A$1:$I$89,5,0)</f>
        <v>-4.0702161641092972E-13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260.20517190557814</v>
      </c>
      <c r="CZ195" s="59">
        <f t="shared" si="150"/>
        <v>307.22009971147133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0.13190976826486459</v>
      </c>
      <c r="DG195" s="21">
        <f>EXP(-LN(2)/25)*DG194+(1-EXP(-LN(2)/25))/(LN(2)/25)*Calculateur!DB195*Calculateur!DD195*VLOOKUP('Données projet'!$B$13,Paramètres!$A$1:$I$89,3,0)*0.475*44/12</f>
        <v>0.22987650011267599</v>
      </c>
      <c r="DH195" s="21">
        <f>EXP(-LN(2)/2)*DH194+(1-EXP(-LN(2)/2))/(LN(2)/2)*DB195*DE195*VLOOKUP('Données projet'!$B$13,Paramètres!$A$1:$I$89,3,0)*0.475*44/12</f>
        <v>9.942311539189493E-24</v>
      </c>
      <c r="DI195" s="22">
        <f t="shared" si="175"/>
        <v>0.36178626837754058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4.5474735088646412E-13</v>
      </c>
      <c r="DP195" s="17">
        <f>DO195*VLOOKUP('Données projet'!$B$14,Paramètres!$A$1:$I$89,3,0)*VLOOKUP('Données projet'!$B$14,Paramètres!$A$1:$I$89,5,0)</f>
        <v>4.6111381379887462E-13</v>
      </c>
      <c r="DQ195" s="13">
        <f t="shared" si="176"/>
        <v>5.7981965206434308E-12</v>
      </c>
      <c r="DR195" s="20">
        <f t="shared" si="177"/>
        <v>1.0901632165820347E-11</v>
      </c>
      <c r="DS195" s="59">
        <f t="shared" si="125"/>
        <v>293.33333333334423</v>
      </c>
      <c r="DT195" s="59">
        <f ca="1">AVERAGE(OFFSET($DS$3,0,0,'Données projet'!$E$14+1,1))-AVERAGE(OFFSET($H$3,0,0,'Données projet'!$E$14+1,1))</f>
        <v>263.15518481854753</v>
      </c>
      <c r="DU195" s="59">
        <f t="shared" si="152"/>
        <v>210.80755370263819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0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-5.1159076974727213E-13</v>
      </c>
      <c r="EK195" s="17">
        <f>EJ195*VLOOKUP('Données projet'!$B$15,Paramètres!$A$1:$I$89,3,0)*VLOOKUP('Données projet'!$B$15,Paramètres!$A$1:$I$89,5,0)</f>
        <v>-3.4317508834647017E-13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207.93042467236967</v>
      </c>
      <c r="EP195" s="59">
        <f t="shared" si="154"/>
        <v>250.70954318710835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0.11121803990959163</v>
      </c>
      <c r="EW195" s="21">
        <f>EXP(-LN(2)/25)*EW194+(1-EXP(-LN(2)/25))/(LN(2)/25)*Calculateur!ER195*Calculateur!ET195*VLOOKUP('Données projet'!$B$15,Paramètres!$A$1:$I$89,3,0)*0.475*44/12</f>
        <v>0.19381744127147224</v>
      </c>
      <c r="EX195" s="21">
        <f>EXP(-LN(2)/2)*EX194+(1-EXP(-LN(2)/2))/(LN(2)/2)*ER195*EU195*VLOOKUP('Données projet'!$B$15,Paramètres!$A$1:$I$89,3,0)*0.475*44/12</f>
        <v>8.382733258532317E-24</v>
      </c>
      <c r="EY195" s="22">
        <f t="shared" si="181"/>
        <v>0.30503548118106388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4.5474735088646412E-13</v>
      </c>
      <c r="FF195" s="17">
        <f>FE195*VLOOKUP('Données projet'!$B$16,Paramètres!$A$1:$I$89,3,0)*VLOOKUP('Données projet'!$B$16,Paramètres!$A$1:$I$89,5,0)</f>
        <v>4.8949004849418999E-13</v>
      </c>
      <c r="FG195" s="13">
        <f t="shared" si="182"/>
        <v>6.1123715499968684E-12</v>
      </c>
      <c r="FH195" s="20">
        <f t="shared" si="183"/>
        <v>1.1498242284038591E-11</v>
      </c>
      <c r="FI195" s="59">
        <f t="shared" si="131"/>
        <v>293.3333333333448</v>
      </c>
      <c r="FJ195" s="59">
        <f ca="1">AVERAGE(OFFSET($FI$3,0,0,'Données projet'!$E$16+1,1))-AVERAGE(OFFSET($H$3,0,0,'Données projet'!$E$16+1,1))</f>
        <v>286.77702855541287</v>
      </c>
      <c r="FK195" s="59">
        <f t="shared" si="156"/>
        <v>227.12211541860779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0</v>
      </c>
      <c r="FR195" s="21">
        <f>EXP(-LN(2)/25)*FR194+(1-EXP(-LN(2)/25))/(LN(2)/25)*Calculateur!FM195*Calculateur!FO195*VLOOKUP('Données projet'!$B$16,Paramètres!$A$1:$I$89,3,0)*0.475*44/12</f>
        <v>0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0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5.6843418860808015E-13</v>
      </c>
      <c r="GA195" s="17">
        <f>FZ195*VLOOKUP('Données projet'!$B$17,Paramètres!$A$1:$I$89,3,0)*VLOOKUP('Données projet'!$B$17,Paramètres!$A$1:$I$89,5,0)</f>
        <v>2.6602720026858149E-13</v>
      </c>
      <c r="GB195" s="13">
        <f t="shared" si="185"/>
        <v>3.5662905043956649E-12</v>
      </c>
      <c r="GC195" s="20">
        <f t="shared" si="186"/>
        <v>6.6746200022902298E-12</v>
      </c>
      <c r="GD195" s="59">
        <f t="shared" si="134"/>
        <v>293.33333333333997</v>
      </c>
      <c r="GE195" s="59">
        <f ca="1">AVERAGE(OFFSET($GD$3,0,0,'Données projet'!$E$17+1,1))-AVERAGE(OFFSET($H$3,0,0,'Données projet'!$E$17+1,1))</f>
        <v>123.2823358462245</v>
      </c>
      <c r="GF195" s="59">
        <f t="shared" si="158"/>
        <v>92.75115399786057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0</v>
      </c>
      <c r="GM195" s="21">
        <f>EXP(-LN(2)/25)*GM194+(1-EXP(-LN(2)/25))/(LN(2)/25)*Calculateur!GH195*Calculateur!GJ195*VLOOKUP('Données projet'!$B$17,Paramètres!$A$1:$I$89,3,0)*0.475*44/12</f>
        <v>0</v>
      </c>
      <c r="GN195" s="21">
        <f>EXP(-LN(2)/2)*GN194+(1-EXP(-LN(2)/2))/(LN(2)/2)*GH195*GK195*VLOOKUP('Données projet'!$B$17,Paramètres!$A$1:$I$89,3,0)*0.475*44/12</f>
        <v>0</v>
      </c>
      <c r="GO195" s="21">
        <f t="shared" si="187"/>
        <v>0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-2.8421709430404007E-13</v>
      </c>
      <c r="GV195" s="17">
        <f>GU195*VLOOKUP('Données projet'!$B$18,Paramètres!$A$1:$I$89,3,0)*VLOOKUP('Données projet'!$B$18,Paramètres!$A$1:$I$89,5,0)</f>
        <v>-1.69961822393816E-13</v>
      </c>
      <c r="GW195" s="13" t="e">
        <f t="shared" si="188"/>
        <v>#NUM!</v>
      </c>
      <c r="GX195" s="20" t="e">
        <f t="shared" si="189"/>
        <v>#NUM!</v>
      </c>
      <c r="GY195" s="59" t="e">
        <f t="shared" si="137"/>
        <v>#NUM!</v>
      </c>
      <c r="GZ195" s="59">
        <f ca="1">AVERAGE(OFFSET($GY$3,0,0,'Données projet'!$E$18+1,1))-AVERAGE(OFFSET($H$3,0,0,'Données projet'!$E$18+1,1))</f>
        <v>171.96009656745713</v>
      </c>
      <c r="HA195" s="59">
        <f t="shared" si="160"/>
        <v>172.37574906747716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>
        <f>EXP(-LN(2)/35)*HG194+(1-EXP(-LN(2)/35))/(LN(2)/35)*HC195*HD195*VLOOKUP('Données projet'!$B$18,Paramètres!$A$1:$I$89,3,0)*0.475*44/12</f>
        <v>6.7432679465317558E-2</v>
      </c>
      <c r="HH195" s="21">
        <f>EXP(-LN(2)/25)*HH194+(1-EXP(-LN(2)/25))/(LN(2)/25)*Calculateur!HC195*Calculateur!HE195*VLOOKUP('Données projet'!$B$18,Paramètres!$A$1:$I$89,3,0)*0.475*44/12</f>
        <v>0.23029512313619682</v>
      </c>
      <c r="HI195" s="21">
        <f>EXP(-LN(2)/2)*HI194+(1-EXP(-LN(2)/2))/(LN(2)/2)*HC195*HF195*VLOOKUP('Données projet'!$B$18,Paramètres!$A$1:$I$89,3,0)*0.475*44/12</f>
        <v>4.9815386040665636E-24</v>
      </c>
      <c r="HJ195" s="22">
        <f t="shared" si="190"/>
        <v>0.29772780260151438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-2.2737367544323206E-13</v>
      </c>
      <c r="O196" s="13">
        <f>N196*VLOOKUP('Données projet'!$B$9,Paramètres!$A$1:$I$89,3,0)*VLOOKUP('Données projet'!$B$9,Paramètres!$A$1:$I$89,5,0)</f>
        <v>-1.2710188457276673E-13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255.5374979188561</v>
      </c>
      <c r="T196" s="59">
        <f t="shared" si="142"/>
        <v>343.10418468620901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0.12246853598123346</v>
      </c>
      <c r="AA196" s="21">
        <f>EXP(-LN(2)/25)*AA195+(1-EXP(-LN(2)/25))/(LN(2)/25)*Calculateur!V196*Calculateur!X196*VLOOKUP('Données projet'!$B$9,Paramètres!$A$1:$I$89,3,0)*0.475*44/12</f>
        <v>0.1739099244941609</v>
      </c>
      <c r="AB196" s="21">
        <f>EXP(-LN(2)/2)*AB195+(1-EXP(-LN(2)/2))/(LN(2)/2)*V196*Y196*VLOOKUP('Données projet'!$B$9,Paramètres!$A$1:$I$89,3,0)*0.475*44/12</f>
        <v>4.9502034953352792E-25</v>
      </c>
      <c r="AC196" s="22">
        <f t="shared" si="163"/>
        <v>0.29637846047539435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3.4106051316484809E-13</v>
      </c>
      <c r="AJ196" s="13">
        <f>AI196*VLOOKUP('Données projet'!$B$10,Paramètres!$A$1:$I$89,3,0)*VLOOKUP('Données projet'!$B$10,Paramètres!$A$1:$I$89,5,0)</f>
        <v>1.5961632016114892E-13</v>
      </c>
      <c r="AK196" s="13">
        <f t="shared" si="164"/>
        <v>2.2708641912150958E-12</v>
      </c>
      <c r="AL196" s="20">
        <f t="shared" si="165"/>
        <v>4.2330868906469593E-12</v>
      </c>
      <c r="AM196" s="59">
        <f t="shared" ref="AM196:AM203" si="193">AL196+(AD196+AE196)*44/12</f>
        <v>293.33333333333752</v>
      </c>
      <c r="AN196" s="59">
        <f ca="1">AVERAGE(OFFSET($AM$3,0,0,'Données projet'!$E$10+1,1))-AVERAGE(OFFSET($H$3,0,0,'Données projet'!$E$10+1,1))</f>
        <v>158.58786357608489</v>
      </c>
      <c r="AO196" s="59">
        <f t="shared" si="144"/>
        <v>163.20074068819849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0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-1.7053025658242404E-13</v>
      </c>
      <c r="BE196" s="13">
        <f>BD196*VLOOKUP('Données projet'!$B$11,Paramètres!$A$1:$I$89,3,0)*VLOOKUP('Données projet'!$B$11,Paramètres!$A$1:$I$89,5,0)</f>
        <v>-1.0197709343628959E-13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243.85350804244348</v>
      </c>
      <c r="BJ196" s="59">
        <f t="shared" si="146"/>
        <v>304.60992308960545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0.17937385106113887</v>
      </c>
      <c r="BQ196" s="21">
        <f>EXP(-LN(2)/25)*BQ195+(1-EXP(-LN(2)/25))/(LN(2)/25)*Calculateur!BL196*Calculateur!BN196*VLOOKUP('Données projet'!$B$11,Paramètres!$A$1:$I$89,3,0)*0.475*44/12</f>
        <v>0.19318181283457606</v>
      </c>
      <c r="BR196" s="21">
        <f>EXP(-LN(2)/2)*BR195+(1-EXP(-LN(2)/2))/(LN(2)/2)*BL196*BO196*VLOOKUP('Données projet'!$B$11,Paramètres!$A$1:$I$89,3,0)*0.475*44/12</f>
        <v>1.0932537316011141E-24</v>
      </c>
      <c r="BS196" s="22">
        <f t="shared" si="169"/>
        <v>0.37255566389571493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497</v>
      </c>
      <c r="BZ196" s="13">
        <f>BY196*VLOOKUP('Données projet'!$B$12,Paramètres!$A$1:$I$89,3,0)*VLOOKUP('Données projet'!$B$12,Paramètres!$A$1:$I$89,5,0)</f>
        <v>297.20600000000002</v>
      </c>
      <c r="CA196" s="13">
        <f t="shared" si="170"/>
        <v>70.590415164571112</v>
      </c>
      <c r="CB196" s="20">
        <f t="shared" si="171"/>
        <v>640.57875641162809</v>
      </c>
      <c r="CC196" s="59">
        <f t="shared" ref="CC196:CC203" si="195">CB196+(BT196+BU196)*44/12</f>
        <v>933.91208974496135</v>
      </c>
      <c r="CD196" s="59">
        <f ca="1">AVERAGE(OFFSET($CC$3,0,0,'Données projet'!$E$12+1,1))-AVERAGE(OFFSET($H$3,0,0,'Données projet'!$E$12+1,1))</f>
        <v>270.30888762640245</v>
      </c>
      <c r="CE196" s="59">
        <f t="shared" si="148"/>
        <v>202.23783851977691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8.4889428636132469E-2</v>
      </c>
      <c r="CL196" s="21">
        <f>EXP(-LN(2)/25)*CL195+(1-EXP(-LN(2)/25))/(LN(2)/25)*Calculateur!CG196*Calculateur!CI196*VLOOKUP('Données projet'!$B$12,Paramètres!$A$1:$I$89,3,0)*0.475*44/12</f>
        <v>0.13397393534916038</v>
      </c>
      <c r="CM196" s="21">
        <f>EXP(-LN(2)/2)*CM195+(1-EXP(-LN(2)/2))/(LN(2)/2)*CG196*CJ196*VLOOKUP('Données projet'!$B$12,Paramètres!$A$1:$I$89,3,0)*0.475*44/12</f>
        <v>5.4082098012782128E-24</v>
      </c>
      <c r="CN196" s="22">
        <f t="shared" si="172"/>
        <v>0.21886336398529285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-5.1159076974727213E-13</v>
      </c>
      <c r="CU196" s="17">
        <f>CT196*VLOOKUP('Données projet'!$B$13,Paramètres!$A$1:$I$89,3,0)*VLOOKUP('Données projet'!$B$13,Paramètres!$A$1:$I$89,5,0)</f>
        <v>-4.0702161641092972E-13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260.20517190557814</v>
      </c>
      <c r="CZ196" s="59">
        <f t="shared" si="150"/>
        <v>307.22009971147133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0.12932309816620477</v>
      </c>
      <c r="DG196" s="21">
        <f>EXP(-LN(2)/25)*DG195+(1-EXP(-LN(2)/25))/(LN(2)/25)*Calculateur!DB196*Calculateur!DD196*VLOOKUP('Données projet'!$B$13,Paramètres!$A$1:$I$89,3,0)*0.475*44/12</f>
        <v>0.2235905151284151</v>
      </c>
      <c r="DH196" s="21">
        <f>EXP(-LN(2)/2)*DH195+(1-EXP(-LN(2)/2))/(LN(2)/2)*DB196*DE196*VLOOKUP('Données projet'!$B$13,Paramètres!$A$1:$I$89,3,0)*0.475*44/12</f>
        <v>7.0302759100301513E-24</v>
      </c>
      <c r="DI196" s="22">
        <f t="shared" si="175"/>
        <v>0.3529136132946199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4.5474735088646412E-13</v>
      </c>
      <c r="DP196" s="17">
        <f>DO196*VLOOKUP('Données projet'!$B$14,Paramètres!$A$1:$I$89,3,0)*VLOOKUP('Données projet'!$B$14,Paramètres!$A$1:$I$89,5,0)</f>
        <v>4.6111381379887462E-13</v>
      </c>
      <c r="DQ196" s="13">
        <f t="shared" si="176"/>
        <v>5.7981965206434308E-12</v>
      </c>
      <c r="DR196" s="20">
        <f t="shared" si="177"/>
        <v>1.0901632165820347E-11</v>
      </c>
      <c r="DS196" s="59">
        <f t="shared" ref="DS196:DS203" si="197">DR196+(DJ196+DK196)*44/12</f>
        <v>293.33333333334423</v>
      </c>
      <c r="DT196" s="59">
        <f ca="1">AVERAGE(OFFSET($DS$3,0,0,'Données projet'!$E$14+1,1))-AVERAGE(OFFSET($H$3,0,0,'Données projet'!$E$14+1,1))</f>
        <v>263.15518481854753</v>
      </c>
      <c r="DU196" s="59">
        <f t="shared" si="152"/>
        <v>210.80755370263819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0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-5.1159076974727213E-13</v>
      </c>
      <c r="EK196" s="17">
        <f>EJ196*VLOOKUP('Données projet'!$B$15,Paramètres!$A$1:$I$89,3,0)*VLOOKUP('Données projet'!$B$15,Paramètres!$A$1:$I$89,5,0)</f>
        <v>-3.4317508834647017E-13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207.93042467236967</v>
      </c>
      <c r="EP196" s="59">
        <f t="shared" si="154"/>
        <v>250.70954318710835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0.1090371219832706</v>
      </c>
      <c r="EW196" s="21">
        <f>EXP(-LN(2)/25)*EW195+(1-EXP(-LN(2)/25))/(LN(2)/25)*Calculateur!ER196*Calculateur!ET196*VLOOKUP('Données projet'!$B$15,Paramètres!$A$1:$I$89,3,0)*0.475*44/12</f>
        <v>0.18851749314748756</v>
      </c>
      <c r="EX196" s="21">
        <f>EXP(-LN(2)/2)*EX195+(1-EXP(-LN(2)/2))/(LN(2)/2)*ER196*EU196*VLOOKUP('Données projet'!$B$15,Paramètres!$A$1:$I$89,3,0)*0.475*44/12</f>
        <v>5.9274875319862057E-24</v>
      </c>
      <c r="EY196" s="22">
        <f t="shared" si="181"/>
        <v>0.29755461513075815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4.5474735088646412E-13</v>
      </c>
      <c r="FF196" s="17">
        <f>FE196*VLOOKUP('Données projet'!$B$16,Paramètres!$A$1:$I$89,3,0)*VLOOKUP('Données projet'!$B$16,Paramètres!$A$1:$I$89,5,0)</f>
        <v>4.8949004849418999E-13</v>
      </c>
      <c r="FG196" s="13">
        <f t="shared" si="182"/>
        <v>6.1123715499968684E-12</v>
      </c>
      <c r="FH196" s="20">
        <f t="shared" si="183"/>
        <v>1.1498242284038591E-11</v>
      </c>
      <c r="FI196" s="59">
        <f t="shared" ref="FI196:FI203" si="199">FH196+(EZ196+FA196)*44/12</f>
        <v>293.3333333333448</v>
      </c>
      <c r="FJ196" s="59">
        <f ca="1">AVERAGE(OFFSET($FI$3,0,0,'Données projet'!$E$16+1,1))-AVERAGE(OFFSET($H$3,0,0,'Données projet'!$E$16+1,1))</f>
        <v>286.77702855541287</v>
      </c>
      <c r="FK196" s="59">
        <f t="shared" si="156"/>
        <v>227.12211541860779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0</v>
      </c>
      <c r="FR196" s="21">
        <f>EXP(-LN(2)/25)*FR195+(1-EXP(-LN(2)/25))/(LN(2)/25)*Calculateur!FM196*Calculateur!FO196*VLOOKUP('Données projet'!$B$16,Paramètres!$A$1:$I$89,3,0)*0.475*44/12</f>
        <v>0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0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5.6843418860808015E-13</v>
      </c>
      <c r="GA196" s="17">
        <f>FZ196*VLOOKUP('Données projet'!$B$17,Paramètres!$A$1:$I$89,3,0)*VLOOKUP('Données projet'!$B$17,Paramètres!$A$1:$I$89,5,0)</f>
        <v>2.6602720026858149E-13</v>
      </c>
      <c r="GB196" s="13">
        <f t="shared" si="185"/>
        <v>3.5662905043956649E-12</v>
      </c>
      <c r="GC196" s="20">
        <f t="shared" si="186"/>
        <v>6.6746200022902298E-12</v>
      </c>
      <c r="GD196" s="59">
        <f t="shared" ref="GD196:GD203" si="200">GC196+(FU196+FV196)*44/12</f>
        <v>293.33333333333997</v>
      </c>
      <c r="GE196" s="59">
        <f ca="1">AVERAGE(OFFSET($GD$3,0,0,'Données projet'!$E$17+1,1))-AVERAGE(OFFSET($H$3,0,0,'Données projet'!$E$17+1,1))</f>
        <v>123.2823358462245</v>
      </c>
      <c r="GF196" s="59">
        <f t="shared" si="158"/>
        <v>92.75115399786057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0</v>
      </c>
      <c r="GM196" s="21">
        <f>EXP(-LN(2)/25)*GM195+(1-EXP(-LN(2)/25))/(LN(2)/25)*Calculateur!GH196*Calculateur!GJ196*VLOOKUP('Données projet'!$B$17,Paramètres!$A$1:$I$89,3,0)*0.475*44/12</f>
        <v>0</v>
      </c>
      <c r="GN196" s="21">
        <f>EXP(-LN(2)/2)*GN195+(1-EXP(-LN(2)/2))/(LN(2)/2)*GH196*GK196*VLOOKUP('Données projet'!$B$17,Paramètres!$A$1:$I$89,3,0)*0.475*44/12</f>
        <v>0</v>
      </c>
      <c r="GO196" s="21">
        <f t="shared" si="187"/>
        <v>0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-2.8421709430404007E-13</v>
      </c>
      <c r="GV196" s="17">
        <f>GU196*VLOOKUP('Données projet'!$B$18,Paramètres!$A$1:$I$89,3,0)*VLOOKUP('Données projet'!$B$18,Paramètres!$A$1:$I$89,5,0)</f>
        <v>-1.69961822393816E-13</v>
      </c>
      <c r="GW196" s="13" t="e">
        <f t="shared" si="188"/>
        <v>#NUM!</v>
      </c>
      <c r="GX196" s="20" t="e">
        <f t="shared" si="189"/>
        <v>#NUM!</v>
      </c>
      <c r="GY196" s="59" t="e">
        <f t="shared" ref="GY196:GY203" si="201">GX196+(GP196+GQ196)*44/12</f>
        <v>#NUM!</v>
      </c>
      <c r="GZ196" s="59">
        <f ca="1">AVERAGE(OFFSET($GY$3,0,0,'Données projet'!$E$18+1,1))-AVERAGE(OFFSET($H$3,0,0,'Données projet'!$E$18+1,1))</f>
        <v>171.96009656745713</v>
      </c>
      <c r="HA196" s="59">
        <f t="shared" si="160"/>
        <v>172.37574906747716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>
        <f>EXP(-LN(2)/35)*HG195+(1-EXP(-LN(2)/35))/(LN(2)/35)*HC196*HD196*VLOOKUP('Données projet'!$B$18,Paramètres!$A$1:$I$89,3,0)*0.475*44/12</f>
        <v>6.6110365750875921E-2</v>
      </c>
      <c r="HH196" s="21">
        <f>EXP(-LN(2)/25)*HH195+(1-EXP(-LN(2)/25))/(LN(2)/25)*Calculateur!HC196*Calculateur!HE196*VLOOKUP('Données projet'!$B$18,Paramètres!$A$1:$I$89,3,0)*0.475*44/12</f>
        <v>0.22399769088334334</v>
      </c>
      <c r="HI196" s="21">
        <f>EXP(-LN(2)/2)*HI195+(1-EXP(-LN(2)/2))/(LN(2)/2)*HC196*HF196*VLOOKUP('Données projet'!$B$18,Paramètres!$A$1:$I$89,3,0)*0.475*44/12</f>
        <v>3.522479727678035E-24</v>
      </c>
      <c r="HJ196" s="22">
        <f t="shared" si="190"/>
        <v>0.29010805663421924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-2.2737367544323206E-13</v>
      </c>
      <c r="O197" s="13">
        <f>N197*VLOOKUP('Données projet'!$B$9,Paramètres!$A$1:$I$89,3,0)*VLOOKUP('Données projet'!$B$9,Paramètres!$A$1:$I$89,5,0)</f>
        <v>-1.2710188457276673E-13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255.5374979188561</v>
      </c>
      <c r="T197" s="59">
        <f t="shared" ref="T197:T203" si="204">$T$3</f>
        <v>343.10418468620901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0.12006700268907256</v>
      </c>
      <c r="AA197" s="21">
        <f>EXP(-LN(2)/25)*AA196+(1-EXP(-LN(2)/25))/(LN(2)/25)*Calculateur!V197*Calculateur!X197*VLOOKUP('Données projet'!$B$9,Paramètres!$A$1:$I$89,3,0)*0.475*44/12</f>
        <v>0.16915434846334262</v>
      </c>
      <c r="AB197" s="21">
        <f>EXP(-LN(2)/2)*AB196+(1-EXP(-LN(2)/2))/(LN(2)/2)*V197*Y197*VLOOKUP('Données projet'!$B$9,Paramètres!$A$1:$I$89,3,0)*0.475*44/12</f>
        <v>3.500322459804926E-25</v>
      </c>
      <c r="AC197" s="22">
        <f t="shared" si="163"/>
        <v>0.28922135115241521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3.4106051316484809E-13</v>
      </c>
      <c r="AJ197" s="13">
        <f>AI197*VLOOKUP('Données projet'!$B$10,Paramètres!$A$1:$I$89,3,0)*VLOOKUP('Données projet'!$B$10,Paramètres!$A$1:$I$89,5,0)</f>
        <v>1.5961632016114892E-13</v>
      </c>
      <c r="AK197" s="13">
        <f t="shared" si="164"/>
        <v>2.2708641912150958E-12</v>
      </c>
      <c r="AL197" s="20">
        <f t="shared" si="165"/>
        <v>4.2330868906469593E-12</v>
      </c>
      <c r="AM197" s="59">
        <f t="shared" si="193"/>
        <v>293.33333333333752</v>
      </c>
      <c r="AN197" s="59">
        <f ca="1">AVERAGE(OFFSET($AM$3,0,0,'Données projet'!$E$10+1,1))-AVERAGE(OFFSET($H$3,0,0,'Données projet'!$E$10+1,1))</f>
        <v>158.58786357608489</v>
      </c>
      <c r="AO197" s="59">
        <f t="shared" ref="AO197:AO203" si="205">$AO$3</f>
        <v>163.20074068819849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0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-1.7053025658242404E-13</v>
      </c>
      <c r="BE197" s="13">
        <f>BD197*VLOOKUP('Données projet'!$B$11,Paramètres!$A$1:$I$89,3,0)*VLOOKUP('Données projet'!$B$11,Paramètres!$A$1:$I$89,5,0)</f>
        <v>-1.0197709343628959E-13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243.85350804244348</v>
      </c>
      <c r="BJ197" s="59">
        <f t="shared" ref="BJ197:BJ203" si="206">$BJ$3</f>
        <v>304.60992308960545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0.17585643924907601</v>
      </c>
      <c r="BQ197" s="21">
        <f>EXP(-LN(2)/25)*BQ196+(1-EXP(-LN(2)/25))/(LN(2)/25)*Calculateur!BL197*Calculateur!BN197*VLOOKUP('Données projet'!$B$11,Paramètres!$A$1:$I$89,3,0)*0.475*44/12</f>
        <v>0.18789924600362456</v>
      </c>
      <c r="BR197" s="21">
        <f>EXP(-LN(2)/2)*BR196+(1-EXP(-LN(2)/2))/(LN(2)/2)*BL197*BO197*VLOOKUP('Données projet'!$B$11,Paramètres!$A$1:$I$89,3,0)*0.475*44/12</f>
        <v>7.7304712717264558E-25</v>
      </c>
      <c r="BS197" s="22">
        <f t="shared" si="169"/>
        <v>0.36375568525270058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497</v>
      </c>
      <c r="BZ197" s="13">
        <f>BY197*VLOOKUP('Données projet'!$B$12,Paramètres!$A$1:$I$89,3,0)*VLOOKUP('Données projet'!$B$12,Paramètres!$A$1:$I$89,5,0)</f>
        <v>297.20600000000002</v>
      </c>
      <c r="CA197" s="13">
        <f t="shared" si="170"/>
        <v>70.590415164571112</v>
      </c>
      <c r="CB197" s="20">
        <f t="shared" si="171"/>
        <v>640.57875641162809</v>
      </c>
      <c r="CC197" s="59">
        <f t="shared" si="195"/>
        <v>933.91208974496135</v>
      </c>
      <c r="CD197" s="59">
        <f ca="1">AVERAGE(OFFSET($CC$3,0,0,'Données projet'!$E$12+1,1))-AVERAGE(OFFSET($H$3,0,0,'Données projet'!$E$12+1,1))</f>
        <v>270.30888762640245</v>
      </c>
      <c r="CE197" s="59">
        <f t="shared" ref="CE197:CE203" si="207">$CE$3</f>
        <v>202.23783851977691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8.3224798718016788E-2</v>
      </c>
      <c r="CL197" s="21">
        <f>EXP(-LN(2)/25)*CL196+(1-EXP(-LN(2)/25))/(LN(2)/25)*Calculateur!CG197*Calculateur!CI197*VLOOKUP('Données projet'!$B$12,Paramètres!$A$1:$I$89,3,0)*0.475*44/12</f>
        <v>0.13031041104165453</v>
      </c>
      <c r="CM197" s="21">
        <f>EXP(-LN(2)/2)*CM196+(1-EXP(-LN(2)/2))/(LN(2)/2)*CG197*CJ197*VLOOKUP('Données projet'!$B$12,Paramètres!$A$1:$I$89,3,0)*0.475*44/12</f>
        <v>3.8241818245633749E-24</v>
      </c>
      <c r="CN197" s="22">
        <f t="shared" si="172"/>
        <v>0.21353520975967133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-5.1159076974727213E-13</v>
      </c>
      <c r="CU197" s="17">
        <f>CT197*VLOOKUP('Données projet'!$B$13,Paramètres!$A$1:$I$89,3,0)*VLOOKUP('Données projet'!$B$13,Paramètres!$A$1:$I$89,5,0)</f>
        <v>-4.0702161641092972E-13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260.20517190557814</v>
      </c>
      <c r="CZ197" s="59">
        <f t="shared" ref="CZ197:CZ203" si="208">$CZ$3</f>
        <v>307.22009971147133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0.1267871510904667</v>
      </c>
      <c r="DG197" s="21">
        <f>EXP(-LN(2)/25)*DG196+(1-EXP(-LN(2)/25))/(LN(2)/25)*Calculateur!DB197*Calculateur!DD197*VLOOKUP('Données projet'!$B$13,Paramètres!$A$1:$I$89,3,0)*0.475*44/12</f>
        <v>0.21747642073411441</v>
      </c>
      <c r="DH197" s="21">
        <f>EXP(-LN(2)/2)*DH196+(1-EXP(-LN(2)/2))/(LN(2)/2)*DB197*DE197*VLOOKUP('Données projet'!$B$13,Paramètres!$A$1:$I$89,3,0)*0.475*44/12</f>
        <v>4.9711557695947465E-24</v>
      </c>
      <c r="DI197" s="22">
        <f t="shared" si="175"/>
        <v>0.34426357182458112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4.5474735088646412E-13</v>
      </c>
      <c r="DP197" s="17">
        <f>DO197*VLOOKUP('Données projet'!$B$14,Paramètres!$A$1:$I$89,3,0)*VLOOKUP('Données projet'!$B$14,Paramètres!$A$1:$I$89,5,0)</f>
        <v>4.6111381379887462E-13</v>
      </c>
      <c r="DQ197" s="13">
        <f t="shared" si="176"/>
        <v>5.7981965206434308E-12</v>
      </c>
      <c r="DR197" s="20">
        <f t="shared" si="177"/>
        <v>1.0901632165820347E-11</v>
      </c>
      <c r="DS197" s="59">
        <f t="shared" si="197"/>
        <v>293.33333333334423</v>
      </c>
      <c r="DT197" s="59">
        <f ca="1">AVERAGE(OFFSET($DS$3,0,0,'Données projet'!$E$14+1,1))-AVERAGE(OFFSET($H$3,0,0,'Données projet'!$E$14+1,1))</f>
        <v>263.15518481854753</v>
      </c>
      <c r="DU197" s="59">
        <f t="shared" ref="DU197:DU203" si="209">$DU$3</f>
        <v>210.80755370263819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0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-5.1159076974727213E-13</v>
      </c>
      <c r="EK197" s="17">
        <f>EJ197*VLOOKUP('Données projet'!$B$15,Paramètres!$A$1:$I$89,3,0)*VLOOKUP('Données projet'!$B$15,Paramètres!$A$1:$I$89,5,0)</f>
        <v>-3.4317508834647017E-13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207.93042467236967</v>
      </c>
      <c r="EP197" s="59">
        <f t="shared" ref="EP197:EP203" si="210">$EP$3</f>
        <v>250.70954318710835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0.10689897052725615</v>
      </c>
      <c r="EW197" s="21">
        <f>EXP(-LN(2)/25)*EW196+(1-EXP(-LN(2)/25))/(LN(2)/25)*Calculateur!ER197*Calculateur!ET197*VLOOKUP('Données projet'!$B$15,Paramètres!$A$1:$I$89,3,0)*0.475*44/12</f>
        <v>0.1833624723836654</v>
      </c>
      <c r="EX197" s="21">
        <f>EXP(-LN(2)/2)*EX196+(1-EXP(-LN(2)/2))/(LN(2)/2)*ER197*EU197*VLOOKUP('Données projet'!$B$15,Paramètres!$A$1:$I$89,3,0)*0.475*44/12</f>
        <v>4.1913666292661585E-24</v>
      </c>
      <c r="EY197" s="22">
        <f t="shared" si="181"/>
        <v>0.29026144291092154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4.5474735088646412E-13</v>
      </c>
      <c r="FF197" s="17">
        <f>FE197*VLOOKUP('Données projet'!$B$16,Paramètres!$A$1:$I$89,3,0)*VLOOKUP('Données projet'!$B$16,Paramètres!$A$1:$I$89,5,0)</f>
        <v>4.8949004849418999E-13</v>
      </c>
      <c r="FG197" s="13">
        <f t="shared" si="182"/>
        <v>6.1123715499968684E-12</v>
      </c>
      <c r="FH197" s="20">
        <f t="shared" si="183"/>
        <v>1.1498242284038591E-11</v>
      </c>
      <c r="FI197" s="59">
        <f t="shared" si="199"/>
        <v>293.3333333333448</v>
      </c>
      <c r="FJ197" s="59">
        <f ca="1">AVERAGE(OFFSET($FI$3,0,0,'Données projet'!$E$16+1,1))-AVERAGE(OFFSET($H$3,0,0,'Données projet'!$E$16+1,1))</f>
        <v>286.77702855541287</v>
      </c>
      <c r="FK197" s="59">
        <f t="shared" ref="FK197:FK203" si="211">$FK$3</f>
        <v>227.12211541860779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0</v>
      </c>
      <c r="FR197" s="21">
        <f>EXP(-LN(2)/25)*FR196+(1-EXP(-LN(2)/25))/(LN(2)/25)*Calculateur!FM197*Calculateur!FO197*VLOOKUP('Données projet'!$B$16,Paramètres!$A$1:$I$89,3,0)*0.475*44/12</f>
        <v>0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0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5.6843418860808015E-13</v>
      </c>
      <c r="GA197" s="17">
        <f>FZ197*VLOOKUP('Données projet'!$B$17,Paramètres!$A$1:$I$89,3,0)*VLOOKUP('Données projet'!$B$17,Paramètres!$A$1:$I$89,5,0)</f>
        <v>2.6602720026858149E-13</v>
      </c>
      <c r="GB197" s="13">
        <f t="shared" si="185"/>
        <v>3.5662905043956649E-12</v>
      </c>
      <c r="GC197" s="20">
        <f t="shared" si="186"/>
        <v>6.6746200022902298E-12</v>
      </c>
      <c r="GD197" s="59">
        <f t="shared" si="200"/>
        <v>293.33333333333997</v>
      </c>
      <c r="GE197" s="59">
        <f ca="1">AVERAGE(OFFSET($GD$3,0,0,'Données projet'!$E$17+1,1))-AVERAGE(OFFSET($H$3,0,0,'Données projet'!$E$17+1,1))</f>
        <v>123.2823358462245</v>
      </c>
      <c r="GF197" s="59">
        <f t="shared" ref="GF197:GF203" si="212">$GF$3</f>
        <v>92.75115399786057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0</v>
      </c>
      <c r="GM197" s="21">
        <f>EXP(-LN(2)/25)*GM196+(1-EXP(-LN(2)/25))/(LN(2)/25)*Calculateur!GH197*Calculateur!GJ197*VLOOKUP('Données projet'!$B$17,Paramètres!$A$1:$I$89,3,0)*0.475*44/12</f>
        <v>0</v>
      </c>
      <c r="GN197" s="21">
        <f>EXP(-LN(2)/2)*GN196+(1-EXP(-LN(2)/2))/(LN(2)/2)*GH197*GK197*VLOOKUP('Données projet'!$B$17,Paramètres!$A$1:$I$89,3,0)*0.475*44/12</f>
        <v>0</v>
      </c>
      <c r="GO197" s="21">
        <f t="shared" si="187"/>
        <v>0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-2.8421709430404007E-13</v>
      </c>
      <c r="GV197" s="17">
        <f>GU197*VLOOKUP('Données projet'!$B$18,Paramètres!$A$1:$I$89,3,0)*VLOOKUP('Données projet'!$B$18,Paramètres!$A$1:$I$89,5,0)</f>
        <v>-1.69961822393816E-13</v>
      </c>
      <c r="GW197" s="13" t="e">
        <f t="shared" si="188"/>
        <v>#NUM!</v>
      </c>
      <c r="GX197" s="20" t="e">
        <f t="shared" si="189"/>
        <v>#NUM!</v>
      </c>
      <c r="GY197" s="59" t="e">
        <f t="shared" si="201"/>
        <v>#NUM!</v>
      </c>
      <c r="GZ197" s="59">
        <f ca="1">AVERAGE(OFFSET($GY$3,0,0,'Données projet'!$E$18+1,1))-AVERAGE(OFFSET($H$3,0,0,'Données projet'!$E$18+1,1))</f>
        <v>171.96009656745713</v>
      </c>
      <c r="HA197" s="59">
        <f t="shared" ref="HA197:HA203" si="213">$HA$3</f>
        <v>172.37574906747716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>
        <f>EXP(-LN(2)/35)*HG196+(1-EXP(-LN(2)/35))/(LN(2)/35)*HC197*HD197*VLOOKUP('Données projet'!$B$18,Paramètres!$A$1:$I$89,3,0)*0.475*44/12</f>
        <v>6.4813981801842752E-2</v>
      </c>
      <c r="HH197" s="21">
        <f>EXP(-LN(2)/25)*HH196+(1-EXP(-LN(2)/25))/(LN(2)/25)*Calculateur!HC197*Calculateur!HE197*VLOOKUP('Données projet'!$B$18,Paramètres!$A$1:$I$89,3,0)*0.475*44/12</f>
        <v>0.21787246224661172</v>
      </c>
      <c r="HI197" s="21">
        <f>EXP(-LN(2)/2)*HI196+(1-EXP(-LN(2)/2))/(LN(2)/2)*HC197*HF197*VLOOKUP('Données projet'!$B$18,Paramètres!$A$1:$I$89,3,0)*0.475*44/12</f>
        <v>2.4907693020332818E-24</v>
      </c>
      <c r="HJ197" s="22">
        <f t="shared" si="190"/>
        <v>0.28268644404845444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-2.2737367544323206E-13</v>
      </c>
      <c r="O198" s="13">
        <f>N198*VLOOKUP('Données projet'!$B$9,Paramètres!$A$1:$I$89,3,0)*VLOOKUP('Données projet'!$B$9,Paramètres!$A$1:$I$89,5,0)</f>
        <v>-1.2710188457276673E-13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255.5374979188561</v>
      </c>
      <c r="T198" s="59">
        <f t="shared" si="204"/>
        <v>343.10418468620901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0.11771256199998026</v>
      </c>
      <c r="AA198" s="21">
        <f>EXP(-LN(2)/25)*AA197+(1-EXP(-LN(2)/25))/(LN(2)/25)*Calculateur!V198*Calculateur!X198*VLOOKUP('Données projet'!$B$9,Paramètres!$A$1:$I$89,3,0)*0.475*44/12</f>
        <v>0.16452881390917193</v>
      </c>
      <c r="AB198" s="21">
        <f>EXP(-LN(2)/2)*AB197+(1-EXP(-LN(2)/2))/(LN(2)/2)*V198*Y198*VLOOKUP('Données projet'!$B$9,Paramètres!$A$1:$I$89,3,0)*0.475*44/12</f>
        <v>2.4751017476676396E-25</v>
      </c>
      <c r="AC198" s="22">
        <f t="shared" si="163"/>
        <v>0.28224137590915221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3.4106051316484809E-13</v>
      </c>
      <c r="AJ198" s="13">
        <f>AI198*VLOOKUP('Données projet'!$B$10,Paramètres!$A$1:$I$89,3,0)*VLOOKUP('Données projet'!$B$10,Paramètres!$A$1:$I$89,5,0)</f>
        <v>1.5961632016114892E-13</v>
      </c>
      <c r="AK198" s="13">
        <f t="shared" si="164"/>
        <v>2.2708641912150958E-12</v>
      </c>
      <c r="AL198" s="20">
        <f t="shared" si="165"/>
        <v>4.2330868906469593E-12</v>
      </c>
      <c r="AM198" s="59">
        <f t="shared" si="193"/>
        <v>293.33333333333752</v>
      </c>
      <c r="AN198" s="59">
        <f ca="1">AVERAGE(OFFSET($AM$3,0,0,'Données projet'!$E$10+1,1))-AVERAGE(OFFSET($H$3,0,0,'Données projet'!$E$10+1,1))</f>
        <v>158.58786357608489</v>
      </c>
      <c r="AO198" s="59">
        <f t="shared" si="205"/>
        <v>163.20074068819849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0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-1.7053025658242404E-13</v>
      </c>
      <c r="BE198" s="13">
        <f>BD198*VLOOKUP('Données projet'!$B$11,Paramètres!$A$1:$I$89,3,0)*VLOOKUP('Données projet'!$B$11,Paramètres!$A$1:$I$89,5,0)</f>
        <v>-1.0197709343628959E-13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243.85350804244348</v>
      </c>
      <c r="BJ198" s="59">
        <f t="shared" si="206"/>
        <v>304.60992308960545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0.17240800173723836</v>
      </c>
      <c r="BQ198" s="21">
        <f>EXP(-LN(2)/25)*BQ197+(1-EXP(-LN(2)/25))/(LN(2)/25)*Calculateur!BL198*Calculateur!BN198*VLOOKUP('Données projet'!$B$11,Paramètres!$A$1:$I$89,3,0)*0.475*44/12</f>
        <v>0.18276113124046356</v>
      </c>
      <c r="BR198" s="21">
        <f>EXP(-LN(2)/2)*BR197+(1-EXP(-LN(2)/2))/(LN(2)/2)*BL198*BO198*VLOOKUP('Données projet'!$B$11,Paramètres!$A$1:$I$89,3,0)*0.475*44/12</f>
        <v>5.4662686580055707E-25</v>
      </c>
      <c r="BS198" s="22">
        <f t="shared" si="169"/>
        <v>0.35516913297770192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497</v>
      </c>
      <c r="BZ198" s="13">
        <f>BY198*VLOOKUP('Données projet'!$B$12,Paramètres!$A$1:$I$89,3,0)*VLOOKUP('Données projet'!$B$12,Paramètres!$A$1:$I$89,5,0)</f>
        <v>297.20600000000002</v>
      </c>
      <c r="CA198" s="13">
        <f t="shared" si="170"/>
        <v>70.590415164571112</v>
      </c>
      <c r="CB198" s="20">
        <f t="shared" si="171"/>
        <v>640.57875641162809</v>
      </c>
      <c r="CC198" s="59">
        <f t="shared" si="195"/>
        <v>933.91208974496135</v>
      </c>
      <c r="CD198" s="59">
        <f ca="1">AVERAGE(OFFSET($CC$3,0,0,'Données projet'!$E$12+1,1))-AVERAGE(OFFSET($H$3,0,0,'Données projet'!$E$12+1,1))</f>
        <v>270.30888762640245</v>
      </c>
      <c r="CE198" s="59">
        <f t="shared" si="207"/>
        <v>202.23783851977691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8.1592811177271352E-2</v>
      </c>
      <c r="CL198" s="21">
        <f>EXP(-LN(2)/25)*CL197+(1-EXP(-LN(2)/25))/(LN(2)/25)*Calculateur!CG198*Calculateur!CI198*VLOOKUP('Données projet'!$B$12,Paramètres!$A$1:$I$89,3,0)*0.475*44/12</f>
        <v>0.1267470659989938</v>
      </c>
      <c r="CM198" s="21">
        <f>EXP(-LN(2)/2)*CM197+(1-EXP(-LN(2)/2))/(LN(2)/2)*CG198*CJ198*VLOOKUP('Données projet'!$B$12,Paramètres!$A$1:$I$89,3,0)*0.475*44/12</f>
        <v>2.7041049006391064E-24</v>
      </c>
      <c r="CN198" s="22">
        <f t="shared" si="172"/>
        <v>0.20833987717626515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-5.1159076974727213E-13</v>
      </c>
      <c r="CU198" s="17">
        <f>CT198*VLOOKUP('Données projet'!$B$13,Paramètres!$A$1:$I$89,3,0)*VLOOKUP('Données projet'!$B$13,Paramètres!$A$1:$I$89,5,0)</f>
        <v>-4.0702161641092972E-13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260.20517190557814</v>
      </c>
      <c r="CZ198" s="59">
        <f t="shared" si="208"/>
        <v>307.22009971147133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0.12430093239010886</v>
      </c>
      <c r="DG198" s="21">
        <f>EXP(-LN(2)/25)*DG197+(1-EXP(-LN(2)/25))/(LN(2)/25)*Calculateur!DB198*Calculateur!DD198*VLOOKUP('Données projet'!$B$13,Paramètres!$A$1:$I$89,3,0)*0.475*44/12</f>
        <v>0.21152951657255215</v>
      </c>
      <c r="DH198" s="21">
        <f>EXP(-LN(2)/2)*DH197+(1-EXP(-LN(2)/2))/(LN(2)/2)*DB198*DE198*VLOOKUP('Données projet'!$B$13,Paramètres!$A$1:$I$89,3,0)*0.475*44/12</f>
        <v>3.5151379550150756E-24</v>
      </c>
      <c r="DI198" s="22">
        <f t="shared" si="175"/>
        <v>0.33583044896266101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4.5474735088646412E-13</v>
      </c>
      <c r="DP198" s="17">
        <f>DO198*VLOOKUP('Données projet'!$B$14,Paramètres!$A$1:$I$89,3,0)*VLOOKUP('Données projet'!$B$14,Paramètres!$A$1:$I$89,5,0)</f>
        <v>4.6111381379887462E-13</v>
      </c>
      <c r="DQ198" s="13">
        <f t="shared" si="176"/>
        <v>5.7981965206434308E-12</v>
      </c>
      <c r="DR198" s="20">
        <f t="shared" si="177"/>
        <v>1.0901632165820347E-11</v>
      </c>
      <c r="DS198" s="59">
        <f t="shared" si="197"/>
        <v>293.33333333334423</v>
      </c>
      <c r="DT198" s="59">
        <f ca="1">AVERAGE(OFFSET($DS$3,0,0,'Données projet'!$E$14+1,1))-AVERAGE(OFFSET($H$3,0,0,'Données projet'!$E$14+1,1))</f>
        <v>263.15518481854753</v>
      </c>
      <c r="DU198" s="59">
        <f t="shared" si="209"/>
        <v>210.80755370263819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0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-5.1159076974727213E-13</v>
      </c>
      <c r="EK198" s="17">
        <f>EJ198*VLOOKUP('Données projet'!$B$15,Paramètres!$A$1:$I$89,3,0)*VLOOKUP('Données projet'!$B$15,Paramètres!$A$1:$I$89,5,0)</f>
        <v>-3.4317508834647017E-13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207.93042467236967</v>
      </c>
      <c r="EP198" s="59">
        <f t="shared" si="210"/>
        <v>250.70954318710835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0.10480274691715052</v>
      </c>
      <c r="EW198" s="21">
        <f>EXP(-LN(2)/25)*EW197+(1-EXP(-LN(2)/25))/(LN(2)/25)*Calculateur!ER198*Calculateur!ET198*VLOOKUP('Données projet'!$B$15,Paramètres!$A$1:$I$89,3,0)*0.475*44/12</f>
        <v>0.17834841593372072</v>
      </c>
      <c r="EX198" s="21">
        <f>EXP(-LN(2)/2)*EX197+(1-EXP(-LN(2)/2))/(LN(2)/2)*ER198*EU198*VLOOKUP('Données projet'!$B$15,Paramètres!$A$1:$I$89,3,0)*0.475*44/12</f>
        <v>2.9637437659931028E-24</v>
      </c>
      <c r="EY198" s="22">
        <f t="shared" si="181"/>
        <v>0.28315116285087127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4.5474735088646412E-13</v>
      </c>
      <c r="FF198" s="17">
        <f>FE198*VLOOKUP('Données projet'!$B$16,Paramètres!$A$1:$I$89,3,0)*VLOOKUP('Données projet'!$B$16,Paramètres!$A$1:$I$89,5,0)</f>
        <v>4.8949004849418999E-13</v>
      </c>
      <c r="FG198" s="13">
        <f t="shared" si="182"/>
        <v>6.1123715499968684E-12</v>
      </c>
      <c r="FH198" s="20">
        <f t="shared" si="183"/>
        <v>1.1498242284038591E-11</v>
      </c>
      <c r="FI198" s="59">
        <f t="shared" si="199"/>
        <v>293.3333333333448</v>
      </c>
      <c r="FJ198" s="59">
        <f ca="1">AVERAGE(OFFSET($FI$3,0,0,'Données projet'!$E$16+1,1))-AVERAGE(OFFSET($H$3,0,0,'Données projet'!$E$16+1,1))</f>
        <v>286.77702855541287</v>
      </c>
      <c r="FK198" s="59">
        <f t="shared" si="211"/>
        <v>227.12211541860779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0</v>
      </c>
      <c r="FR198" s="21">
        <f>EXP(-LN(2)/25)*FR197+(1-EXP(-LN(2)/25))/(LN(2)/25)*Calculateur!FM198*Calculateur!FO198*VLOOKUP('Données projet'!$B$16,Paramètres!$A$1:$I$89,3,0)*0.475*44/12</f>
        <v>0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0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5.6843418860808015E-13</v>
      </c>
      <c r="GA198" s="17">
        <f>FZ198*VLOOKUP('Données projet'!$B$17,Paramètres!$A$1:$I$89,3,0)*VLOOKUP('Données projet'!$B$17,Paramètres!$A$1:$I$89,5,0)</f>
        <v>2.6602720026858149E-13</v>
      </c>
      <c r="GB198" s="13">
        <f t="shared" si="185"/>
        <v>3.5662905043956649E-12</v>
      </c>
      <c r="GC198" s="20">
        <f t="shared" si="186"/>
        <v>6.6746200022902298E-12</v>
      </c>
      <c r="GD198" s="59">
        <f t="shared" si="200"/>
        <v>293.33333333333997</v>
      </c>
      <c r="GE198" s="59">
        <f ca="1">AVERAGE(OFFSET($GD$3,0,0,'Données projet'!$E$17+1,1))-AVERAGE(OFFSET($H$3,0,0,'Données projet'!$E$17+1,1))</f>
        <v>123.2823358462245</v>
      </c>
      <c r="GF198" s="59">
        <f t="shared" si="212"/>
        <v>92.75115399786057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0</v>
      </c>
      <c r="GM198" s="21">
        <f>EXP(-LN(2)/25)*GM197+(1-EXP(-LN(2)/25))/(LN(2)/25)*Calculateur!GH198*Calculateur!GJ198*VLOOKUP('Données projet'!$B$17,Paramètres!$A$1:$I$89,3,0)*0.475*44/12</f>
        <v>0</v>
      </c>
      <c r="GN198" s="21">
        <f>EXP(-LN(2)/2)*GN197+(1-EXP(-LN(2)/2))/(LN(2)/2)*GH198*GK198*VLOOKUP('Données projet'!$B$17,Paramètres!$A$1:$I$89,3,0)*0.475*44/12</f>
        <v>0</v>
      </c>
      <c r="GO198" s="21">
        <f t="shared" si="187"/>
        <v>0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-2.8421709430404007E-13</v>
      </c>
      <c r="GV198" s="17">
        <f>GU198*VLOOKUP('Données projet'!$B$18,Paramètres!$A$1:$I$89,3,0)*VLOOKUP('Données projet'!$B$18,Paramètres!$A$1:$I$89,5,0)</f>
        <v>-1.69961822393816E-13</v>
      </c>
      <c r="GW198" s="13" t="e">
        <f t="shared" si="188"/>
        <v>#NUM!</v>
      </c>
      <c r="GX198" s="20" t="e">
        <f t="shared" si="189"/>
        <v>#NUM!</v>
      </c>
      <c r="GY198" s="59" t="e">
        <f t="shared" si="201"/>
        <v>#NUM!</v>
      </c>
      <c r="GZ198" s="59">
        <f ca="1">AVERAGE(OFFSET($GY$3,0,0,'Données projet'!$E$18+1,1))-AVERAGE(OFFSET($H$3,0,0,'Données projet'!$E$18+1,1))</f>
        <v>171.96009656745713</v>
      </c>
      <c r="HA198" s="59">
        <f t="shared" si="213"/>
        <v>172.37574906747716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>
        <f>EXP(-LN(2)/35)*HG197+(1-EXP(-LN(2)/35))/(LN(2)/35)*HC198*HD198*VLOOKUP('Données projet'!$B$18,Paramètres!$A$1:$I$89,3,0)*0.475*44/12</f>
        <v>6.3543019151333993E-2</v>
      </c>
      <c r="HH198" s="21">
        <f>EXP(-LN(2)/25)*HH197+(1-EXP(-LN(2)/25))/(LN(2)/25)*Calculateur!HC198*Calculateur!HE198*VLOOKUP('Données projet'!$B$18,Paramètres!$A$1:$I$89,3,0)*0.475*44/12</f>
        <v>0.2119147283090633</v>
      </c>
      <c r="HI198" s="21">
        <f>EXP(-LN(2)/2)*HI197+(1-EXP(-LN(2)/2))/(LN(2)/2)*HC198*HF198*VLOOKUP('Données projet'!$B$18,Paramètres!$A$1:$I$89,3,0)*0.475*44/12</f>
        <v>1.7612398638390175E-24</v>
      </c>
      <c r="HJ198" s="22">
        <f t="shared" si="190"/>
        <v>0.27545774746039731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-2.2737367544323206E-13</v>
      </c>
      <c r="O199" s="13">
        <f>N199*VLOOKUP('Données projet'!$B$9,Paramètres!$A$1:$I$89,3,0)*VLOOKUP('Données projet'!$B$9,Paramètres!$A$1:$I$89,5,0)</f>
        <v>-1.2710188457276673E-13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255.5374979188561</v>
      </c>
      <c r="T199" s="59">
        <f t="shared" si="204"/>
        <v>343.10418468620901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0.11540429045673405</v>
      </c>
      <c r="AA199" s="21">
        <f>EXP(-LN(2)/25)*AA198+(1-EXP(-LN(2)/25))/(LN(2)/25)*Calculateur!V199*Calculateur!X199*VLOOKUP('Données projet'!$B$9,Paramètres!$A$1:$I$89,3,0)*0.475*44/12</f>
        <v>0.16002976484063133</v>
      </c>
      <c r="AB199" s="21">
        <f>EXP(-LN(2)/2)*AB198+(1-EXP(-LN(2)/2))/(LN(2)/2)*V199*Y199*VLOOKUP('Données projet'!$B$9,Paramètres!$A$1:$I$89,3,0)*0.475*44/12</f>
        <v>1.750161229902463E-25</v>
      </c>
      <c r="AC199" s="22">
        <f t="shared" si="163"/>
        <v>0.27543405529736537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3.4106051316484809E-13</v>
      </c>
      <c r="AJ199" s="13">
        <f>AI199*VLOOKUP('Données projet'!$B$10,Paramètres!$A$1:$I$89,3,0)*VLOOKUP('Données projet'!$B$10,Paramètres!$A$1:$I$89,5,0)</f>
        <v>1.5961632016114892E-13</v>
      </c>
      <c r="AK199" s="13">
        <f t="shared" si="164"/>
        <v>2.2708641912150958E-12</v>
      </c>
      <c r="AL199" s="20">
        <f t="shared" si="165"/>
        <v>4.2330868906469593E-12</v>
      </c>
      <c r="AM199" s="59">
        <f t="shared" si="193"/>
        <v>293.33333333333752</v>
      </c>
      <c r="AN199" s="59">
        <f ca="1">AVERAGE(OFFSET($AM$3,0,0,'Données projet'!$E$10+1,1))-AVERAGE(OFFSET($H$3,0,0,'Données projet'!$E$10+1,1))</f>
        <v>158.58786357608489</v>
      </c>
      <c r="AO199" s="59">
        <f t="shared" si="205"/>
        <v>163.20074068819849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0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-1.7053025658242404E-13</v>
      </c>
      <c r="BE199" s="13">
        <f>BD199*VLOOKUP('Données projet'!$B$11,Paramètres!$A$1:$I$89,3,0)*VLOOKUP('Données projet'!$B$11,Paramètres!$A$1:$I$89,5,0)</f>
        <v>-1.0197709343628959E-13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243.85350804244348</v>
      </c>
      <c r="BJ199" s="59">
        <f t="shared" si="206"/>
        <v>304.60992308960545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0.16902718598166863</v>
      </c>
      <c r="BQ199" s="21">
        <f>EXP(-LN(2)/25)*BQ198+(1-EXP(-LN(2)/25))/(LN(2)/25)*Calculateur!BL199*Calculateur!BN199*VLOOKUP('Données projet'!$B$11,Paramètres!$A$1:$I$89,3,0)*0.475*44/12</f>
        <v>0.1777635184957029</v>
      </c>
      <c r="BR199" s="21">
        <f>EXP(-LN(2)/2)*BR198+(1-EXP(-LN(2)/2))/(LN(2)/2)*BL199*BO199*VLOOKUP('Données projet'!$B$11,Paramètres!$A$1:$I$89,3,0)*0.475*44/12</f>
        <v>3.8652356358632279E-25</v>
      </c>
      <c r="BS199" s="22">
        <f t="shared" si="169"/>
        <v>0.34679070447737154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497</v>
      </c>
      <c r="BZ199" s="13">
        <f>BY199*VLOOKUP('Données projet'!$B$12,Paramètres!$A$1:$I$89,3,0)*VLOOKUP('Données projet'!$B$12,Paramètres!$A$1:$I$89,5,0)</f>
        <v>297.20600000000002</v>
      </c>
      <c r="CA199" s="13">
        <f t="shared" si="170"/>
        <v>70.590415164571112</v>
      </c>
      <c r="CB199" s="20">
        <f t="shared" si="171"/>
        <v>640.57875641162809</v>
      </c>
      <c r="CC199" s="59">
        <f t="shared" si="195"/>
        <v>933.91208974496135</v>
      </c>
      <c r="CD199" s="59">
        <f ca="1">AVERAGE(OFFSET($CC$3,0,0,'Données projet'!$E$12+1,1))-AVERAGE(OFFSET($H$3,0,0,'Données projet'!$E$12+1,1))</f>
        <v>270.30888762640245</v>
      </c>
      <c r="CE199" s="59">
        <f t="shared" si="207"/>
        <v>202.23783851977691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7.9992825916785831E-2</v>
      </c>
      <c r="CL199" s="21">
        <f>EXP(-LN(2)/25)*CL198+(1-EXP(-LN(2)/25))/(LN(2)/25)*Calculateur!CG199*Calculateur!CI199*VLOOKUP('Données projet'!$B$12,Paramètres!$A$1:$I$89,3,0)*0.475*44/12</f>
        <v>0.1232811608139128</v>
      </c>
      <c r="CM199" s="21">
        <f>EXP(-LN(2)/2)*CM198+(1-EXP(-LN(2)/2))/(LN(2)/2)*CG199*CJ199*VLOOKUP('Données projet'!$B$12,Paramètres!$A$1:$I$89,3,0)*0.475*44/12</f>
        <v>1.9120909122816874E-24</v>
      </c>
      <c r="CN199" s="22">
        <f t="shared" si="172"/>
        <v>0.20327398673069863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-5.1159076974727213E-13</v>
      </c>
      <c r="CU199" s="17">
        <f>CT199*VLOOKUP('Données projet'!$B$13,Paramètres!$A$1:$I$89,3,0)*VLOOKUP('Données projet'!$B$13,Paramètres!$A$1:$I$89,5,0)</f>
        <v>-4.0702161641092972E-13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260.20517190557814</v>
      </c>
      <c r="CZ199" s="59">
        <f t="shared" si="208"/>
        <v>307.22009971147133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0.12186346692202137</v>
      </c>
      <c r="DG199" s="21">
        <f>EXP(-LN(2)/25)*DG198+(1-EXP(-LN(2)/25))/(LN(2)/25)*Calculateur!DB199*Calculateur!DD199*VLOOKUP('Données projet'!$B$13,Paramètres!$A$1:$I$89,3,0)*0.475*44/12</f>
        <v>0.2057452308180219</v>
      </c>
      <c r="DH199" s="21">
        <f>EXP(-LN(2)/2)*DH198+(1-EXP(-LN(2)/2))/(LN(2)/2)*DB199*DE199*VLOOKUP('Données projet'!$B$13,Paramètres!$A$1:$I$89,3,0)*0.475*44/12</f>
        <v>2.4855778847973732E-24</v>
      </c>
      <c r="DI199" s="22">
        <f t="shared" si="175"/>
        <v>0.32760869774004325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4.5474735088646412E-13</v>
      </c>
      <c r="DP199" s="17">
        <f>DO199*VLOOKUP('Données projet'!$B$14,Paramètres!$A$1:$I$89,3,0)*VLOOKUP('Données projet'!$B$14,Paramètres!$A$1:$I$89,5,0)</f>
        <v>4.6111381379887462E-13</v>
      </c>
      <c r="DQ199" s="13">
        <f t="shared" si="176"/>
        <v>5.7981965206434308E-12</v>
      </c>
      <c r="DR199" s="20">
        <f t="shared" si="177"/>
        <v>1.0901632165820347E-11</v>
      </c>
      <c r="DS199" s="59">
        <f t="shared" si="197"/>
        <v>293.33333333334423</v>
      </c>
      <c r="DT199" s="59">
        <f ca="1">AVERAGE(OFFSET($DS$3,0,0,'Données projet'!$E$14+1,1))-AVERAGE(OFFSET($H$3,0,0,'Données projet'!$E$14+1,1))</f>
        <v>263.15518481854753</v>
      </c>
      <c r="DU199" s="59">
        <f t="shared" si="209"/>
        <v>210.80755370263819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0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-5.1159076974727213E-13</v>
      </c>
      <c r="EK199" s="17">
        <f>EJ199*VLOOKUP('Données projet'!$B$15,Paramètres!$A$1:$I$89,3,0)*VLOOKUP('Données projet'!$B$15,Paramètres!$A$1:$I$89,5,0)</f>
        <v>-3.4317508834647017E-13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207.93042467236967</v>
      </c>
      <c r="EP199" s="59">
        <f t="shared" si="210"/>
        <v>250.70954318710835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0.10274762897346891</v>
      </c>
      <c r="EW199" s="21">
        <f>EXP(-LN(2)/25)*EW198+(1-EXP(-LN(2)/25))/(LN(2)/25)*Calculateur!ER199*Calculateur!ET199*VLOOKUP('Données projet'!$B$15,Paramètres!$A$1:$I$89,3,0)*0.475*44/12</f>
        <v>0.17347146912107755</v>
      </c>
      <c r="EX199" s="21">
        <f>EXP(-LN(2)/2)*EX198+(1-EXP(-LN(2)/2))/(LN(2)/2)*ER199*EU199*VLOOKUP('Données projet'!$B$15,Paramètres!$A$1:$I$89,3,0)*0.475*44/12</f>
        <v>2.0956833146330792E-24</v>
      </c>
      <c r="EY199" s="22">
        <f t="shared" si="181"/>
        <v>0.27621909809454648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4.5474735088646412E-13</v>
      </c>
      <c r="FF199" s="17">
        <f>FE199*VLOOKUP('Données projet'!$B$16,Paramètres!$A$1:$I$89,3,0)*VLOOKUP('Données projet'!$B$16,Paramètres!$A$1:$I$89,5,0)</f>
        <v>4.8949004849418999E-13</v>
      </c>
      <c r="FG199" s="13">
        <f t="shared" si="182"/>
        <v>6.1123715499968684E-12</v>
      </c>
      <c r="FH199" s="20">
        <f t="shared" si="183"/>
        <v>1.1498242284038591E-11</v>
      </c>
      <c r="FI199" s="59">
        <f t="shared" si="199"/>
        <v>293.3333333333448</v>
      </c>
      <c r="FJ199" s="59">
        <f ca="1">AVERAGE(OFFSET($FI$3,0,0,'Données projet'!$E$16+1,1))-AVERAGE(OFFSET($H$3,0,0,'Données projet'!$E$16+1,1))</f>
        <v>286.77702855541287</v>
      </c>
      <c r="FK199" s="59">
        <f t="shared" si="211"/>
        <v>227.12211541860779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0</v>
      </c>
      <c r="FR199" s="21">
        <f>EXP(-LN(2)/25)*FR198+(1-EXP(-LN(2)/25))/(LN(2)/25)*Calculateur!FM199*Calculateur!FO199*VLOOKUP('Données projet'!$B$16,Paramètres!$A$1:$I$89,3,0)*0.475*44/12</f>
        <v>0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0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5.6843418860808015E-13</v>
      </c>
      <c r="GA199" s="17">
        <f>FZ199*VLOOKUP('Données projet'!$B$17,Paramètres!$A$1:$I$89,3,0)*VLOOKUP('Données projet'!$B$17,Paramètres!$A$1:$I$89,5,0)</f>
        <v>2.6602720026858149E-13</v>
      </c>
      <c r="GB199" s="13">
        <f t="shared" si="185"/>
        <v>3.5662905043956649E-12</v>
      </c>
      <c r="GC199" s="20">
        <f t="shared" si="186"/>
        <v>6.6746200022902298E-12</v>
      </c>
      <c r="GD199" s="59">
        <f t="shared" si="200"/>
        <v>293.33333333333997</v>
      </c>
      <c r="GE199" s="59">
        <f ca="1">AVERAGE(OFFSET($GD$3,0,0,'Données projet'!$E$17+1,1))-AVERAGE(OFFSET($H$3,0,0,'Données projet'!$E$17+1,1))</f>
        <v>123.2823358462245</v>
      </c>
      <c r="GF199" s="59">
        <f t="shared" si="212"/>
        <v>92.75115399786057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0</v>
      </c>
      <c r="GM199" s="21">
        <f>EXP(-LN(2)/25)*GM198+(1-EXP(-LN(2)/25))/(LN(2)/25)*Calculateur!GH199*Calculateur!GJ199*VLOOKUP('Données projet'!$B$17,Paramètres!$A$1:$I$89,3,0)*0.475*44/12</f>
        <v>0</v>
      </c>
      <c r="GN199" s="21">
        <f>EXP(-LN(2)/2)*GN198+(1-EXP(-LN(2)/2))/(LN(2)/2)*GH199*GK199*VLOOKUP('Données projet'!$B$17,Paramètres!$A$1:$I$89,3,0)*0.475*44/12</f>
        <v>0</v>
      </c>
      <c r="GO199" s="21">
        <f t="shared" si="187"/>
        <v>0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-2.8421709430404007E-13</v>
      </c>
      <c r="GV199" s="17">
        <f>GU199*VLOOKUP('Données projet'!$B$18,Paramètres!$A$1:$I$89,3,0)*VLOOKUP('Données projet'!$B$18,Paramètres!$A$1:$I$89,5,0)</f>
        <v>-1.69961822393816E-13</v>
      </c>
      <c r="GW199" s="13" t="e">
        <f t="shared" si="188"/>
        <v>#NUM!</v>
      </c>
      <c r="GX199" s="20" t="e">
        <f t="shared" si="189"/>
        <v>#NUM!</v>
      </c>
      <c r="GY199" s="59" t="e">
        <f t="shared" si="201"/>
        <v>#NUM!</v>
      </c>
      <c r="GZ199" s="59">
        <f ca="1">AVERAGE(OFFSET($GY$3,0,0,'Données projet'!$E$18+1,1))-AVERAGE(OFFSET($H$3,0,0,'Données projet'!$E$18+1,1))</f>
        <v>171.96009656745713</v>
      </c>
      <c r="HA199" s="59">
        <f t="shared" si="213"/>
        <v>172.37574906747716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>
        <f>EXP(-LN(2)/35)*HG198+(1-EXP(-LN(2)/35))/(LN(2)/35)*HC199*HD199*VLOOKUP('Données projet'!$B$18,Paramètres!$A$1:$I$89,3,0)*0.475*44/12</f>
        <v>6.2296979303191037E-2</v>
      </c>
      <c r="HH199" s="21">
        <f>EXP(-LN(2)/25)*HH198+(1-EXP(-LN(2)/25))/(LN(2)/25)*Calculateur!HC199*Calculateur!HE199*VLOOKUP('Données projet'!$B$18,Paramètres!$A$1:$I$89,3,0)*0.475*44/12</f>
        <v>0.20611990891934073</v>
      </c>
      <c r="HI199" s="21">
        <f>EXP(-LN(2)/2)*HI198+(1-EXP(-LN(2)/2))/(LN(2)/2)*HC199*HF199*VLOOKUP('Données projet'!$B$18,Paramètres!$A$1:$I$89,3,0)*0.475*44/12</f>
        <v>1.2453846510166409E-24</v>
      </c>
      <c r="HJ199" s="22">
        <f t="shared" si="190"/>
        <v>0.26841688822253179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-2.2737367544323206E-13</v>
      </c>
      <c r="O200" s="13">
        <f>N200*VLOOKUP('Données projet'!$B$9,Paramètres!$A$1:$I$89,3,0)*VLOOKUP('Données projet'!$B$9,Paramètres!$A$1:$I$89,5,0)</f>
        <v>-1.2710188457276673E-13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255.5374979188561</v>
      </c>
      <c r="T200" s="59">
        <f t="shared" si="204"/>
        <v>343.10418468620901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0.11314128271054427</v>
      </c>
      <c r="AA200" s="21">
        <f>EXP(-LN(2)/25)*AA199+(1-EXP(-LN(2)/25))/(LN(2)/25)*Calculateur!V200*Calculateur!X200*VLOOKUP('Données projet'!$B$9,Paramètres!$A$1:$I$89,3,0)*0.475*44/12</f>
        <v>0.15565374250546468</v>
      </c>
      <c r="AB200" s="21">
        <f>EXP(-LN(2)/2)*AB199+(1-EXP(-LN(2)/2))/(LN(2)/2)*V200*Y200*VLOOKUP('Données projet'!$B$9,Paramètres!$A$1:$I$89,3,0)*0.475*44/12</f>
        <v>1.2375508738338198E-25</v>
      </c>
      <c r="AC200" s="22">
        <f t="shared" si="163"/>
        <v>0.26879502521600895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3.4106051316484809E-13</v>
      </c>
      <c r="AJ200" s="13">
        <f>AI200*VLOOKUP('Données projet'!$B$10,Paramètres!$A$1:$I$89,3,0)*VLOOKUP('Données projet'!$B$10,Paramètres!$A$1:$I$89,5,0)</f>
        <v>1.5961632016114892E-13</v>
      </c>
      <c r="AK200" s="13">
        <f t="shared" si="164"/>
        <v>2.2708641912150958E-12</v>
      </c>
      <c r="AL200" s="20">
        <f t="shared" si="165"/>
        <v>4.2330868906469593E-12</v>
      </c>
      <c r="AM200" s="59">
        <f t="shared" si="193"/>
        <v>293.33333333333752</v>
      </c>
      <c r="AN200" s="59">
        <f ca="1">AVERAGE(OFFSET($AM$3,0,0,'Données projet'!$E$10+1,1))-AVERAGE(OFFSET($H$3,0,0,'Données projet'!$E$10+1,1))</f>
        <v>158.58786357608489</v>
      </c>
      <c r="AO200" s="59">
        <f t="shared" si="205"/>
        <v>163.20074068819849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0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-1.7053025658242404E-13</v>
      </c>
      <c r="BE200" s="13">
        <f>BD200*VLOOKUP('Données projet'!$B$11,Paramètres!$A$1:$I$89,3,0)*VLOOKUP('Données projet'!$B$11,Paramètres!$A$1:$I$89,5,0)</f>
        <v>-1.0197709343628959E-13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243.85350804244348</v>
      </c>
      <c r="BJ200" s="59">
        <f t="shared" si="206"/>
        <v>304.60992308960545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0.16571266596097164</v>
      </c>
      <c r="BQ200" s="21">
        <f>EXP(-LN(2)/25)*BQ199+(1-EXP(-LN(2)/25))/(LN(2)/25)*Calculateur!BL200*Calculateur!BN200*VLOOKUP('Données projet'!$B$11,Paramètres!$A$1:$I$89,3,0)*0.475*44/12</f>
        <v>0.17290256573426074</v>
      </c>
      <c r="BR200" s="21">
        <f>EXP(-LN(2)/2)*BR199+(1-EXP(-LN(2)/2))/(LN(2)/2)*BL200*BO200*VLOOKUP('Données projet'!$B$11,Paramètres!$A$1:$I$89,3,0)*0.475*44/12</f>
        <v>2.7331343290027854E-25</v>
      </c>
      <c r="BS200" s="22">
        <f t="shared" si="169"/>
        <v>0.33861523169523239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497</v>
      </c>
      <c r="BZ200" s="13">
        <f>BY200*VLOOKUP('Données projet'!$B$12,Paramètres!$A$1:$I$89,3,0)*VLOOKUP('Données projet'!$B$12,Paramètres!$A$1:$I$89,5,0)</f>
        <v>297.20600000000002</v>
      </c>
      <c r="CA200" s="13">
        <f t="shared" si="170"/>
        <v>70.590415164571112</v>
      </c>
      <c r="CB200" s="20">
        <f t="shared" si="171"/>
        <v>640.57875641162809</v>
      </c>
      <c r="CC200" s="59">
        <f t="shared" si="195"/>
        <v>933.91208974496135</v>
      </c>
      <c r="CD200" s="59">
        <f ca="1">AVERAGE(OFFSET($CC$3,0,0,'Données projet'!$E$12+1,1))-AVERAGE(OFFSET($H$3,0,0,'Données projet'!$E$12+1,1))</f>
        <v>270.30888762640245</v>
      </c>
      <c r="CE200" s="59">
        <f t="shared" si="207"/>
        <v>202.23783851977691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7.842421539136378E-2</v>
      </c>
      <c r="CL200" s="21">
        <f>EXP(-LN(2)/25)*CL199+(1-EXP(-LN(2)/25))/(LN(2)/25)*Calculateur!CG200*Calculateur!CI200*VLOOKUP('Données projet'!$B$12,Paramètres!$A$1:$I$89,3,0)*0.475*44/12</f>
        <v>0.11991003098838186</v>
      </c>
      <c r="CM200" s="21">
        <f>EXP(-LN(2)/2)*CM199+(1-EXP(-LN(2)/2))/(LN(2)/2)*CG200*CJ200*VLOOKUP('Données projet'!$B$12,Paramètres!$A$1:$I$89,3,0)*0.475*44/12</f>
        <v>1.3520524503195532E-24</v>
      </c>
      <c r="CN200" s="22">
        <f t="shared" si="172"/>
        <v>0.19833424637974564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-5.1159076974727213E-13</v>
      </c>
      <c r="CU200" s="17">
        <f>CT200*VLOOKUP('Données projet'!$B$13,Paramètres!$A$1:$I$89,3,0)*VLOOKUP('Données projet'!$B$13,Paramètres!$A$1:$I$89,5,0)</f>
        <v>-4.0702161641092972E-13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260.20517190557814</v>
      </c>
      <c r="CZ200" s="59">
        <f t="shared" si="208"/>
        <v>307.22009971147133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0.11947379866505593</v>
      </c>
      <c r="DG200" s="21">
        <f>EXP(-LN(2)/25)*DG199+(1-EXP(-LN(2)/25))/(LN(2)/25)*Calculateur!DB200*Calculateur!DD200*VLOOKUP('Données projet'!$B$13,Paramètres!$A$1:$I$89,3,0)*0.475*44/12</f>
        <v>0.20011911666163165</v>
      </c>
      <c r="DH200" s="21">
        <f>EXP(-LN(2)/2)*DH199+(1-EXP(-LN(2)/2))/(LN(2)/2)*DB200*DE200*VLOOKUP('Données projet'!$B$13,Paramètres!$A$1:$I$89,3,0)*0.475*44/12</f>
        <v>1.7575689775075378E-24</v>
      </c>
      <c r="DI200" s="22">
        <f t="shared" si="175"/>
        <v>0.3195929153266876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4.5474735088646412E-13</v>
      </c>
      <c r="DP200" s="17">
        <f>DO200*VLOOKUP('Données projet'!$B$14,Paramètres!$A$1:$I$89,3,0)*VLOOKUP('Données projet'!$B$14,Paramètres!$A$1:$I$89,5,0)</f>
        <v>4.6111381379887462E-13</v>
      </c>
      <c r="DQ200" s="13">
        <f t="shared" si="176"/>
        <v>5.7981965206434308E-12</v>
      </c>
      <c r="DR200" s="20">
        <f t="shared" si="177"/>
        <v>1.0901632165820347E-11</v>
      </c>
      <c r="DS200" s="59">
        <f t="shared" si="197"/>
        <v>293.33333333334423</v>
      </c>
      <c r="DT200" s="59">
        <f ca="1">AVERAGE(OFFSET($DS$3,0,0,'Données projet'!$E$14+1,1))-AVERAGE(OFFSET($H$3,0,0,'Données projet'!$E$14+1,1))</f>
        <v>263.15518481854753</v>
      </c>
      <c r="DU200" s="59">
        <f t="shared" si="209"/>
        <v>210.80755370263819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0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-5.1159076974727213E-13</v>
      </c>
      <c r="EK200" s="17">
        <f>EJ200*VLOOKUP('Données projet'!$B$15,Paramètres!$A$1:$I$89,3,0)*VLOOKUP('Données projet'!$B$15,Paramètres!$A$1:$I$89,5,0)</f>
        <v>-3.4317508834647017E-13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207.93042467236967</v>
      </c>
      <c r="EP200" s="59">
        <f t="shared" si="210"/>
        <v>250.70954318710835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0.10073281063916473</v>
      </c>
      <c r="EW200" s="21">
        <f>EXP(-LN(2)/25)*EW199+(1-EXP(-LN(2)/25))/(LN(2)/25)*Calculateur!ER200*Calculateur!ET200*VLOOKUP('Données projet'!$B$15,Paramètres!$A$1:$I$89,3,0)*0.475*44/12</f>
        <v>0.1687278826754936</v>
      </c>
      <c r="EX200" s="21">
        <f>EXP(-LN(2)/2)*EX199+(1-EXP(-LN(2)/2))/(LN(2)/2)*ER200*EU200*VLOOKUP('Données projet'!$B$15,Paramètres!$A$1:$I$89,3,0)*0.475*44/12</f>
        <v>1.4818718829965514E-24</v>
      </c>
      <c r="EY200" s="22">
        <f t="shared" si="181"/>
        <v>0.26946069331465833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4.5474735088646412E-13</v>
      </c>
      <c r="FF200" s="17">
        <f>FE200*VLOOKUP('Données projet'!$B$16,Paramètres!$A$1:$I$89,3,0)*VLOOKUP('Données projet'!$B$16,Paramètres!$A$1:$I$89,5,0)</f>
        <v>4.8949004849418999E-13</v>
      </c>
      <c r="FG200" s="13">
        <f t="shared" si="182"/>
        <v>6.1123715499968684E-12</v>
      </c>
      <c r="FH200" s="20">
        <f t="shared" si="183"/>
        <v>1.1498242284038591E-11</v>
      </c>
      <c r="FI200" s="59">
        <f t="shared" si="199"/>
        <v>293.3333333333448</v>
      </c>
      <c r="FJ200" s="59">
        <f ca="1">AVERAGE(OFFSET($FI$3,0,0,'Données projet'!$E$16+1,1))-AVERAGE(OFFSET($H$3,0,0,'Données projet'!$E$16+1,1))</f>
        <v>286.77702855541287</v>
      </c>
      <c r="FK200" s="59">
        <f t="shared" si="211"/>
        <v>227.12211541860779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0</v>
      </c>
      <c r="FR200" s="21">
        <f>EXP(-LN(2)/25)*FR199+(1-EXP(-LN(2)/25))/(LN(2)/25)*Calculateur!FM200*Calculateur!FO200*VLOOKUP('Données projet'!$B$16,Paramètres!$A$1:$I$89,3,0)*0.475*44/12</f>
        <v>0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0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5.6843418860808015E-13</v>
      </c>
      <c r="GA200" s="17">
        <f>FZ200*VLOOKUP('Données projet'!$B$17,Paramètres!$A$1:$I$89,3,0)*VLOOKUP('Données projet'!$B$17,Paramètres!$A$1:$I$89,5,0)</f>
        <v>2.6602720026858149E-13</v>
      </c>
      <c r="GB200" s="13">
        <f t="shared" si="185"/>
        <v>3.5662905043956649E-12</v>
      </c>
      <c r="GC200" s="20">
        <f t="shared" si="186"/>
        <v>6.6746200022902298E-12</v>
      </c>
      <c r="GD200" s="59">
        <f t="shared" si="200"/>
        <v>293.33333333333997</v>
      </c>
      <c r="GE200" s="59">
        <f ca="1">AVERAGE(OFFSET($GD$3,0,0,'Données projet'!$E$17+1,1))-AVERAGE(OFFSET($H$3,0,0,'Données projet'!$E$17+1,1))</f>
        <v>123.2823358462245</v>
      </c>
      <c r="GF200" s="59">
        <f t="shared" si="212"/>
        <v>92.75115399786057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0</v>
      </c>
      <c r="GM200" s="21">
        <f>EXP(-LN(2)/25)*GM199+(1-EXP(-LN(2)/25))/(LN(2)/25)*Calculateur!GH200*Calculateur!GJ200*VLOOKUP('Données projet'!$B$17,Paramètres!$A$1:$I$89,3,0)*0.475*44/12</f>
        <v>0</v>
      </c>
      <c r="GN200" s="21">
        <f>EXP(-LN(2)/2)*GN199+(1-EXP(-LN(2)/2))/(LN(2)/2)*GH200*GK200*VLOOKUP('Données projet'!$B$17,Paramètres!$A$1:$I$89,3,0)*0.475*44/12</f>
        <v>0</v>
      </c>
      <c r="GO200" s="21">
        <f t="shared" si="187"/>
        <v>0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-2.8421709430404007E-13</v>
      </c>
      <c r="GV200" s="17">
        <f>GU200*VLOOKUP('Données projet'!$B$18,Paramètres!$A$1:$I$89,3,0)*VLOOKUP('Données projet'!$B$18,Paramètres!$A$1:$I$89,5,0)</f>
        <v>-1.69961822393816E-13</v>
      </c>
      <c r="GW200" s="13" t="e">
        <f t="shared" si="188"/>
        <v>#NUM!</v>
      </c>
      <c r="GX200" s="20" t="e">
        <f t="shared" si="189"/>
        <v>#NUM!</v>
      </c>
      <c r="GY200" s="59" t="e">
        <f t="shared" si="201"/>
        <v>#NUM!</v>
      </c>
      <c r="GZ200" s="59">
        <f ca="1">AVERAGE(OFFSET($GY$3,0,0,'Données projet'!$E$18+1,1))-AVERAGE(OFFSET($H$3,0,0,'Données projet'!$E$18+1,1))</f>
        <v>171.96009656745713</v>
      </c>
      <c r="HA200" s="59">
        <f t="shared" si="213"/>
        <v>172.37574906747716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>
        <f>EXP(-LN(2)/35)*HG199+(1-EXP(-LN(2)/35))/(LN(2)/35)*HC200*HD200*VLOOKUP('Données projet'!$B$18,Paramètres!$A$1:$I$89,3,0)*0.475*44/12</f>
        <v>6.1075373536460906E-2</v>
      </c>
      <c r="HH200" s="21">
        <f>EXP(-LN(2)/25)*HH199+(1-EXP(-LN(2)/25))/(LN(2)/25)*Calculateur!HC200*Calculateur!HE200*VLOOKUP('Données projet'!$B$18,Paramètres!$A$1:$I$89,3,0)*0.475*44/12</f>
        <v>0.20048354917056643</v>
      </c>
      <c r="HI200" s="21">
        <f>EXP(-LN(2)/2)*HI199+(1-EXP(-LN(2)/2))/(LN(2)/2)*HC200*HF200*VLOOKUP('Données projet'!$B$18,Paramètres!$A$1:$I$89,3,0)*0.475*44/12</f>
        <v>8.8061993191950875E-25</v>
      </c>
      <c r="HJ200" s="22">
        <f t="shared" si="190"/>
        <v>0.26155892270702735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-2.2737367544323206E-13</v>
      </c>
      <c r="O201" s="13">
        <f>N201*VLOOKUP('Données projet'!$B$9,Paramètres!$A$1:$I$89,3,0)*VLOOKUP('Données projet'!$B$9,Paramètres!$A$1:$I$89,5,0)</f>
        <v>-1.2710188457276673E-13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255.5374979188561</v>
      </c>
      <c r="T201" s="59">
        <f t="shared" si="204"/>
        <v>343.10418468620901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0.11092265116595884</v>
      </c>
      <c r="AA201" s="21">
        <f>EXP(-LN(2)/25)*AA200+(1-EXP(-LN(2)/25))/(LN(2)/25)*Calculateur!V201*Calculateur!X201*VLOOKUP('Données projet'!$B$9,Paramètres!$A$1:$I$89,3,0)*0.475*44/12</f>
        <v>0.15139738273117817</v>
      </c>
      <c r="AB201" s="21">
        <f>EXP(-LN(2)/2)*AB200+(1-EXP(-LN(2)/2))/(LN(2)/2)*V201*Y201*VLOOKUP('Données projet'!$B$9,Paramètres!$A$1:$I$89,3,0)*0.475*44/12</f>
        <v>8.7508061495123151E-26</v>
      </c>
      <c r="AC201" s="22">
        <f t="shared" si="163"/>
        <v>0.26232003389713698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3.4106051316484809E-13</v>
      </c>
      <c r="AJ201" s="13">
        <f>AI201*VLOOKUP('Données projet'!$B$10,Paramètres!$A$1:$I$89,3,0)*VLOOKUP('Données projet'!$B$10,Paramètres!$A$1:$I$89,5,0)</f>
        <v>1.5961632016114892E-13</v>
      </c>
      <c r="AK201" s="13">
        <f t="shared" si="164"/>
        <v>2.2708641912150958E-12</v>
      </c>
      <c r="AL201" s="20">
        <f t="shared" si="165"/>
        <v>4.2330868906469593E-12</v>
      </c>
      <c r="AM201" s="59">
        <f t="shared" si="193"/>
        <v>293.33333333333752</v>
      </c>
      <c r="AN201" s="59">
        <f ca="1">AVERAGE(OFFSET($AM$3,0,0,'Données projet'!$E$10+1,1))-AVERAGE(OFFSET($H$3,0,0,'Données projet'!$E$10+1,1))</f>
        <v>158.58786357608489</v>
      </c>
      <c r="AO201" s="59">
        <f t="shared" si="205"/>
        <v>163.20074068819849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0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-1.7053025658242404E-13</v>
      </c>
      <c r="BE201" s="13">
        <f>BD201*VLOOKUP('Données projet'!$B$11,Paramètres!$A$1:$I$89,3,0)*VLOOKUP('Données projet'!$B$11,Paramètres!$A$1:$I$89,5,0)</f>
        <v>-1.0197709343628959E-13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243.85350804244348</v>
      </c>
      <c r="BJ201" s="59">
        <f t="shared" si="206"/>
        <v>304.60992308960545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0.16246314165622291</v>
      </c>
      <c r="BQ201" s="21">
        <f>EXP(-LN(2)/25)*BQ200+(1-EXP(-LN(2)/25))/(LN(2)/25)*Calculateur!BL201*Calculateur!BN201*VLOOKUP('Données projet'!$B$11,Paramètres!$A$1:$I$89,3,0)*0.475*44/12</f>
        <v>0.16817453598170662</v>
      </c>
      <c r="BR201" s="21">
        <f>EXP(-LN(2)/2)*BR200+(1-EXP(-LN(2)/2))/(LN(2)/2)*BL201*BO201*VLOOKUP('Données projet'!$B$11,Paramètres!$A$1:$I$89,3,0)*0.475*44/12</f>
        <v>1.932617817931614E-25</v>
      </c>
      <c r="BS201" s="22">
        <f t="shared" si="169"/>
        <v>0.33063767763792951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497</v>
      </c>
      <c r="BZ201" s="13">
        <f>BY201*VLOOKUP('Données projet'!$B$12,Paramètres!$A$1:$I$89,3,0)*VLOOKUP('Données projet'!$B$12,Paramètres!$A$1:$I$89,5,0)</f>
        <v>297.20600000000002</v>
      </c>
      <c r="CA201" s="13">
        <f t="shared" si="170"/>
        <v>70.590415164571112</v>
      </c>
      <c r="CB201" s="20">
        <f t="shared" si="171"/>
        <v>640.57875641162809</v>
      </c>
      <c r="CC201" s="59">
        <f t="shared" si="195"/>
        <v>933.91208974496135</v>
      </c>
      <c r="CD201" s="59">
        <f ca="1">AVERAGE(OFFSET($CC$3,0,0,'Données projet'!$E$12+1,1))-AVERAGE(OFFSET($H$3,0,0,'Données projet'!$E$12+1,1))</f>
        <v>270.30888762640245</v>
      </c>
      <c r="CE201" s="59">
        <f t="shared" si="207"/>
        <v>202.23783851977691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7.68863643615873E-2</v>
      </c>
      <c r="CL201" s="21">
        <f>EXP(-LN(2)/25)*CL200+(1-EXP(-LN(2)/25))/(LN(2)/25)*Calculateur!CG201*Calculateur!CI201*VLOOKUP('Données projet'!$B$12,Paramètres!$A$1:$I$89,3,0)*0.475*44/12</f>
        <v>0.1166310848852101</v>
      </c>
      <c r="CM201" s="21">
        <f>EXP(-LN(2)/2)*CM200+(1-EXP(-LN(2)/2))/(LN(2)/2)*CG201*CJ201*VLOOKUP('Données projet'!$B$12,Paramètres!$A$1:$I$89,3,0)*0.475*44/12</f>
        <v>9.5604545614084372E-25</v>
      </c>
      <c r="CN201" s="22">
        <f t="shared" si="172"/>
        <v>0.1935174492467974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-5.1159076974727213E-13</v>
      </c>
      <c r="CU201" s="17">
        <f>CT201*VLOOKUP('Données projet'!$B$13,Paramètres!$A$1:$I$89,3,0)*VLOOKUP('Données projet'!$B$13,Paramètres!$A$1:$I$89,5,0)</f>
        <v>-4.0702161641092972E-13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260.20517190557814</v>
      </c>
      <c r="CZ201" s="59">
        <f t="shared" si="208"/>
        <v>307.22009971147133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0.11713099034505588</v>
      </c>
      <c r="DG201" s="21">
        <f>EXP(-LN(2)/25)*DG200+(1-EXP(-LN(2)/25))/(LN(2)/25)*Calculateur!DB201*Calculateur!DD201*VLOOKUP('Données projet'!$B$13,Paramètres!$A$1:$I$89,3,0)*0.475*44/12</f>
        <v>0.19464684889271236</v>
      </c>
      <c r="DH201" s="21">
        <f>EXP(-LN(2)/2)*DH200+(1-EXP(-LN(2)/2))/(LN(2)/2)*DB201*DE201*VLOOKUP('Données projet'!$B$13,Paramètres!$A$1:$I$89,3,0)*0.475*44/12</f>
        <v>1.2427889423986866E-24</v>
      </c>
      <c r="DI201" s="22">
        <f t="shared" si="175"/>
        <v>0.31177783923776825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4.5474735088646412E-13</v>
      </c>
      <c r="DP201" s="17">
        <f>DO201*VLOOKUP('Données projet'!$B$14,Paramètres!$A$1:$I$89,3,0)*VLOOKUP('Données projet'!$B$14,Paramètres!$A$1:$I$89,5,0)</f>
        <v>4.6111381379887462E-13</v>
      </c>
      <c r="DQ201" s="13">
        <f t="shared" si="176"/>
        <v>5.7981965206434308E-12</v>
      </c>
      <c r="DR201" s="20">
        <f t="shared" si="177"/>
        <v>1.0901632165820347E-11</v>
      </c>
      <c r="DS201" s="59">
        <f t="shared" si="197"/>
        <v>293.33333333334423</v>
      </c>
      <c r="DT201" s="59">
        <f ca="1">AVERAGE(OFFSET($DS$3,0,0,'Données projet'!$E$14+1,1))-AVERAGE(OFFSET($H$3,0,0,'Données projet'!$E$14+1,1))</f>
        <v>263.15518481854753</v>
      </c>
      <c r="DU201" s="59">
        <f t="shared" si="209"/>
        <v>210.80755370263819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0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-5.1159076974727213E-13</v>
      </c>
      <c r="EK201" s="17">
        <f>EJ201*VLOOKUP('Données projet'!$B$15,Paramètres!$A$1:$I$89,3,0)*VLOOKUP('Données projet'!$B$15,Paramètres!$A$1:$I$89,5,0)</f>
        <v>-3.4317508834647017E-13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207.93042467236967</v>
      </c>
      <c r="EP201" s="59">
        <f t="shared" si="210"/>
        <v>250.70954318710835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9.8757501663478409E-2</v>
      </c>
      <c r="EW201" s="21">
        <f>EXP(-LN(2)/25)*EW200+(1-EXP(-LN(2)/25))/(LN(2)/25)*Calculateur!ER201*Calculateur!ET201*VLOOKUP('Données projet'!$B$15,Paramètres!$A$1:$I$89,3,0)*0.475*44/12</f>
        <v>0.1641140098507185</v>
      </c>
      <c r="EX201" s="21">
        <f>EXP(-LN(2)/2)*EX200+(1-EXP(-LN(2)/2))/(LN(2)/2)*ER201*EU201*VLOOKUP('Données projet'!$B$15,Paramètres!$A$1:$I$89,3,0)*0.475*44/12</f>
        <v>1.0478416573165396E-24</v>
      </c>
      <c r="EY201" s="22">
        <f t="shared" si="181"/>
        <v>0.26287151151419691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4.5474735088646412E-13</v>
      </c>
      <c r="FF201" s="17">
        <f>FE201*VLOOKUP('Données projet'!$B$16,Paramètres!$A$1:$I$89,3,0)*VLOOKUP('Données projet'!$B$16,Paramètres!$A$1:$I$89,5,0)</f>
        <v>4.8949004849418999E-13</v>
      </c>
      <c r="FG201" s="13">
        <f t="shared" si="182"/>
        <v>6.1123715499968684E-12</v>
      </c>
      <c r="FH201" s="20">
        <f t="shared" si="183"/>
        <v>1.1498242284038591E-11</v>
      </c>
      <c r="FI201" s="59">
        <f t="shared" si="199"/>
        <v>293.3333333333448</v>
      </c>
      <c r="FJ201" s="59">
        <f ca="1">AVERAGE(OFFSET($FI$3,0,0,'Données projet'!$E$16+1,1))-AVERAGE(OFFSET($H$3,0,0,'Données projet'!$E$16+1,1))</f>
        <v>286.77702855541287</v>
      </c>
      <c r="FK201" s="59">
        <f t="shared" si="211"/>
        <v>227.12211541860779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0</v>
      </c>
      <c r="FR201" s="21">
        <f>EXP(-LN(2)/25)*FR200+(1-EXP(-LN(2)/25))/(LN(2)/25)*Calculateur!FM201*Calculateur!FO201*VLOOKUP('Données projet'!$B$16,Paramètres!$A$1:$I$89,3,0)*0.475*44/12</f>
        <v>0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0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5.6843418860808015E-13</v>
      </c>
      <c r="GA201" s="17">
        <f>FZ201*VLOOKUP('Données projet'!$B$17,Paramètres!$A$1:$I$89,3,0)*VLOOKUP('Données projet'!$B$17,Paramètres!$A$1:$I$89,5,0)</f>
        <v>2.6602720026858149E-13</v>
      </c>
      <c r="GB201" s="13">
        <f t="shared" si="185"/>
        <v>3.5662905043956649E-12</v>
      </c>
      <c r="GC201" s="20">
        <f t="shared" si="186"/>
        <v>6.6746200022902298E-12</v>
      </c>
      <c r="GD201" s="59">
        <f t="shared" si="200"/>
        <v>293.33333333333997</v>
      </c>
      <c r="GE201" s="59">
        <f ca="1">AVERAGE(OFFSET($GD$3,0,0,'Données projet'!$E$17+1,1))-AVERAGE(OFFSET($H$3,0,0,'Données projet'!$E$17+1,1))</f>
        <v>123.2823358462245</v>
      </c>
      <c r="GF201" s="59">
        <f t="shared" si="212"/>
        <v>92.75115399786057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0</v>
      </c>
      <c r="GM201" s="21">
        <f>EXP(-LN(2)/25)*GM200+(1-EXP(-LN(2)/25))/(LN(2)/25)*Calculateur!GH201*Calculateur!GJ201*VLOOKUP('Données projet'!$B$17,Paramètres!$A$1:$I$89,3,0)*0.475*44/12</f>
        <v>0</v>
      </c>
      <c r="GN201" s="21">
        <f>EXP(-LN(2)/2)*GN200+(1-EXP(-LN(2)/2))/(LN(2)/2)*GH201*GK201*VLOOKUP('Données projet'!$B$17,Paramètres!$A$1:$I$89,3,0)*0.475*44/12</f>
        <v>0</v>
      </c>
      <c r="GO201" s="21">
        <f t="shared" si="187"/>
        <v>0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-2.8421709430404007E-13</v>
      </c>
      <c r="GV201" s="17">
        <f>GU201*VLOOKUP('Données projet'!$B$18,Paramètres!$A$1:$I$89,3,0)*VLOOKUP('Données projet'!$B$18,Paramètres!$A$1:$I$89,5,0)</f>
        <v>-1.69961822393816E-13</v>
      </c>
      <c r="GW201" s="13" t="e">
        <f t="shared" si="188"/>
        <v>#NUM!</v>
      </c>
      <c r="GX201" s="20" t="e">
        <f t="shared" si="189"/>
        <v>#NUM!</v>
      </c>
      <c r="GY201" s="59" t="e">
        <f t="shared" si="201"/>
        <v>#NUM!</v>
      </c>
      <c r="GZ201" s="59">
        <f ca="1">AVERAGE(OFFSET($GY$3,0,0,'Données projet'!$E$18+1,1))-AVERAGE(OFFSET($H$3,0,0,'Données projet'!$E$18+1,1))</f>
        <v>171.96009656745713</v>
      </c>
      <c r="HA201" s="59">
        <f t="shared" si="213"/>
        <v>172.37574906747716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>
        <f>EXP(-LN(2)/35)*HG200+(1-EXP(-LN(2)/35))/(LN(2)/35)*HC201*HD201*VLOOKUP('Données projet'!$B$18,Paramètres!$A$1:$I$89,3,0)*0.475*44/12</f>
        <v>5.9877722713710405E-2</v>
      </c>
      <c r="HH201" s="21">
        <f>EXP(-LN(2)/25)*HH200+(1-EXP(-LN(2)/25))/(LN(2)/25)*Calculateur!HC201*Calculateur!HE201*VLOOKUP('Données projet'!$B$18,Paramètres!$A$1:$I$89,3,0)*0.475*44/12</f>
        <v>0.19500131597552564</v>
      </c>
      <c r="HI201" s="21">
        <f>EXP(-LN(2)/2)*HI200+(1-EXP(-LN(2)/2))/(LN(2)/2)*HC201*HF201*VLOOKUP('Données projet'!$B$18,Paramètres!$A$1:$I$89,3,0)*0.475*44/12</f>
        <v>6.2269232550832045E-25</v>
      </c>
      <c r="HJ201" s="22">
        <f t="shared" si="190"/>
        <v>0.25487903868923606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-2.2737367544323206E-13</v>
      </c>
      <c r="O202" s="13">
        <f>N202*VLOOKUP('Données projet'!$B$9,Paramètres!$A$1:$I$89,3,0)*VLOOKUP('Données projet'!$B$9,Paramètres!$A$1:$I$89,5,0)</f>
        <v>-1.2710188457276673E-13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255.5374979188561</v>
      </c>
      <c r="T202" s="59">
        <f t="shared" si="204"/>
        <v>343.10418468620901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0.10874752563273112</v>
      </c>
      <c r="AA202" s="21">
        <f>EXP(-LN(2)/25)*AA201+(1-EXP(-LN(2)/25))/(LN(2)/25)*Calculateur!V202*Calculateur!X202*VLOOKUP('Données projet'!$B$9,Paramètres!$A$1:$I$89,3,0)*0.475*44/12</f>
        <v>0.14725741333875178</v>
      </c>
      <c r="AB202" s="21">
        <f>EXP(-LN(2)/2)*AB201+(1-EXP(-LN(2)/2))/(LN(2)/2)*V202*Y202*VLOOKUP('Données projet'!$B$9,Paramètres!$A$1:$I$89,3,0)*0.475*44/12</f>
        <v>6.187754369169099E-26</v>
      </c>
      <c r="AC202" s="22">
        <f t="shared" si="163"/>
        <v>0.25600493897148291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3.4106051316484809E-13</v>
      </c>
      <c r="AJ202" s="13">
        <f>AI202*VLOOKUP('Données projet'!$B$10,Paramètres!$A$1:$I$89,3,0)*VLOOKUP('Données projet'!$B$10,Paramètres!$A$1:$I$89,5,0)</f>
        <v>1.5961632016114892E-13</v>
      </c>
      <c r="AK202" s="13">
        <f t="shared" si="164"/>
        <v>2.2708641912150958E-12</v>
      </c>
      <c r="AL202" s="20">
        <f t="shared" si="165"/>
        <v>4.2330868906469593E-12</v>
      </c>
      <c r="AM202" s="59">
        <f t="shared" si="193"/>
        <v>293.33333333333752</v>
      </c>
      <c r="AN202" s="59">
        <f ca="1">AVERAGE(OFFSET($AM$3,0,0,'Données projet'!$E$10+1,1))-AVERAGE(OFFSET($H$3,0,0,'Données projet'!$E$10+1,1))</f>
        <v>158.58786357608489</v>
      </c>
      <c r="AO202" s="59">
        <f t="shared" si="205"/>
        <v>163.20074068819849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0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-1.7053025658242404E-13</v>
      </c>
      <c r="BE202" s="13">
        <f>BD202*VLOOKUP('Données projet'!$B$11,Paramètres!$A$1:$I$89,3,0)*VLOOKUP('Données projet'!$B$11,Paramètres!$A$1:$I$89,5,0)</f>
        <v>-1.0197709343628959E-13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243.85350804244348</v>
      </c>
      <c r="BJ202" s="59">
        <f t="shared" si="206"/>
        <v>304.60992308960545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0.1592773385410762</v>
      </c>
      <c r="BQ202" s="21">
        <f>EXP(-LN(2)/25)*BQ201+(1-EXP(-LN(2)/25))/(LN(2)/25)*Calculateur!BL202*Calculateur!BN202*VLOOKUP('Données projet'!$B$11,Paramètres!$A$1:$I$89,3,0)*0.475*44/12</f>
        <v>0.16357579445137238</v>
      </c>
      <c r="BR202" s="21">
        <f>EXP(-LN(2)/2)*BR201+(1-EXP(-LN(2)/2))/(LN(2)/2)*BL202*BO202*VLOOKUP('Données projet'!$B$11,Paramètres!$A$1:$I$89,3,0)*0.475*44/12</f>
        <v>1.3665671645013927E-25</v>
      </c>
      <c r="BS202" s="22">
        <f t="shared" si="169"/>
        <v>0.32285313299244855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497</v>
      </c>
      <c r="BZ202" s="13">
        <f>BY202*VLOOKUP('Données projet'!$B$12,Paramètres!$A$1:$I$89,3,0)*VLOOKUP('Données projet'!$B$12,Paramètres!$A$1:$I$89,5,0)</f>
        <v>297.20600000000002</v>
      </c>
      <c r="CA202" s="13">
        <f t="shared" si="170"/>
        <v>70.590415164571112</v>
      </c>
      <c r="CB202" s="20">
        <f t="shared" si="171"/>
        <v>640.57875641162809</v>
      </c>
      <c r="CC202" s="59">
        <f t="shared" si="195"/>
        <v>933.91208974496135</v>
      </c>
      <c r="CD202" s="59">
        <f ca="1">AVERAGE(OFFSET($CC$3,0,0,'Données projet'!$E$12+1,1))-AVERAGE(OFFSET($H$3,0,0,'Données projet'!$E$12+1,1))</f>
        <v>270.30888762640245</v>
      </c>
      <c r="CE202" s="59">
        <f t="shared" si="207"/>
        <v>202.23783851977691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7.5378669652508237E-2</v>
      </c>
      <c r="CL202" s="21">
        <f>EXP(-LN(2)/25)*CL201+(1-EXP(-LN(2)/25))/(LN(2)/25)*Calculateur!CG202*Calculateur!CI202*VLOOKUP('Données projet'!$B$12,Paramètres!$A$1:$I$89,3,0)*0.475*44/12</f>
        <v>0.11344180173566183</v>
      </c>
      <c r="CM202" s="21">
        <f>EXP(-LN(2)/2)*CM201+(1-EXP(-LN(2)/2))/(LN(2)/2)*CG202*CJ202*VLOOKUP('Données projet'!$B$12,Paramètres!$A$1:$I$89,3,0)*0.475*44/12</f>
        <v>6.760262251597766E-25</v>
      </c>
      <c r="CN202" s="22">
        <f t="shared" si="172"/>
        <v>0.18882047138817007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-5.1159076974727213E-13</v>
      </c>
      <c r="CU202" s="17">
        <f>CT202*VLOOKUP('Données projet'!$B$13,Paramètres!$A$1:$I$89,3,0)*VLOOKUP('Données projet'!$B$13,Paramètres!$A$1:$I$89,5,0)</f>
        <v>-4.0702161641092972E-13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260.20517190557814</v>
      </c>
      <c r="CZ202" s="59">
        <f t="shared" si="208"/>
        <v>307.22009971147133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0.11483412306723904</v>
      </c>
      <c r="DG202" s="21">
        <f>EXP(-LN(2)/25)*DG201+(1-EXP(-LN(2)/25))/(LN(2)/25)*Calculateur!DB202*Calculateur!DD202*VLOOKUP('Données projet'!$B$13,Paramètres!$A$1:$I$89,3,0)*0.475*44/12</f>
        <v>0.18932422057370824</v>
      </c>
      <c r="DH202" s="21">
        <f>EXP(-LN(2)/2)*DH201+(1-EXP(-LN(2)/2))/(LN(2)/2)*DB202*DE202*VLOOKUP('Données projet'!$B$13,Paramètres!$A$1:$I$89,3,0)*0.475*44/12</f>
        <v>8.7878448875376891E-25</v>
      </c>
      <c r="DI202" s="22">
        <f t="shared" si="175"/>
        <v>0.30415834364094729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4.5474735088646412E-13</v>
      </c>
      <c r="DP202" s="17">
        <f>DO202*VLOOKUP('Données projet'!$B$14,Paramètres!$A$1:$I$89,3,0)*VLOOKUP('Données projet'!$B$14,Paramètres!$A$1:$I$89,5,0)</f>
        <v>4.6111381379887462E-13</v>
      </c>
      <c r="DQ202" s="13">
        <f t="shared" si="176"/>
        <v>5.7981965206434308E-12</v>
      </c>
      <c r="DR202" s="20">
        <f t="shared" si="177"/>
        <v>1.0901632165820347E-11</v>
      </c>
      <c r="DS202" s="59">
        <f t="shared" si="197"/>
        <v>293.33333333334423</v>
      </c>
      <c r="DT202" s="59">
        <f ca="1">AVERAGE(OFFSET($DS$3,0,0,'Données projet'!$E$14+1,1))-AVERAGE(OFFSET($H$3,0,0,'Données projet'!$E$14+1,1))</f>
        <v>263.15518481854753</v>
      </c>
      <c r="DU202" s="59">
        <f t="shared" si="209"/>
        <v>210.80755370263819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0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-5.1159076974727213E-13</v>
      </c>
      <c r="EK202" s="17">
        <f>EJ202*VLOOKUP('Données projet'!$B$15,Paramètres!$A$1:$I$89,3,0)*VLOOKUP('Données projet'!$B$15,Paramètres!$A$1:$I$89,5,0)</f>
        <v>-3.4317508834647017E-13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207.93042467236967</v>
      </c>
      <c r="EP202" s="59">
        <f t="shared" si="210"/>
        <v>250.70954318710835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9.6820927291985784E-2</v>
      </c>
      <c r="EW202" s="21">
        <f>EXP(-LN(2)/25)*EW201+(1-EXP(-LN(2)/25))/(LN(2)/25)*Calculateur!ER202*Calculateur!ET202*VLOOKUP('Données projet'!$B$15,Paramètres!$A$1:$I$89,3,0)*0.475*44/12</f>
        <v>0.15962630362096991</v>
      </c>
      <c r="EX202" s="21">
        <f>EXP(-LN(2)/2)*EX201+(1-EXP(-LN(2)/2))/(LN(2)/2)*ER202*EU202*VLOOKUP('Données projet'!$B$15,Paramètres!$A$1:$I$89,3,0)*0.475*44/12</f>
        <v>7.4093594149827571E-25</v>
      </c>
      <c r="EY202" s="22">
        <f t="shared" si="181"/>
        <v>0.25644723091295568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4.5474735088646412E-13</v>
      </c>
      <c r="FF202" s="17">
        <f>FE202*VLOOKUP('Données projet'!$B$16,Paramètres!$A$1:$I$89,3,0)*VLOOKUP('Données projet'!$B$16,Paramètres!$A$1:$I$89,5,0)</f>
        <v>4.8949004849418999E-13</v>
      </c>
      <c r="FG202" s="13">
        <f t="shared" si="182"/>
        <v>6.1123715499968684E-12</v>
      </c>
      <c r="FH202" s="20">
        <f t="shared" si="183"/>
        <v>1.1498242284038591E-11</v>
      </c>
      <c r="FI202" s="59">
        <f t="shared" si="199"/>
        <v>293.3333333333448</v>
      </c>
      <c r="FJ202" s="59">
        <f ca="1">AVERAGE(OFFSET($FI$3,0,0,'Données projet'!$E$16+1,1))-AVERAGE(OFFSET($H$3,0,0,'Données projet'!$E$16+1,1))</f>
        <v>286.77702855541287</v>
      </c>
      <c r="FK202" s="59">
        <f t="shared" si="211"/>
        <v>227.12211541860779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0</v>
      </c>
      <c r="FR202" s="21">
        <f>EXP(-LN(2)/25)*FR201+(1-EXP(-LN(2)/25))/(LN(2)/25)*Calculateur!FM202*Calculateur!FO202*VLOOKUP('Données projet'!$B$16,Paramètres!$A$1:$I$89,3,0)*0.475*44/12</f>
        <v>0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0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5.6843418860808015E-13</v>
      </c>
      <c r="GA202" s="17">
        <f>FZ202*VLOOKUP('Données projet'!$B$17,Paramètres!$A$1:$I$89,3,0)*VLOOKUP('Données projet'!$B$17,Paramètres!$A$1:$I$89,5,0)</f>
        <v>2.6602720026858149E-13</v>
      </c>
      <c r="GB202" s="13">
        <f t="shared" si="185"/>
        <v>3.5662905043956649E-12</v>
      </c>
      <c r="GC202" s="20">
        <f t="shared" si="186"/>
        <v>6.6746200022902298E-12</v>
      </c>
      <c r="GD202" s="59">
        <f t="shared" si="200"/>
        <v>293.33333333333997</v>
      </c>
      <c r="GE202" s="59">
        <f ca="1">AVERAGE(OFFSET($GD$3,0,0,'Données projet'!$E$17+1,1))-AVERAGE(OFFSET($H$3,0,0,'Données projet'!$E$17+1,1))</f>
        <v>123.2823358462245</v>
      </c>
      <c r="GF202" s="59">
        <f t="shared" si="212"/>
        <v>92.75115399786057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0</v>
      </c>
      <c r="GM202" s="21">
        <f>EXP(-LN(2)/25)*GM201+(1-EXP(-LN(2)/25))/(LN(2)/25)*Calculateur!GH202*Calculateur!GJ202*VLOOKUP('Données projet'!$B$17,Paramètres!$A$1:$I$89,3,0)*0.475*44/12</f>
        <v>0</v>
      </c>
      <c r="GN202" s="21">
        <f>EXP(-LN(2)/2)*GN201+(1-EXP(-LN(2)/2))/(LN(2)/2)*GH202*GK202*VLOOKUP('Données projet'!$B$17,Paramètres!$A$1:$I$89,3,0)*0.475*44/12</f>
        <v>0</v>
      </c>
      <c r="GO202" s="21">
        <f t="shared" si="187"/>
        <v>0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-2.8421709430404007E-13</v>
      </c>
      <c r="GV202" s="17">
        <f>GU202*VLOOKUP('Données projet'!$B$18,Paramètres!$A$1:$I$89,3,0)*VLOOKUP('Données projet'!$B$18,Paramètres!$A$1:$I$89,5,0)</f>
        <v>-1.69961822393816E-13</v>
      </c>
      <c r="GW202" s="13" t="e">
        <f t="shared" si="188"/>
        <v>#NUM!</v>
      </c>
      <c r="GX202" s="20" t="e">
        <f t="shared" si="189"/>
        <v>#NUM!</v>
      </c>
      <c r="GY202" s="59" t="e">
        <f t="shared" si="201"/>
        <v>#NUM!</v>
      </c>
      <c r="GZ202" s="59">
        <f ca="1">AVERAGE(OFFSET($GY$3,0,0,'Données projet'!$E$18+1,1))-AVERAGE(OFFSET($H$3,0,0,'Données projet'!$E$18+1,1))</f>
        <v>171.96009656745713</v>
      </c>
      <c r="HA202" s="59">
        <f t="shared" si="213"/>
        <v>172.37574906747716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>
        <f>EXP(-LN(2)/35)*HG201+(1-EXP(-LN(2)/35))/(LN(2)/35)*HC202*HD202*VLOOKUP('Données projet'!$B$18,Paramètres!$A$1:$I$89,3,0)*0.475*44/12</f>
        <v>5.8703557093099171E-2</v>
      </c>
      <c r="HH202" s="21">
        <f>EXP(-LN(2)/25)*HH201+(1-EXP(-LN(2)/25))/(LN(2)/25)*Calculateur!HC202*Calculateur!HE202*VLOOKUP('Données projet'!$B$18,Paramètres!$A$1:$I$89,3,0)*0.475*44/12</f>
        <v>0.18966899473550136</v>
      </c>
      <c r="HI202" s="21">
        <f>EXP(-LN(2)/2)*HI201+(1-EXP(-LN(2)/2))/(LN(2)/2)*HC202*HF202*VLOOKUP('Données projet'!$B$18,Paramètres!$A$1:$I$89,3,0)*0.475*44/12</f>
        <v>4.4030996595975437E-25</v>
      </c>
      <c r="HJ202" s="22">
        <f t="shared" si="190"/>
        <v>0.24837255182860052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-2.2737367544323206E-13</v>
      </c>
      <c r="O203" s="13">
        <f>N203*VLOOKUP('Données projet'!$B$9,Paramètres!$A$1:$I$89,3,0)*VLOOKUP('Données projet'!$B$9,Paramètres!$A$1:$I$89,5,0)</f>
        <v>-1.2710188457276673E-13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255.5374979188561</v>
      </c>
      <c r="T203" s="59">
        <f t="shared" si="204"/>
        <v>343.10418468620901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0.1066150529845144</v>
      </c>
      <c r="AA203" s="21">
        <f>EXP(-LN(2)/25)*AA202+(1-EXP(-LN(2)/25))/(LN(2)/25)*Calculateur!V203*Calculateur!X203*VLOOKUP('Données projet'!$B$9,Paramètres!$A$1:$I$89,3,0)*0.475*44/12</f>
        <v>0.1432306516270728</v>
      </c>
      <c r="AB203" s="21">
        <f>EXP(-LN(2)/2)*AB202+(1-EXP(-LN(2)/2))/(LN(2)/2)*V203*Y203*VLOOKUP('Données projet'!$B$9,Paramètres!$A$1:$I$89,3,0)*0.475*44/12</f>
        <v>4.3754030747561575E-26</v>
      </c>
      <c r="AC203" s="22">
        <f t="shared" si="163"/>
        <v>0.2498457046115872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3.4106051316484809E-13</v>
      </c>
      <c r="AJ203" s="13">
        <f>AI203*VLOOKUP('Données projet'!$B$10,Paramètres!$A$1:$I$89,3,0)*VLOOKUP('Données projet'!$B$10,Paramètres!$A$1:$I$89,5,0)</f>
        <v>1.5961632016114892E-13</v>
      </c>
      <c r="AK203" s="13">
        <f t="shared" si="164"/>
        <v>2.2708641912150958E-12</v>
      </c>
      <c r="AL203" s="20">
        <f t="shared" si="165"/>
        <v>4.2330868906469593E-12</v>
      </c>
      <c r="AM203" s="59">
        <f t="shared" si="193"/>
        <v>293.33333333333752</v>
      </c>
      <c r="AN203" s="59">
        <f ca="1">AVERAGE(OFFSET($AM$3,0,0,'Données projet'!$E$10+1,1))-AVERAGE(OFFSET($H$3,0,0,'Données projet'!$E$10+1,1))</f>
        <v>158.58786357608489</v>
      </c>
      <c r="AO203" s="59">
        <f t="shared" si="205"/>
        <v>163.20074068819849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0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-1.7053025658242404E-13</v>
      </c>
      <c r="BE203" s="13">
        <f>BD203*VLOOKUP('Données projet'!$B$11,Paramètres!$A$1:$I$89,3,0)*VLOOKUP('Données projet'!$B$11,Paramètres!$A$1:$I$89,5,0)</f>
        <v>-1.0197709343628959E-13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243.85350804244348</v>
      </c>
      <c r="BJ203" s="59">
        <f t="shared" si="206"/>
        <v>304.60992308960545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0.15615400708186949</v>
      </c>
      <c r="BQ203" s="21">
        <f>EXP(-LN(2)/25)*BQ202+(1-EXP(-LN(2)/25))/(LN(2)/25)*Calculateur!BL203*Calculateur!BN203*VLOOKUP('Données projet'!$B$11,Paramètres!$A$1:$I$89,3,0)*0.475*44/12</f>
        <v>0.15910280575002242</v>
      </c>
      <c r="BR203" s="21">
        <f>EXP(-LN(2)/2)*BR202+(1-EXP(-LN(2)/2))/(LN(2)/2)*BL203*BO203*VLOOKUP('Données projet'!$B$11,Paramètres!$A$1:$I$89,3,0)*0.475*44/12</f>
        <v>9.6630890896580698E-26</v>
      </c>
      <c r="BS203" s="22">
        <f t="shared" si="169"/>
        <v>0.31525681283189189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497</v>
      </c>
      <c r="BZ203" s="13">
        <f>BY203*VLOOKUP('Données projet'!$B$12,Paramètres!$A$1:$I$89,3,0)*VLOOKUP('Données projet'!$B$12,Paramètres!$A$1:$I$89,5,0)</f>
        <v>297.20600000000002</v>
      </c>
      <c r="CA203" s="13">
        <f t="shared" si="170"/>
        <v>70.590415164571112</v>
      </c>
      <c r="CB203" s="20">
        <f t="shared" si="171"/>
        <v>640.57875641162809</v>
      </c>
      <c r="CC203" s="59">
        <f t="shared" si="195"/>
        <v>933.91208974496135</v>
      </c>
      <c r="CD203" s="59">
        <f ca="1">AVERAGE(OFFSET($CC$3,0,0,'Données projet'!$E$12+1,1))-AVERAGE(OFFSET($H$3,0,0,'Données projet'!$E$12+1,1))</f>
        <v>270.30888762640245</v>
      </c>
      <c r="CE203" s="59">
        <f t="shared" si="207"/>
        <v>202.23783851977691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7.390053991707124E-2</v>
      </c>
      <c r="CL203" s="21">
        <f>EXP(-LN(2)/25)*CL202+(1-EXP(-LN(2)/25))/(LN(2)/25)*Calculateur!CG203*Calculateur!CI203*VLOOKUP('Données projet'!$B$12,Paramètres!$A$1:$I$89,3,0)*0.475*44/12</f>
        <v>0.11033972970155508</v>
      </c>
      <c r="CM203" s="21">
        <f>EXP(-LN(2)/2)*CM202+(1-EXP(-LN(2)/2))/(LN(2)/2)*CG203*CJ203*VLOOKUP('Données projet'!$B$12,Paramètres!$A$1:$I$89,3,0)*0.475*44/12</f>
        <v>4.7802272807042186E-25</v>
      </c>
      <c r="CN203" s="22">
        <f t="shared" si="172"/>
        <v>0.18424026961862633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-5.1159076974727213E-13</v>
      </c>
      <c r="CU203" s="17">
        <f>CT203*VLOOKUP('Données projet'!$B$13,Paramètres!$A$1:$I$89,3,0)*VLOOKUP('Données projet'!$B$13,Paramètres!$A$1:$I$89,5,0)</f>
        <v>-4.0702161641092972E-13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260.20517190557814</v>
      </c>
      <c r="CZ203" s="59">
        <f t="shared" si="208"/>
        <v>307.22009971147133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0.11258229595578949</v>
      </c>
      <c r="DG203" s="21">
        <f>EXP(-LN(2)/25)*DG202+(1-EXP(-LN(2)/25))/(LN(2)/25)*Calculateur!DB203*Calculateur!DD203*VLOOKUP('Données projet'!$B$13,Paramètres!$A$1:$I$89,3,0)*0.475*44/12</f>
        <v>0.18414713980599212</v>
      </c>
      <c r="DH203" s="21">
        <f>EXP(-LN(2)/2)*DH202+(1-EXP(-LN(2)/2))/(LN(2)/2)*DB203*DE203*VLOOKUP('Données projet'!$B$13,Paramètres!$A$1:$I$89,3,0)*0.475*44/12</f>
        <v>6.2139447119934331E-25</v>
      </c>
      <c r="DI203" s="22">
        <f t="shared" si="175"/>
        <v>0.29672943576178162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4.5474735088646412E-13</v>
      </c>
      <c r="DP203" s="17">
        <f>DO203*VLOOKUP('Données projet'!$B$14,Paramètres!$A$1:$I$89,3,0)*VLOOKUP('Données projet'!$B$14,Paramètres!$A$1:$I$89,5,0)</f>
        <v>4.6111381379887462E-13</v>
      </c>
      <c r="DQ203" s="13">
        <f t="shared" si="176"/>
        <v>5.7981965206434308E-12</v>
      </c>
      <c r="DR203" s="20">
        <f t="shared" si="177"/>
        <v>1.0901632165820347E-11</v>
      </c>
      <c r="DS203" s="59">
        <f t="shared" si="197"/>
        <v>293.33333333334423</v>
      </c>
      <c r="DT203" s="59">
        <f ca="1">AVERAGE(OFFSET($DS$3,0,0,'Données projet'!$E$14+1,1))-AVERAGE(OFFSET($H$3,0,0,'Données projet'!$E$14+1,1))</f>
        <v>263.15518481854753</v>
      </c>
      <c r="DU203" s="59">
        <f t="shared" si="209"/>
        <v>210.80755370263819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0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-5.1159076974727213E-13</v>
      </c>
      <c r="EK203" s="17">
        <f>EJ203*VLOOKUP('Données projet'!$B$15,Paramètres!$A$1:$I$89,3,0)*VLOOKUP('Données projet'!$B$15,Paramètres!$A$1:$I$89,5,0)</f>
        <v>-3.4317508834647017E-13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207.93042467236967</v>
      </c>
      <c r="EP203" s="59">
        <f t="shared" si="210"/>
        <v>250.70954318710835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9.4922327962724401E-2</v>
      </c>
      <c r="EW203" s="21">
        <f>EXP(-LN(2)/25)*EW202+(1-EXP(-LN(2)/25))/(LN(2)/25)*Calculateur!ER203*Calculateur!ET203*VLOOKUP('Données projet'!$B$15,Paramètres!$A$1:$I$89,3,0)*0.475*44/12</f>
        <v>0.155261313954072</v>
      </c>
      <c r="EX203" s="21">
        <f>EXP(-LN(2)/2)*EX202+(1-EXP(-LN(2)/2))/(LN(2)/2)*ER203*EU203*VLOOKUP('Données projet'!$B$15,Paramètres!$A$1:$I$89,3,0)*0.475*44/12</f>
        <v>5.2392082865826981E-25</v>
      </c>
      <c r="EY203" s="22">
        <f t="shared" si="181"/>
        <v>0.25018364191679643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4.5474735088646412E-13</v>
      </c>
      <c r="FF203" s="17">
        <f>FE203*VLOOKUP('Données projet'!$B$16,Paramètres!$A$1:$I$89,3,0)*VLOOKUP('Données projet'!$B$16,Paramètres!$A$1:$I$89,5,0)</f>
        <v>4.8949004849418999E-13</v>
      </c>
      <c r="FG203" s="13">
        <f t="shared" si="182"/>
        <v>6.1123715499968684E-12</v>
      </c>
      <c r="FH203" s="20">
        <f t="shared" si="183"/>
        <v>1.1498242284038591E-11</v>
      </c>
      <c r="FI203" s="59">
        <f t="shared" si="199"/>
        <v>293.3333333333448</v>
      </c>
      <c r="FJ203" s="59">
        <f ca="1">AVERAGE(OFFSET($FI$3,0,0,'Données projet'!$E$16+1,1))-AVERAGE(OFFSET($H$3,0,0,'Données projet'!$E$16+1,1))</f>
        <v>286.77702855541287</v>
      </c>
      <c r="FK203" s="59">
        <f t="shared" si="211"/>
        <v>227.12211541860779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0</v>
      </c>
      <c r="FR203" s="21">
        <f>EXP(-LN(2)/25)*FR202+(1-EXP(-LN(2)/25))/(LN(2)/25)*Calculateur!FM203*Calculateur!FO203*VLOOKUP('Données projet'!$B$16,Paramètres!$A$1:$I$89,3,0)*0.475*44/12</f>
        <v>0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0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5.6843418860808015E-13</v>
      </c>
      <c r="GA203" s="17">
        <f>FZ203*VLOOKUP('Données projet'!$B$17,Paramètres!$A$1:$I$89,3,0)*VLOOKUP('Données projet'!$B$17,Paramètres!$A$1:$I$89,5,0)</f>
        <v>2.6602720026858149E-13</v>
      </c>
      <c r="GB203" s="13">
        <f t="shared" si="185"/>
        <v>3.5662905043956649E-12</v>
      </c>
      <c r="GC203" s="20">
        <f t="shared" si="186"/>
        <v>6.6746200022902298E-12</v>
      </c>
      <c r="GD203" s="59">
        <f t="shared" si="200"/>
        <v>293.33333333333997</v>
      </c>
      <c r="GE203" s="59">
        <f ca="1">AVERAGE(OFFSET($GD$3,0,0,'Données projet'!$E$17+1,1))-AVERAGE(OFFSET($H$3,0,0,'Données projet'!$E$17+1,1))</f>
        <v>123.2823358462245</v>
      </c>
      <c r="GF203" s="59">
        <f t="shared" si="212"/>
        <v>92.75115399786057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0</v>
      </c>
      <c r="GM203" s="21">
        <f>EXP(-LN(2)/25)*GM202+(1-EXP(-LN(2)/25))/(LN(2)/25)*Calculateur!GH203*Calculateur!GJ203*VLOOKUP('Données projet'!$B$17,Paramètres!$A$1:$I$89,3,0)*0.475*44/12</f>
        <v>0</v>
      </c>
      <c r="GN203" s="21">
        <f>EXP(-LN(2)/2)*GN202+(1-EXP(-LN(2)/2))/(LN(2)/2)*GH203*GK203*VLOOKUP('Données projet'!$B$17,Paramètres!$A$1:$I$89,3,0)*0.475*44/12</f>
        <v>0</v>
      </c>
      <c r="GO203" s="21">
        <f t="shared" si="187"/>
        <v>0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-2.8421709430404007E-13</v>
      </c>
      <c r="GV203" s="17">
        <f>GU203*VLOOKUP('Données projet'!$B$18,Paramètres!$A$1:$I$89,3,0)*VLOOKUP('Données projet'!$B$18,Paramètres!$A$1:$I$89,5,0)</f>
        <v>-1.69961822393816E-13</v>
      </c>
      <c r="GW203" s="13" t="e">
        <f t="shared" si="188"/>
        <v>#NUM!</v>
      </c>
      <c r="GX203" s="20" t="e">
        <f t="shared" si="189"/>
        <v>#NUM!</v>
      </c>
      <c r="GY203" s="59" t="e">
        <f t="shared" si="201"/>
        <v>#NUM!</v>
      </c>
      <c r="GZ203" s="59">
        <f ca="1">AVERAGE(OFFSET($GY$3,0,0,'Données projet'!$E$18+1,1))-AVERAGE(OFFSET($H$3,0,0,'Données projet'!$E$18+1,1))</f>
        <v>171.96009656745713</v>
      </c>
      <c r="HA203" s="59">
        <f t="shared" si="213"/>
        <v>172.37574906747716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>
        <f>EXP(-LN(2)/35)*HG202+(1-EXP(-LN(2)/35))/(LN(2)/35)*HC203*HD203*VLOOKUP('Données projet'!$B$18,Paramètres!$A$1:$I$89,3,0)*0.475*44/12</f>
        <v>5.7552416144137808E-2</v>
      </c>
      <c r="HH203" s="21">
        <f>EXP(-LN(2)/25)*HH202+(1-EXP(-LN(2)/25))/(LN(2)/25)*Calculateur!HC203*Calculateur!HE203*VLOOKUP('Données projet'!$B$18,Paramètres!$A$1:$I$89,3,0)*0.475*44/12</f>
        <v>0.18448248610020013</v>
      </c>
      <c r="HI203" s="21">
        <f>EXP(-LN(2)/2)*HI202+(1-EXP(-LN(2)/2))/(LN(2)/2)*HC203*HF203*VLOOKUP('Données projet'!$B$18,Paramètres!$A$1:$I$89,3,0)*0.475*44/12</f>
        <v>3.1134616275416023E-25</v>
      </c>
      <c r="HJ203" s="22">
        <f t="shared" si="190"/>
        <v>0.24203490224433793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1.3477630745024085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1.1963772029987372</v>
      </c>
      <c r="BA205" s="82">
        <f>EXP(LN('Données projet'!B88)/'Données projet'!A88)</f>
        <v>1.4811740527139541</v>
      </c>
      <c r="BV205" s="82">
        <f>EXP(LN('Données projet'!B114)/'Données projet'!A114)</f>
        <v>1.2501898326862695</v>
      </c>
      <c r="CQ205" s="82">
        <f>EXP(LN('Données projet'!B140)/'Données projet'!A140)</f>
        <v>1.2709816152101407</v>
      </c>
      <c r="DL205" s="82">
        <f>EXP(LN('Données projet'!B166)/'Données projet'!A166)</f>
        <v>1.1736311550444201</v>
      </c>
      <c r="EG205" s="82">
        <f>EXP(LN('Données projet'!B192)/'Données projet'!A192)</f>
        <v>1.2709816152101407</v>
      </c>
      <c r="FB205" s="82">
        <f>EXP(LN('Données projet'!B218)/'Données projet'!A218)</f>
        <v>1.1736311550444201</v>
      </c>
      <c r="FW205" s="82">
        <f>EXP(LN('Données projet'!B244)/'Données projet'!A244)</f>
        <v>1.1810516433311786</v>
      </c>
      <c r="GR205" s="82">
        <f>EXP(LN('Données projet'!B270)/'Données projet'!A270)</f>
        <v>1.3292852468636394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tabSelected="1" zoomScale="90" zoomScaleNormal="90" workbookViewId="0">
      <selection activeCell="O12" sqref="O12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Douglas</v>
      </c>
      <c r="B6" s="146">
        <f>'Données projet'!D9</f>
        <v>5.6633150000000008</v>
      </c>
      <c r="C6" s="147">
        <f ca="1">IF(OR('Données projet'!B9="",'Données projet'!C9="",'Données projet'!C9=0%),0,Calculateur!S3)</f>
        <v>255.5374979188561</v>
      </c>
      <c r="D6" s="147">
        <f>IF(OR('Données projet'!B9="",'Données projet'!C9="",'Données projet'!C9=0%),0,Calculateur!T3)</f>
        <v>343.10418468620901</v>
      </c>
      <c r="E6" s="147">
        <f ca="1">MIN(C6,D6)</f>
        <v>255.5374979188561</v>
      </c>
      <c r="F6" s="147">
        <f ca="1">E6*B6</f>
        <v>1447.1893450263267</v>
      </c>
      <c r="G6" s="147">
        <f ca="1">F6*(100%-'Données projet'!$C$24)*(100%-'Données projet'!$C$25)*(100%-'Données projet'!$C$26)*(100%-'Données projet'!$C$27)</f>
        <v>1107.0998489451399</v>
      </c>
      <c r="H6" s="148">
        <f>IF(OR('Données projet'!B9="",'Données projet'!C9="",'Données projet'!C9=0%),0,AVERAGE(Calculateur!$AC$3:$AC$33)*B6)</f>
        <v>60.486498266353266</v>
      </c>
      <c r="I6" s="149">
        <f>H6*(100%-'Données projet'!$C$24)*(100%-'Données projet'!$C$25)*(100%-'Données projet'!$C$26)*(100%-'Données projet'!$C$27)</f>
        <v>46.272171173760249</v>
      </c>
      <c r="J6" s="150">
        <f>IF(OR('Données projet'!B9="",'Données projet'!C9="",'Données projet'!C9=0%),0,SUM(Calculateur!$V$3:$V$33)*VLOOKUP('Données projet'!$B$9,Paramètres!$A$1:$I$89,9,0)*B6)</f>
        <v>432.53350492692306</v>
      </c>
      <c r="K6" s="151">
        <f>J6*(100%-'Données projet'!$C$24)*(100%-'Données projet'!$C$25)*(100%-'Données projet'!$C$26)*(100%-'Données projet'!$C$27)</f>
        <v>330.88813126909616</v>
      </c>
      <c r="L6" s="152">
        <f ca="1">G6+I6+K6</f>
        <v>1484.2601513879963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Cèdre de l'Atlas</v>
      </c>
      <c r="B7" s="154">
        <f>'Données projet'!D10</f>
        <v>5.6707350000000005</v>
      </c>
      <c r="C7" s="147">
        <f ca="1">IF(OR('Données projet'!B10="",'Données projet'!C10="",'Données projet'!C10=0%),0,Calculateur!AN3)</f>
        <v>158.58786357608489</v>
      </c>
      <c r="D7" s="147">
        <f>IF(OR('Données projet'!B10="",'Données projet'!C10="",'Données projet'!C10=0%),0,Calculateur!AO3)</f>
        <v>163.20074068819849</v>
      </c>
      <c r="E7" s="147">
        <f t="shared" ref="E7:E15" ca="1" si="0">MIN(C7,D7)</f>
        <v>158.58786357608489</v>
      </c>
      <c r="F7" s="147">
        <f t="shared" ref="F7:F15" ca="1" si="1">E7*B7</f>
        <v>899.30974855612976</v>
      </c>
      <c r="G7" s="147">
        <f ca="1">F7*(100%-'Données projet'!$C$24)*(100%-'Données projet'!$C$25)*(100%-'Données projet'!$C$26)*(100%-'Données projet'!$C$27)</f>
        <v>687.97195764543926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687.97195764543926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Pin maritime</v>
      </c>
      <c r="B8" s="154">
        <f>'Données projet'!D11</f>
        <v>2.6192600000000001</v>
      </c>
      <c r="C8" s="147">
        <f ca="1">IF(OR('Données projet'!B11="",'Données projet'!C11="",'Données projet'!C11=0%),0,Calculateur!BI3)</f>
        <v>243.85350804244348</v>
      </c>
      <c r="D8" s="147">
        <f>IF(OR('Données projet'!B11="",'Données projet'!C11="",'Données projet'!C11=0%),0,Calculateur!BJ3)</f>
        <v>304.60992308960545</v>
      </c>
      <c r="E8" s="147">
        <f t="shared" ca="1" si="0"/>
        <v>243.85350804244348</v>
      </c>
      <c r="F8" s="147">
        <f t="shared" ca="1" si="1"/>
        <v>638.71573947525053</v>
      </c>
      <c r="G8" s="147">
        <f ca="1">F8*(100%-'Données projet'!$C$24)*(100%-'Données projet'!$C$25)*(100%-'Données projet'!$C$26)*(100%-'Données projet'!$C$27)</f>
        <v>488.6175406985667</v>
      </c>
      <c r="H8" s="155">
        <f>IF(OR('Données projet'!B11="",'Données projet'!C11="",'Données projet'!C11=0%),0,AVERAGE(Calculateur!$BS$3:$BS$33)*B8)</f>
        <v>33.685875859227878</v>
      </c>
      <c r="I8" s="149">
        <f>H8*(100%-'Données projet'!$C$24)*(100%-'Données projet'!$C$25)*(100%-'Données projet'!$C$26)*(100%-'Données projet'!$C$27)</f>
        <v>25.769695032309329</v>
      </c>
      <c r="J8" s="150">
        <f>IF(OR('Données projet'!B11="",'Données projet'!C11="",'Données projet'!C11=0%),0,SUM(Calculateur!$BL$3:$BL$33)*VLOOKUP('Données projet'!$B$11,Paramètres!$A$1:$I$89,9,0)*B8)</f>
        <v>224.83848728923078</v>
      </c>
      <c r="K8" s="151">
        <f>J8*(100%-'Données projet'!$C$24)*(100%-'Données projet'!$C$25)*(100%-'Données projet'!$C$26)*(100%-'Données projet'!$C$27)</f>
        <v>172.00144277626154</v>
      </c>
      <c r="L8" s="152">
        <f t="shared" ca="1" si="2"/>
        <v>686.38867850713757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Pin laricio</v>
      </c>
      <c r="B9" s="154">
        <f>'Données projet'!D12</f>
        <v>0.89967500000000011</v>
      </c>
      <c r="C9" s="147">
        <f ca="1">IF(OR('Données projet'!B12="",'Données projet'!C12="",'Données projet'!C12=0%),0,Calculateur!CD3)</f>
        <v>270.30888762640245</v>
      </c>
      <c r="D9" s="147">
        <f>IF(OR('Données projet'!B12="",'Données projet'!C12="",'Données projet'!C12=0%),0,Calculateur!CE3)</f>
        <v>202.23783851977691</v>
      </c>
      <c r="E9" s="147">
        <f t="shared" ca="1" si="0"/>
        <v>202.23783851977691</v>
      </c>
      <c r="F9" s="147">
        <f t="shared" ca="1" si="1"/>
        <v>181.94832737028031</v>
      </c>
      <c r="G9" s="147">
        <f ca="1">F9*(100%-'Données projet'!$C$24)*(100%-'Données projet'!$C$25)*(100%-'Données projet'!$C$26)*(100%-'Données projet'!$C$27)</f>
        <v>139.19047043826444</v>
      </c>
      <c r="H9" s="155">
        <f>IF(OR('Données projet'!B12="",'Données projet'!C12="",'Données projet'!C12=0%),0,AVERAGE(Calculateur!$CN$3:$CN$33)*B9)</f>
        <v>2.5193866336384856</v>
      </c>
      <c r="I9" s="149">
        <f>H9*(100%-'Données projet'!$C$24)*(100%-'Données projet'!$C$25)*(100%-'Données projet'!$C$26)*(100%-'Données projet'!$C$27)</f>
        <v>1.9273307747334416</v>
      </c>
      <c r="J9" s="150">
        <f>IF(OR('Données projet'!B12="",'Données projet'!C12="",'Données projet'!C12=0%),0,SUM(Calculateur!$CG$3:$CG$33)*VLOOKUP('Données projet'!$B$12,Paramètres!$A$1:$I$89,9,0)*B9)</f>
        <v>30.948820000000001</v>
      </c>
      <c r="K9" s="151">
        <f>J9*(100%-'Données projet'!$C$24)*(100%-'Données projet'!$C$25)*(100%-'Données projet'!$C$26)*(100%-'Données projet'!$C$27)</f>
        <v>23.675847300000001</v>
      </c>
      <c r="L9" s="152">
        <f t="shared" ca="1" si="2"/>
        <v>164.79364851299789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Erable sycomore</v>
      </c>
      <c r="B10" s="154">
        <f>'Données projet'!D13</f>
        <v>0.38027500000000003</v>
      </c>
      <c r="C10" s="147">
        <f ca="1">IF(OR('Données projet'!B13="",'Données projet'!C13="",'Données projet'!C13=0%),0,Calculateur!CY3)</f>
        <v>260.20517190557814</v>
      </c>
      <c r="D10" s="147">
        <f>IF(OR('Données projet'!B13="",'Données projet'!C13="",'Données projet'!C13=0%),0,Calculateur!CZ3)</f>
        <v>307.22009971147133</v>
      </c>
      <c r="E10" s="147">
        <f t="shared" ca="1" si="0"/>
        <v>260.20517190557814</v>
      </c>
      <c r="F10" s="147">
        <f t="shared" ca="1" si="1"/>
        <v>98.949521746393728</v>
      </c>
      <c r="G10" s="147">
        <f ca="1">F10*(100%-'Données projet'!$C$24)*(100%-'Données projet'!$C$25)*(100%-'Données projet'!$C$26)*(100%-'Données projet'!$C$27)</f>
        <v>75.696384135991195</v>
      </c>
      <c r="H10" s="155">
        <f>IF(OR('Données projet'!B13="",'Données projet'!C13="",'Données projet'!C13=0%),0,AVERAGE(Calculateur!$DI$3:$DI$33)*B10)</f>
        <v>1.9415649670048778</v>
      </c>
      <c r="I10" s="149">
        <f>H10*(100%-'Données projet'!$C$24)*(100%-'Données projet'!$C$25)*(100%-'Données projet'!$C$26)*(100%-'Données projet'!$C$27)</f>
        <v>1.4852971997587314</v>
      </c>
      <c r="J10" s="150">
        <f>IF(OR('Données projet'!B13="",'Données projet'!C13="",'Données projet'!C13=0%),0,SUM(Calculateur!$DB$3:$DB$33)*VLOOKUP('Données projet'!$B$13,Paramètres!$A$1:$I$89,9,0)*B10)</f>
        <v>13.024418750000001</v>
      </c>
      <c r="K10" s="151">
        <f>J10*(100%-'Données projet'!$C$24)*(100%-'Données projet'!$C$25)*(100%-'Données projet'!$C$26)*(100%-'Données projet'!$C$27)</f>
        <v>9.963680343750001</v>
      </c>
      <c r="L10" s="152">
        <f t="shared" ca="1" si="2"/>
        <v>87.145361679499928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>Chêne pubescent</v>
      </c>
      <c r="B11" s="154">
        <f>'Données projet'!D14</f>
        <v>0.38027500000000003</v>
      </c>
      <c r="C11" s="147">
        <f ca="1">IF(OR('Données projet'!B14="",'Données projet'!C14="",'Données projet'!C14=0%),0,Calculateur!DT3)</f>
        <v>263.15518481854753</v>
      </c>
      <c r="D11" s="147">
        <f>IF(OR('Données projet'!B14="",'Données projet'!C14="",'Données projet'!C14=0%),0,Calculateur!DU3)</f>
        <v>210.80755370263819</v>
      </c>
      <c r="E11" s="147">
        <f t="shared" ca="1" si="0"/>
        <v>210.80755370263819</v>
      </c>
      <c r="F11" s="147">
        <f t="shared" ca="1" si="1"/>
        <v>80.16484248427075</v>
      </c>
      <c r="G11" s="147">
        <f ca="1">F11*(100%-'Données projet'!$C$24)*(100%-'Données projet'!$C$25)*(100%-'Données projet'!$C$26)*(100%-'Données projet'!$C$27)</f>
        <v>61.326104500467117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ca="1" si="2"/>
        <v>61.326104500467117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>Tilleul</v>
      </c>
      <c r="B12" s="154">
        <f>'Données projet'!D15</f>
        <v>0.38027500000000003</v>
      </c>
      <c r="C12" s="147">
        <f ca="1">IF(OR('Données projet'!B15="",'Données projet'!C15="",'Données projet'!C15=0%),0,Calculateur!EO3)</f>
        <v>207.93042467236967</v>
      </c>
      <c r="D12" s="147">
        <f>IF(OR('Données projet'!B15="",'Données projet'!C15="",'Données projet'!C15=0%),0,Calculateur!EP3)</f>
        <v>250.70954318710835</v>
      </c>
      <c r="E12" s="147">
        <f t="shared" ca="1" si="0"/>
        <v>207.93042467236967</v>
      </c>
      <c r="F12" s="147">
        <f t="shared" ca="1" si="1"/>
        <v>79.070742242285377</v>
      </c>
      <c r="G12" s="147">
        <f ca="1">F12*(100%-'Données projet'!$C$24)*(100%-'Données projet'!$C$25)*(100%-'Données projet'!$C$26)*(100%-'Données projet'!$C$27)</f>
        <v>60.489117815348308</v>
      </c>
      <c r="H12" s="155">
        <f>IF(OR('Données projet'!B15="",'Données projet'!C15="",'Données projet'!C15=0%),0,AVERAGE(Calculateur!$EY$3:$EY$33)*B12)</f>
        <v>1.6370057564943086</v>
      </c>
      <c r="I12" s="149">
        <f>H12*(100%-'Données projet'!$C$24)*(100%-'Données projet'!$C$25)*(100%-'Données projet'!$C$26)*(100%-'Données projet'!$C$27)</f>
        <v>1.2523094037181461</v>
      </c>
      <c r="J12" s="150">
        <f>IF(OR('Données projet'!B15="",'Données projet'!C15="",'Données projet'!C15=0%),0,SUM(Calculateur!$ER$3:$ER$33)*VLOOKUP('Données projet'!$B$15,Paramètres!$A$1:$I$89,9,0)*B12)</f>
        <v>13.024418750000001</v>
      </c>
      <c r="K12" s="151">
        <f>J12*(100%-'Données projet'!$C$24)*(100%-'Données projet'!$C$25)*(100%-'Données projet'!$C$26)*(100%-'Données projet'!$C$27)</f>
        <v>9.963680343750001</v>
      </c>
      <c r="L12" s="152">
        <f t="shared" ca="1" si="2"/>
        <v>71.705107562816451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>Cormier</v>
      </c>
      <c r="B13" s="154">
        <f>'Données projet'!D16</f>
        <v>0.76055000000000006</v>
      </c>
      <c r="C13" s="147">
        <f ca="1">IF(OR('Données projet'!B16="",'Données projet'!C16="",'Données projet'!C16=0%),0,Calculateur!FJ3)</f>
        <v>286.77702855541287</v>
      </c>
      <c r="D13" s="147">
        <f>IF(OR('Données projet'!B16="",'Données projet'!C16="",'Données projet'!C16=0%),0,Calculateur!FK3)</f>
        <v>227.12211541860779</v>
      </c>
      <c r="E13" s="147">
        <f t="shared" ca="1" si="0"/>
        <v>227.12211541860779</v>
      </c>
      <c r="F13" s="147">
        <f t="shared" ca="1" si="1"/>
        <v>172.73772488162217</v>
      </c>
      <c r="G13" s="147">
        <f ca="1">F13*(100%-'Données projet'!$C$24)*(100%-'Données projet'!$C$25)*(100%-'Données projet'!$C$26)*(100%-'Données projet'!$C$27)</f>
        <v>132.14435953444095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ca="1" si="2"/>
        <v>132.14435953444095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>Cèdre de l'Atlas</v>
      </c>
      <c r="B14" s="154">
        <f>'Données projet'!D17</f>
        <v>0.89967500000000011</v>
      </c>
      <c r="C14" s="147">
        <f ca="1">IF(OR('Données projet'!B17="",'Données projet'!C17="",'Données projet'!C17=0%),0,Calculateur!GE3)</f>
        <v>123.2823358462245</v>
      </c>
      <c r="D14" s="147">
        <f>IF(OR('Données projet'!B17="",'Données projet'!C17="",'Données projet'!C17=0%),0,Calculateur!GF3)</f>
        <v>92.75115399786057</v>
      </c>
      <c r="E14" s="147">
        <f t="shared" ca="1" si="0"/>
        <v>92.75115399786057</v>
      </c>
      <c r="F14" s="147">
        <f t="shared" ca="1" si="1"/>
        <v>83.44589447302522</v>
      </c>
      <c r="G14" s="147">
        <f ca="1">F14*(100%-'Données projet'!$C$24)*(100%-'Données projet'!$C$25)*(100%-'Données projet'!$C$26)*(100%-'Données projet'!$C$27)</f>
        <v>63.836109271864288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ca="1" si="2"/>
        <v>63.836109271864288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>Pin maritime</v>
      </c>
      <c r="B15" s="157">
        <f>'Données projet'!D18</f>
        <v>0.89967500000000011</v>
      </c>
      <c r="C15" s="158">
        <f ca="1">IF(OR('Données projet'!B18="",'Données projet'!C18="",'Données projet'!C18=0%),0,Calculateur!GZ3)</f>
        <v>171.96009656745713</v>
      </c>
      <c r="D15" s="158">
        <f>IF(OR('Données projet'!B18="",'Données projet'!C18="",'Données projet'!C18=0%),0,Calculateur!HA3)</f>
        <v>172.37574906747716</v>
      </c>
      <c r="E15" s="158">
        <f t="shared" ca="1" si="0"/>
        <v>171.96009656745713</v>
      </c>
      <c r="F15" s="159">
        <f t="shared" ca="1" si="1"/>
        <v>154.708199879327</v>
      </c>
      <c r="G15" s="159">
        <f ca="1">F15*(100%-'Données projet'!$C$24)*(100%-'Données projet'!$C$25)*(100%-'Données projet'!$C$26)*(100%-'Données projet'!$C$27)</f>
        <v>118.35177290768516</v>
      </c>
      <c r="H15" s="160">
        <f>IF(OR('Données projet'!B18="",'Données projet'!C18="",'Données projet'!C18=0%),0,AVERAGE(Calculateur!$HJ$3:$HJ$33)*B15)</f>
        <v>8.9410913872092124</v>
      </c>
      <c r="I15" s="161">
        <f>H15*(100%-'Données projet'!$C$24)*(100%-'Données projet'!$C$25)*(100%-'Données projet'!$C$26)*(100%-'Données projet'!$C$27)</f>
        <v>6.8399349112150469</v>
      </c>
      <c r="J15" s="162">
        <f>IF(OR('Données projet'!B18="",'Données projet'!C18="",'Données projet'!C18=0%),0,SUM(Calculateur!$HC$3:$HC$33)*VLOOKUP('Données projet'!$B$18,Paramètres!$A$1:$I$89,9,0)*B15)</f>
        <v>76.354725192307697</v>
      </c>
      <c r="K15" s="163">
        <f>J15*(100%-'Données projet'!$C$24)*(100%-'Données projet'!$C$25)*(100%-'Données projet'!$C$26)*(100%-'Données projet'!$C$27)</f>
        <v>58.411364772115384</v>
      </c>
      <c r="L15" s="164">
        <f t="shared" ca="1" si="2"/>
        <v>183.6030725910156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3836.2400861349106</v>
      </c>
      <c r="G16" s="166">
        <f t="shared" ca="1" si="3"/>
        <v>2934.7236658932075</v>
      </c>
      <c r="H16" s="167">
        <f t="shared" si="3"/>
        <v>109.21142286992803</v>
      </c>
      <c r="I16" s="167">
        <f t="shared" si="3"/>
        <v>83.546738495494964</v>
      </c>
      <c r="J16" s="168">
        <f t="shared" si="3"/>
        <v>790.72437490846141</v>
      </c>
      <c r="K16" s="168">
        <f t="shared" si="3"/>
        <v>604.90414680497292</v>
      </c>
      <c r="L16" s="169">
        <f t="shared" ca="1" si="3"/>
        <v>3623.1745511936747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Cèdre de l'Atlas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Pin maritime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Pin laricio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Erable sycomore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>Chêne pubescent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>Tilleul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>Cormier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>Cèdre de l'Atlas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>Pin maritime</v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85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I61" sqref="I61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6742.1446547874102</v>
      </c>
      <c r="U10" s="178">
        <f>'Données projet'!D9</f>
        <v>5.6633150000000008</v>
      </c>
      <c r="V10" s="177">
        <f>U10*T10</f>
        <v>38182.888955627364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Cèdre de l'Atlas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-1052.9863561201589</v>
      </c>
      <c r="U11" s="178">
        <f>'Données projet'!D10</f>
        <v>5.6707350000000005</v>
      </c>
      <c r="V11" s="177">
        <f t="shared" ref="V11" si="0">U11*T11</f>
        <v>-5971.20658417305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Pin maritime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3182.0758624126115</v>
      </c>
      <c r="U12" s="178">
        <f>'Données projet'!D11</f>
        <v>2.6192600000000001</v>
      </c>
      <c r="V12" s="177">
        <f t="shared" ref="V12:V19" si="1">U12*T12</f>
        <v>8334.684023382857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Pin laricio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-1063.054107676548</v>
      </c>
      <c r="U13" s="178">
        <f>'Données projet'!D12</f>
        <v>0.89967500000000011</v>
      </c>
      <c r="V13" s="177">
        <f t="shared" si="1"/>
        <v>-956.40320432389842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Erable sycomore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-1997.0647759250917</v>
      </c>
      <c r="U14" s="178">
        <f>'Données projet'!D13</f>
        <v>0.38027500000000003</v>
      </c>
      <c r="V14" s="177">
        <f t="shared" si="1"/>
        <v>-759.4338076649143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Chêne pubescent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-2210.0908763634893</v>
      </c>
      <c r="U15" s="178">
        <f>'Données projet'!D14</f>
        <v>0.38027500000000003</v>
      </c>
      <c r="V15" s="177">
        <f t="shared" si="1"/>
        <v>-840.44230800912601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61</v>
      </c>
      <c r="O16" s="23"/>
      <c r="P16" s="23"/>
      <c r="Q16" s="234"/>
      <c r="R16" s="23"/>
      <c r="S16" s="36" t="str">
        <f>B200</f>
        <v>Tilleul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-1997.0647759250917</v>
      </c>
      <c r="U16" s="178">
        <f>'Données projet'!D15</f>
        <v>0.38027500000000003</v>
      </c>
      <c r="V16" s="177">
        <f t="shared" si="1"/>
        <v>-759.4338076649143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v>1800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61.000000000000057</v>
      </c>
      <c r="O17" s="23"/>
      <c r="P17" s="23"/>
      <c r="Q17" s="234"/>
      <c r="R17" s="23"/>
      <c r="S17" s="36" t="str">
        <f>B231</f>
        <v>Cormier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-2364.5538302415357</v>
      </c>
      <c r="U17" s="178">
        <f>'Données projet'!D16</f>
        <v>0.76055000000000006</v>
      </c>
      <c r="V17" s="177">
        <f t="shared" si="1"/>
        <v>-1798.3614155902001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29</v>
      </c>
      <c r="O18" s="23"/>
      <c r="P18" s="23"/>
      <c r="Q18" s="234"/>
      <c r="R18" s="23"/>
      <c r="S18" s="36" t="str">
        <f>B262</f>
        <v>Cèdre de l'Atlas</v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-1365.4913524344754</v>
      </c>
      <c r="U18" s="178">
        <f>'Données projet'!D17</f>
        <v>0.89967500000000011</v>
      </c>
      <c r="V18" s="177">
        <f t="shared" si="1"/>
        <v>-1228.4984325014868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1769.0000000000016</v>
      </c>
      <c r="O19" s="23"/>
      <c r="P19" s="4"/>
      <c r="Q19" s="235"/>
      <c r="R19" s="4"/>
      <c r="S19" s="36" t="str">
        <f>B293</f>
        <v>Pin maritime</v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1393.9516702103972</v>
      </c>
      <c r="U19" s="178">
        <f>'Données projet'!D18</f>
        <v>0.89967500000000011</v>
      </c>
      <c r="V19" s="177">
        <f t="shared" si="1"/>
        <v>1254.1034688965392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>
        <v>3000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1800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1900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17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3</v>
      </c>
      <c r="I23" s="191">
        <v>2000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-154910.30450228826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18</v>
      </c>
      <c r="B24" s="181">
        <f>'Données projet'!D37</f>
        <v>69.284615384615378</v>
      </c>
      <c r="C24" s="193">
        <v>25</v>
      </c>
      <c r="D24" s="182">
        <f t="shared" ref="D24:D42" si="2">B24*C24</f>
        <v>1732.1153846153845</v>
      </c>
      <c r="E24" s="193"/>
      <c r="F24" s="233"/>
      <c r="H24" s="190">
        <v>4</v>
      </c>
      <c r="I24" s="191">
        <v>750</v>
      </c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2238.6078873512593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24</v>
      </c>
      <c r="B25" s="181">
        <f>'Données projet'!D38</f>
        <v>42.661538461538463</v>
      </c>
      <c r="C25" s="193">
        <v>35</v>
      </c>
      <c r="D25" s="182">
        <f t="shared" si="2"/>
        <v>1493.1538461538462</v>
      </c>
      <c r="E25" s="193"/>
      <c r="F25" s="233"/>
      <c r="H25" s="190">
        <v>5</v>
      </c>
      <c r="I25" s="191">
        <v>60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-157148.9123896395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30</v>
      </c>
      <c r="B26" s="181">
        <f>'Données projet'!D39</f>
        <v>65.669230769230765</v>
      </c>
      <c r="C26" s="193">
        <v>55</v>
      </c>
      <c r="D26" s="182">
        <f t="shared" si="2"/>
        <v>3611.8076923076919</v>
      </c>
      <c r="E26" s="193"/>
      <c r="F26" s="233"/>
      <c r="G26" s="229"/>
      <c r="H26" s="190">
        <v>6</v>
      </c>
      <c r="I26" s="191">
        <v>60</v>
      </c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36</v>
      </c>
      <c r="B27" s="181">
        <f>'Données projet'!D40</f>
        <v>69.3</v>
      </c>
      <c r="C27" s="193">
        <v>55</v>
      </c>
      <c r="D27" s="182">
        <f t="shared" si="2"/>
        <v>3811.5</v>
      </c>
      <c r="E27" s="193"/>
      <c r="F27" s="233"/>
      <c r="G27" s="229"/>
      <c r="H27" s="190">
        <v>7</v>
      </c>
      <c r="I27" s="191">
        <v>60</v>
      </c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42</v>
      </c>
      <c r="B28" s="181">
        <f>'Données projet'!D41</f>
        <v>73.392307692307682</v>
      </c>
      <c r="C28" s="193">
        <v>60</v>
      </c>
      <c r="D28" s="182">
        <f t="shared" si="2"/>
        <v>4403.538461538461</v>
      </c>
      <c r="E28" s="193"/>
      <c r="F28" s="233"/>
      <c r="G28" s="205"/>
      <c r="H28" s="190">
        <v>8</v>
      </c>
      <c r="I28" s="191">
        <v>60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48</v>
      </c>
      <c r="B29" s="181">
        <f>'Données projet'!D42</f>
        <v>81.330769230769235</v>
      </c>
      <c r="C29" s="193">
        <v>60</v>
      </c>
      <c r="D29" s="182">
        <f t="shared" si="2"/>
        <v>4879.8461538461543</v>
      </c>
      <c r="E29" s="193"/>
      <c r="F29" s="233"/>
      <c r="G29" s="203"/>
      <c r="H29" s="190">
        <v>9</v>
      </c>
      <c r="I29" s="191">
        <v>60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54</v>
      </c>
      <c r="B30" s="181">
        <f>'Données projet'!D43</f>
        <v>566.79999999999995</v>
      </c>
      <c r="C30" s="193">
        <v>80</v>
      </c>
      <c r="D30" s="182">
        <f t="shared" si="2"/>
        <v>45344</v>
      </c>
      <c r="E30" s="193"/>
      <c r="F30" s="233"/>
      <c r="G30" s="203"/>
      <c r="H30" s="190">
        <v>10</v>
      </c>
      <c r="I30" s="191">
        <v>750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11</v>
      </c>
      <c r="I31" s="191">
        <v>60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12</v>
      </c>
      <c r="I32" s="191">
        <v>60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13</v>
      </c>
      <c r="I33" s="191">
        <v>60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14</v>
      </c>
      <c r="I34" s="191">
        <v>60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15</v>
      </c>
      <c r="I35" s="191">
        <v>60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16</v>
      </c>
      <c r="I36" s="191">
        <v>60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17</v>
      </c>
      <c r="I37" s="191">
        <v>60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18</v>
      </c>
      <c r="I38" s="191">
        <v>60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19</v>
      </c>
      <c r="I39" s="191">
        <v>60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20</v>
      </c>
      <c r="I40" s="191">
        <v>60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21</v>
      </c>
      <c r="I41" s="191">
        <v>60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22</v>
      </c>
      <c r="I42" s="191">
        <v>60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23</v>
      </c>
      <c r="I43" s="191">
        <v>60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24</v>
      </c>
      <c r="I44" s="191">
        <v>60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Cèdre de l'Atlas</v>
      </c>
      <c r="C45" s="4"/>
      <c r="D45" s="4"/>
      <c r="E45" s="4"/>
      <c r="F45" s="230"/>
      <c r="G45" s="203"/>
      <c r="H45" s="190">
        <v>25</v>
      </c>
      <c r="I45" s="191">
        <v>60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26</v>
      </c>
      <c r="I46" s="191">
        <v>60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27</v>
      </c>
      <c r="I47" s="191">
        <v>60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v>2500</v>
      </c>
      <c r="F48" s="231"/>
      <c r="G48" s="203"/>
      <c r="H48" s="190">
        <v>28</v>
      </c>
      <c r="I48" s="191">
        <v>60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>
        <v>29</v>
      </c>
      <c r="I49" s="191">
        <v>60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>
        <v>30</v>
      </c>
      <c r="I50" s="191">
        <v>60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v>31</v>
      </c>
      <c r="I51" s="191">
        <v>60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32</v>
      </c>
      <c r="I52" s="191">
        <v>60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33</v>
      </c>
      <c r="I53" s="191">
        <v>60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30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>
        <v>34</v>
      </c>
      <c r="I54" s="191">
        <v>60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42</v>
      </c>
      <c r="B55" s="181">
        <f>'Données projet'!D63</f>
        <v>179.84615384615384</v>
      </c>
      <c r="C55" s="191">
        <v>25</v>
      </c>
      <c r="D55" s="179">
        <f t="shared" ref="D55:D73" si="4">B55*C55</f>
        <v>4496.1538461538457</v>
      </c>
      <c r="E55" s="193"/>
      <c r="F55" s="232"/>
      <c r="G55" s="205"/>
      <c r="H55" s="190">
        <v>35</v>
      </c>
      <c r="I55" s="191">
        <v>60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49</v>
      </c>
      <c r="B56" s="181">
        <f>'Données projet'!D64</f>
        <v>94.476923076923072</v>
      </c>
      <c r="C56" s="191">
        <v>25</v>
      </c>
      <c r="D56" s="179">
        <f t="shared" si="4"/>
        <v>2361.9230769230767</v>
      </c>
      <c r="E56" s="193"/>
      <c r="F56" s="232"/>
      <c r="G56" s="205"/>
      <c r="H56" s="190">
        <v>36</v>
      </c>
      <c r="I56" s="191">
        <v>60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56</v>
      </c>
      <c r="B57" s="181">
        <f>'Données projet'!D65</f>
        <v>72.769230769230759</v>
      </c>
      <c r="C57" s="191">
        <v>35</v>
      </c>
      <c r="D57" s="179">
        <f t="shared" si="4"/>
        <v>2546.9230769230767</v>
      </c>
      <c r="E57" s="193"/>
      <c r="F57" s="232"/>
      <c r="G57" s="205"/>
      <c r="H57" s="190">
        <v>37</v>
      </c>
      <c r="I57" s="191">
        <v>60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63</v>
      </c>
      <c r="B58" s="181">
        <f>'Données projet'!D66</f>
        <v>71.123076923076923</v>
      </c>
      <c r="C58" s="191">
        <v>45</v>
      </c>
      <c r="D58" s="179">
        <f t="shared" si="4"/>
        <v>3200.5384615384614</v>
      </c>
      <c r="E58" s="193"/>
      <c r="F58" s="232"/>
      <c r="G58" s="205"/>
      <c r="H58" s="190">
        <v>38</v>
      </c>
      <c r="I58" s="191">
        <v>60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71</v>
      </c>
      <c r="B59" s="181">
        <f>'Données projet'!D67</f>
        <v>80.399999999999991</v>
      </c>
      <c r="C59" s="191">
        <v>45</v>
      </c>
      <c r="D59" s="179">
        <f t="shared" si="4"/>
        <v>3617.9999999999995</v>
      </c>
      <c r="E59" s="193"/>
      <c r="F59" s="232"/>
      <c r="G59" s="205"/>
      <c r="H59" s="190">
        <v>39</v>
      </c>
      <c r="I59" s="191">
        <v>60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79</v>
      </c>
      <c r="B60" s="181">
        <f>'Données projet'!D68</f>
        <v>77.338461538461544</v>
      </c>
      <c r="C60" s="191">
        <v>50</v>
      </c>
      <c r="D60" s="179">
        <f t="shared" si="4"/>
        <v>3866.9230769230771</v>
      </c>
      <c r="E60" s="193"/>
      <c r="F60" s="232"/>
      <c r="G60" s="206"/>
      <c r="H60" s="190">
        <v>40</v>
      </c>
      <c r="I60" s="191">
        <v>750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87</v>
      </c>
      <c r="B61" s="181">
        <f>'Données projet'!D69</f>
        <v>77.330769230769235</v>
      </c>
      <c r="C61" s="191">
        <v>50</v>
      </c>
      <c r="D61" s="179">
        <f t="shared" si="4"/>
        <v>3866.5384615384619</v>
      </c>
      <c r="E61" s="193"/>
      <c r="F61" s="232"/>
      <c r="G61" s="206"/>
      <c r="H61" s="190">
        <v>41</v>
      </c>
      <c r="I61" s="191">
        <v>60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95</v>
      </c>
      <c r="B62" s="181">
        <f>'Données projet'!D70</f>
        <v>234.42307692307691</v>
      </c>
      <c r="C62" s="191">
        <v>55</v>
      </c>
      <c r="D62" s="179">
        <f t="shared" si="4"/>
        <v>12893.26923076923</v>
      </c>
      <c r="E62" s="193"/>
      <c r="F62" s="232"/>
      <c r="G62" s="206"/>
      <c r="H62" s="190">
        <v>42</v>
      </c>
      <c r="I62" s="191">
        <v>60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105</v>
      </c>
      <c r="B63" s="181">
        <f>'Données projet'!D71</f>
        <v>309.71538461538461</v>
      </c>
      <c r="C63" s="191">
        <v>65</v>
      </c>
      <c r="D63" s="179">
        <f t="shared" si="4"/>
        <v>20131.5</v>
      </c>
      <c r="E63" s="193"/>
      <c r="F63" s="232"/>
      <c r="G63" s="206"/>
      <c r="H63" s="190">
        <v>43</v>
      </c>
      <c r="I63" s="191">
        <v>60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>
        <v>44</v>
      </c>
      <c r="I64" s="191">
        <v>60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>
        <v>45</v>
      </c>
      <c r="I65" s="191">
        <v>60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>
        <v>46</v>
      </c>
      <c r="I66" s="191">
        <v>60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>
        <v>47</v>
      </c>
      <c r="I67" s="191">
        <v>60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>
        <v>48</v>
      </c>
      <c r="I68" s="191">
        <v>60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>
        <v>49</v>
      </c>
      <c r="I69" s="191">
        <v>60</v>
      </c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>
        <v>50</v>
      </c>
      <c r="I70" s="191">
        <v>60</v>
      </c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>
        <v>51.52</v>
      </c>
      <c r="I71" s="191">
        <v>60</v>
      </c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53</v>
      </c>
      <c r="I72" s="191">
        <v>60</v>
      </c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54</v>
      </c>
      <c r="I73" s="191">
        <v>60</v>
      </c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Pin maritime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v>1550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10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15</v>
      </c>
      <c r="B86" s="181">
        <f>'Données projet'!D89</f>
        <v>49.784615384615385</v>
      </c>
      <c r="C86" s="191">
        <v>25</v>
      </c>
      <c r="D86" s="179">
        <f t="shared" ref="D86:D104" si="6">B86*C86</f>
        <v>1244.6153846153845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20</v>
      </c>
      <c r="B87" s="181">
        <f>'Données projet'!D90</f>
        <v>48.723076923076924</v>
      </c>
      <c r="C87" s="191">
        <v>30</v>
      </c>
      <c r="D87" s="179">
        <f t="shared" si="6"/>
        <v>1461.6923076923076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26</v>
      </c>
      <c r="B88" s="181">
        <f>'Données projet'!D91</f>
        <v>46.984615384615381</v>
      </c>
      <c r="C88" s="191">
        <v>30</v>
      </c>
      <c r="D88" s="179">
        <f t="shared" si="6"/>
        <v>1409.5384615384614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str">
        <f>IF(O87+1&lt;=MIN('Données projet'!$E$9:$E$18),O87+1,"STOP")</f>
        <v>STOP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32</v>
      </c>
      <c r="B89" s="181">
        <f>'Données projet'!D92</f>
        <v>64.523076923076914</v>
      </c>
      <c r="C89" s="191">
        <v>35</v>
      </c>
      <c r="D89" s="179">
        <f t="shared" si="6"/>
        <v>2258.3076923076919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40</v>
      </c>
      <c r="B90" s="181">
        <f>'Données projet'!D93</f>
        <v>92.661538461538456</v>
      </c>
      <c r="C90" s="191">
        <v>35</v>
      </c>
      <c r="D90" s="179">
        <f t="shared" si="6"/>
        <v>3243.1538461538457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48</v>
      </c>
      <c r="B91" s="181">
        <f>'Données projet'!D94</f>
        <v>83.969230769230762</v>
      </c>
      <c r="C91" s="191">
        <v>40</v>
      </c>
      <c r="D91" s="179">
        <f t="shared" si="6"/>
        <v>3358.7692307692305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56</v>
      </c>
      <c r="B92" s="181">
        <f>'Données projet'!D95</f>
        <v>446.47692307692301</v>
      </c>
      <c r="C92" s="191">
        <v>40</v>
      </c>
      <c r="D92" s="179">
        <f t="shared" si="6"/>
        <v>17859.076923076922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Pin laricio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1750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20</v>
      </c>
      <c r="B116" s="181">
        <f>'Données projet'!D114</f>
        <v>20</v>
      </c>
      <c r="C116" s="191">
        <v>10</v>
      </c>
      <c r="D116" s="179">
        <f>B116*C116</f>
        <v>200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30</v>
      </c>
      <c r="B117" s="181">
        <f>'Données projet'!D115</f>
        <v>60</v>
      </c>
      <c r="C117" s="191">
        <v>10</v>
      </c>
      <c r="D117" s="179">
        <f t="shared" ref="D117:D135" si="8">B117*C117</f>
        <v>600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40</v>
      </c>
      <c r="B118" s="181">
        <f>'Données projet'!D116</f>
        <v>79</v>
      </c>
      <c r="C118" s="191">
        <v>10</v>
      </c>
      <c r="D118" s="179">
        <f t="shared" si="8"/>
        <v>790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50</v>
      </c>
      <c r="B119" s="181">
        <f>'Données projet'!D117</f>
        <v>89</v>
      </c>
      <c r="C119" s="191">
        <v>10</v>
      </c>
      <c r="D119" s="179">
        <f t="shared" si="8"/>
        <v>890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60</v>
      </c>
      <c r="B120" s="181">
        <f>'Données projet'!D118</f>
        <v>90</v>
      </c>
      <c r="C120" s="191">
        <v>10</v>
      </c>
      <c r="D120" s="179">
        <f t="shared" si="8"/>
        <v>900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70</v>
      </c>
      <c r="B121" s="181">
        <f>'Données projet'!D119</f>
        <v>86</v>
      </c>
      <c r="C121" s="191">
        <v>15</v>
      </c>
      <c r="D121" s="179">
        <f t="shared" si="8"/>
        <v>1290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80</v>
      </c>
      <c r="B122" s="181">
        <f>'Données projet'!D120</f>
        <v>78</v>
      </c>
      <c r="C122" s="191">
        <v>20</v>
      </c>
      <c r="D122" s="179">
        <f t="shared" si="8"/>
        <v>1560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90</v>
      </c>
      <c r="B123" s="181">
        <f>'Données projet'!D121</f>
        <v>70</v>
      </c>
      <c r="C123" s="191">
        <v>30</v>
      </c>
      <c r="D123" s="179">
        <f t="shared" si="8"/>
        <v>2100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>Erable sycomore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2650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10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20</v>
      </c>
      <c r="B148" s="175">
        <f>'Données projet'!D141</f>
        <v>67</v>
      </c>
      <c r="C148" s="191">
        <v>5</v>
      </c>
      <c r="D148" s="182">
        <f t="shared" ref="D148:D166" si="10">B148*C148</f>
        <v>335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30</v>
      </c>
      <c r="B149" s="175">
        <f>'Données projet'!D142</f>
        <v>70</v>
      </c>
      <c r="C149" s="191">
        <v>5</v>
      </c>
      <c r="D149" s="182">
        <f t="shared" si="10"/>
        <v>350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40</v>
      </c>
      <c r="B150" s="175">
        <f>'Données projet'!D143</f>
        <v>70</v>
      </c>
      <c r="C150" s="191">
        <v>5</v>
      </c>
      <c r="D150" s="182">
        <f t="shared" si="10"/>
        <v>350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50</v>
      </c>
      <c r="B151" s="175">
        <f>'Données projet'!D144</f>
        <v>43</v>
      </c>
      <c r="C151" s="191">
        <v>5</v>
      </c>
      <c r="D151" s="182">
        <f t="shared" si="10"/>
        <v>215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60</v>
      </c>
      <c r="B152" s="175">
        <f>'Données projet'!D145</f>
        <v>30</v>
      </c>
      <c r="C152" s="191">
        <v>10</v>
      </c>
      <c r="D152" s="182">
        <f t="shared" si="10"/>
        <v>300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70</v>
      </c>
      <c r="B153" s="175">
        <f>'Données projet'!D146</f>
        <v>26</v>
      </c>
      <c r="C153" s="191">
        <v>10</v>
      </c>
      <c r="D153" s="182">
        <f t="shared" si="10"/>
        <v>260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80</v>
      </c>
      <c r="B154" s="175">
        <f>'Données projet'!D147</f>
        <v>342</v>
      </c>
      <c r="C154" s="191">
        <v>30</v>
      </c>
      <c r="D154" s="182">
        <f t="shared" si="10"/>
        <v>10260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>Chêne pubescent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v>2650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30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35</v>
      </c>
      <c r="B179" s="181">
        <f>'Données projet'!D167</f>
        <v>60.602564102564102</v>
      </c>
      <c r="C179" s="193">
        <v>10</v>
      </c>
      <c r="D179" s="179">
        <f t="shared" ref="D179:D197" si="11">B179*C179</f>
        <v>606.02564102564099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41</v>
      </c>
      <c r="B180" s="181">
        <f>'Données projet'!D168</f>
        <v>38.512820512820511</v>
      </c>
      <c r="C180" s="193">
        <v>10</v>
      </c>
      <c r="D180" s="179">
        <f t="shared" si="11"/>
        <v>385.12820512820508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48</v>
      </c>
      <c r="B181" s="181">
        <f>'Données projet'!D169</f>
        <v>48.025641025641022</v>
      </c>
      <c r="C181" s="193">
        <v>10</v>
      </c>
      <c r="D181" s="179">
        <f t="shared" si="11"/>
        <v>480.25641025641022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55</v>
      </c>
      <c r="B182" s="181">
        <f>'Données projet'!D170</f>
        <v>45.147435897435898</v>
      </c>
      <c r="C182" s="193">
        <v>10</v>
      </c>
      <c r="D182" s="179">
        <f t="shared" si="11"/>
        <v>451.47435897435901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63</v>
      </c>
      <c r="B183" s="181">
        <f>'Données projet'!D171</f>
        <v>41.724358974358978</v>
      </c>
      <c r="C183" s="193">
        <v>10</v>
      </c>
      <c r="D183" s="179">
        <f t="shared" si="11"/>
        <v>417.24358974358978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71</v>
      </c>
      <c r="B184" s="181">
        <f>'Données projet'!D172</f>
        <v>39.935897435897431</v>
      </c>
      <c r="C184" s="193">
        <v>10</v>
      </c>
      <c r="D184" s="179">
        <f t="shared" si="11"/>
        <v>399.35897435897431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80</v>
      </c>
      <c r="B185" s="181">
        <f>'Données projet'!D173</f>
        <v>45.608974358974358</v>
      </c>
      <c r="C185" s="193">
        <v>10</v>
      </c>
      <c r="D185" s="179">
        <f t="shared" si="11"/>
        <v>456.08974358974359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89</v>
      </c>
      <c r="B186" s="181">
        <f>'Données projet'!D174</f>
        <v>49.391025641025635</v>
      </c>
      <c r="C186" s="193">
        <v>20</v>
      </c>
      <c r="D186" s="179">
        <f t="shared" si="11"/>
        <v>987.8205128205127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99</v>
      </c>
      <c r="B187" s="181">
        <f>'Données projet'!D175</f>
        <v>48.019230769230766</v>
      </c>
      <c r="C187" s="193">
        <v>20</v>
      </c>
      <c r="D187" s="179">
        <f t="shared" si="11"/>
        <v>960.38461538461536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109</v>
      </c>
      <c r="B188" s="181">
        <f>'Données projet'!D176</f>
        <v>51.28846153846154</v>
      </c>
      <c r="C188" s="193">
        <v>20</v>
      </c>
      <c r="D188" s="179">
        <f t="shared" si="11"/>
        <v>1025.7692307692307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119</v>
      </c>
      <c r="B189" s="181">
        <f>'Données projet'!D177</f>
        <v>150.02564102564102</v>
      </c>
      <c r="C189" s="193">
        <v>20</v>
      </c>
      <c r="D189" s="179">
        <f t="shared" si="11"/>
        <v>3000.5128205128203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123</v>
      </c>
      <c r="B190" s="181">
        <f>'Données projet'!D178</f>
        <v>77.17307692307692</v>
      </c>
      <c r="C190" s="193">
        <v>40</v>
      </c>
      <c r="D190" s="179">
        <f t="shared" si="11"/>
        <v>3086.9230769230767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127</v>
      </c>
      <c r="B191" s="181">
        <f>'Données projet'!D179</f>
        <v>49.916666666666671</v>
      </c>
      <c r="C191" s="193">
        <v>40</v>
      </c>
      <c r="D191" s="179">
        <f t="shared" si="11"/>
        <v>1996.666666666667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131</v>
      </c>
      <c r="B192" s="181">
        <f>'Données projet'!D180</f>
        <v>110.91025641025641</v>
      </c>
      <c r="C192" s="193">
        <v>40</v>
      </c>
      <c r="D192" s="179">
        <f t="shared" si="11"/>
        <v>4436.4102564102559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>Tilleul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v>2650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10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20</v>
      </c>
      <c r="B210" s="181">
        <f>'Données projet'!D193</f>
        <v>67</v>
      </c>
      <c r="C210" s="193">
        <v>5</v>
      </c>
      <c r="D210" s="179">
        <f t="shared" ref="D210:D228" si="12">B210*C210</f>
        <v>335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30</v>
      </c>
      <c r="B211" s="181">
        <f>'Données projet'!D194</f>
        <v>70</v>
      </c>
      <c r="C211" s="193">
        <v>5</v>
      </c>
      <c r="D211" s="179">
        <f t="shared" si="12"/>
        <v>350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40</v>
      </c>
      <c r="B212" s="181">
        <f>'Données projet'!D195</f>
        <v>70</v>
      </c>
      <c r="C212" s="193">
        <v>5</v>
      </c>
      <c r="D212" s="179">
        <f t="shared" si="12"/>
        <v>350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50</v>
      </c>
      <c r="B213" s="181">
        <f>'Données projet'!D196</f>
        <v>43</v>
      </c>
      <c r="C213" s="193">
        <v>5</v>
      </c>
      <c r="D213" s="179">
        <f t="shared" si="12"/>
        <v>215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60</v>
      </c>
      <c r="B214" s="181">
        <f>'Données projet'!D197</f>
        <v>30</v>
      </c>
      <c r="C214" s="193">
        <v>10</v>
      </c>
      <c r="D214" s="179">
        <f t="shared" si="12"/>
        <v>300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70</v>
      </c>
      <c r="B215" s="181">
        <f>'Données projet'!D198</f>
        <v>26</v>
      </c>
      <c r="C215" s="193">
        <v>10</v>
      </c>
      <c r="D215" s="179">
        <f t="shared" si="12"/>
        <v>260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80</v>
      </c>
      <c r="B216" s="181">
        <f>'Données projet'!D199</f>
        <v>342</v>
      </c>
      <c r="C216" s="193">
        <v>30</v>
      </c>
      <c r="D216" s="179">
        <f t="shared" si="12"/>
        <v>10260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>Cormier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>
        <v>2650</v>
      </c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30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35</v>
      </c>
      <c r="B241" s="181">
        <f>'Données projet'!D219</f>
        <v>60.602564102564102</v>
      </c>
      <c r="C241" s="193">
        <v>5</v>
      </c>
      <c r="D241" s="179">
        <f t="shared" ref="D241:D259" si="13">B241*C241</f>
        <v>303.0128205128205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41</v>
      </c>
      <c r="B242" s="181">
        <f>'Données projet'!D220</f>
        <v>38.512820512820511</v>
      </c>
      <c r="C242" s="193">
        <v>5</v>
      </c>
      <c r="D242" s="179">
        <f t="shared" si="13"/>
        <v>192.56410256410254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48</v>
      </c>
      <c r="B243" s="181">
        <f>'Données projet'!D221</f>
        <v>48.025641025641022</v>
      </c>
      <c r="C243" s="193">
        <v>5</v>
      </c>
      <c r="D243" s="179">
        <f t="shared" si="13"/>
        <v>240.12820512820511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55</v>
      </c>
      <c r="B244" s="181">
        <f>'Données projet'!D222</f>
        <v>45.147435897435898</v>
      </c>
      <c r="C244" s="193">
        <v>5</v>
      </c>
      <c r="D244" s="179">
        <f t="shared" si="13"/>
        <v>225.7371794871795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63</v>
      </c>
      <c r="B245" s="181">
        <f>'Données projet'!D223</f>
        <v>41.724358974358978</v>
      </c>
      <c r="C245" s="193">
        <v>10</v>
      </c>
      <c r="D245" s="179">
        <f t="shared" si="13"/>
        <v>417.24358974358978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71</v>
      </c>
      <c r="B246" s="181">
        <f>'Données projet'!D224</f>
        <v>39.935897435897431</v>
      </c>
      <c r="C246" s="193">
        <v>10</v>
      </c>
      <c r="D246" s="179">
        <f t="shared" si="13"/>
        <v>399.35897435897431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80</v>
      </c>
      <c r="B247" s="181">
        <f>'Données projet'!D225</f>
        <v>45.608974358974358</v>
      </c>
      <c r="C247" s="193">
        <v>10</v>
      </c>
      <c r="D247" s="179">
        <f t="shared" si="13"/>
        <v>456.08974358974359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89</v>
      </c>
      <c r="B248" s="181">
        <f>'Données projet'!D226</f>
        <v>49.391025641025635</v>
      </c>
      <c r="C248" s="193">
        <v>20</v>
      </c>
      <c r="D248" s="179">
        <f t="shared" si="13"/>
        <v>987.8205128205127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99</v>
      </c>
      <c r="B249" s="181">
        <f>'Données projet'!D227</f>
        <v>48.019230769230766</v>
      </c>
      <c r="C249" s="193">
        <v>20</v>
      </c>
      <c r="D249" s="179">
        <f t="shared" si="13"/>
        <v>960.38461538461536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109</v>
      </c>
      <c r="B250" s="181">
        <f>'Données projet'!D228</f>
        <v>51.28846153846154</v>
      </c>
      <c r="C250" s="193">
        <v>20</v>
      </c>
      <c r="D250" s="179">
        <f t="shared" si="13"/>
        <v>1025.7692307692307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119</v>
      </c>
      <c r="B251" s="181">
        <f>'Données projet'!D229</f>
        <v>150.02564102564102</v>
      </c>
      <c r="C251" s="193">
        <v>20</v>
      </c>
      <c r="D251" s="179">
        <f t="shared" si="13"/>
        <v>3000.5128205128203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123</v>
      </c>
      <c r="B252" s="181">
        <f>'Données projet'!D230</f>
        <v>77.17307692307692</v>
      </c>
      <c r="C252" s="193">
        <v>30</v>
      </c>
      <c r="D252" s="179">
        <f t="shared" si="13"/>
        <v>2315.1923076923076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127</v>
      </c>
      <c r="B253" s="181">
        <f>'Données projet'!D231</f>
        <v>49.916666666666671</v>
      </c>
      <c r="C253" s="193">
        <v>30</v>
      </c>
      <c r="D253" s="179">
        <f t="shared" si="13"/>
        <v>1497.5000000000002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131</v>
      </c>
      <c r="B254" s="181">
        <f>'Données projet'!D232</f>
        <v>110.91025641025641</v>
      </c>
      <c r="C254" s="193">
        <v>30</v>
      </c>
      <c r="D254" s="179">
        <f t="shared" si="13"/>
        <v>3327.3076923076924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>Cèdre de l'Atlas</v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>
        <v>2500</v>
      </c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30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51</v>
      </c>
      <c r="B272" s="181">
        <f>'Données projet'!D245</f>
        <v>170.16153846153847</v>
      </c>
      <c r="C272" s="193">
        <v>25</v>
      </c>
      <c r="D272" s="179">
        <f t="shared" ref="D272:D290" si="14">B272*C272</f>
        <v>4254.0384615384619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61</v>
      </c>
      <c r="B273" s="181">
        <f>'Données projet'!D246</f>
        <v>94.76153846153845</v>
      </c>
      <c r="C273" s="193">
        <v>35</v>
      </c>
      <c r="D273" s="179">
        <f t="shared" si="14"/>
        <v>3316.6538461538457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73</v>
      </c>
      <c r="B274" s="181">
        <f>'Données projet'!D247</f>
        <v>93.584615384615375</v>
      </c>
      <c r="C274" s="193">
        <v>45</v>
      </c>
      <c r="D274" s="179">
        <f t="shared" si="14"/>
        <v>4211.3076923076915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85</v>
      </c>
      <c r="B275" s="181">
        <f>'Données projet'!D248</f>
        <v>85.207692307692298</v>
      </c>
      <c r="C275" s="193">
        <v>45</v>
      </c>
      <c r="D275" s="179">
        <f t="shared" si="14"/>
        <v>3834.3461538461534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97</v>
      </c>
      <c r="B276" s="181">
        <f>'Données projet'!D249</f>
        <v>79.669230769230765</v>
      </c>
      <c r="C276" s="193">
        <v>50</v>
      </c>
      <c r="D276" s="179">
        <f t="shared" si="14"/>
        <v>3983.4615384615381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109</v>
      </c>
      <c r="B277" s="181">
        <f>'Données projet'!D250</f>
        <v>80.653846153846146</v>
      </c>
      <c r="C277" s="193">
        <v>50</v>
      </c>
      <c r="D277" s="179">
        <f t="shared" si="14"/>
        <v>4032.6923076923072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121</v>
      </c>
      <c r="B278" s="181">
        <f>'Données projet'!D251</f>
        <v>207.07692307692307</v>
      </c>
      <c r="C278" s="193">
        <v>55</v>
      </c>
      <c r="D278" s="179">
        <f t="shared" si="14"/>
        <v>11389.23076923077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131</v>
      </c>
      <c r="B279" s="181">
        <f>'Données projet'!D252</f>
        <v>259.61538461538458</v>
      </c>
      <c r="C279" s="193">
        <v>65</v>
      </c>
      <c r="D279" s="179">
        <f t="shared" si="14"/>
        <v>16874.999999999996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>Pin maritime</v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>
        <v>1550</v>
      </c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17</v>
      </c>
      <c r="B302" s="181">
        <f>'Données projet'!D270</f>
        <v>42.084615384615383</v>
      </c>
      <c r="C302" s="191">
        <v>25</v>
      </c>
      <c r="D302" s="182">
        <f>B302*C302</f>
        <v>1052.1153846153845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23</v>
      </c>
      <c r="B303" s="181">
        <f>'Données projet'!D271</f>
        <v>54.099999999999994</v>
      </c>
      <c r="C303" s="191">
        <v>30</v>
      </c>
      <c r="D303" s="182">
        <f t="shared" ref="D303:D321" si="15">B303*C303</f>
        <v>1622.9999999999998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29</v>
      </c>
      <c r="B304" s="181">
        <f>'Données projet'!D272</f>
        <v>47.661538461538463</v>
      </c>
      <c r="C304" s="191">
        <v>30</v>
      </c>
      <c r="D304" s="182">
        <f t="shared" si="15"/>
        <v>1429.8461538461538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36</v>
      </c>
      <c r="B305" s="181">
        <f>'Données projet'!D273</f>
        <v>64.553846153846152</v>
      </c>
      <c r="C305" s="191">
        <v>35</v>
      </c>
      <c r="D305" s="182">
        <f t="shared" si="15"/>
        <v>2259.3846153846152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44</v>
      </c>
      <c r="B306" s="181">
        <f>'Données projet'!D274</f>
        <v>64.476923076923072</v>
      </c>
      <c r="C306" s="191">
        <v>35</v>
      </c>
      <c r="D306" s="182">
        <f t="shared" si="15"/>
        <v>2256.6923076923076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52</v>
      </c>
      <c r="B307" s="181">
        <f>'Données projet'!D275</f>
        <v>61.784615384615378</v>
      </c>
      <c r="C307" s="191">
        <v>40</v>
      </c>
      <c r="D307" s="182">
        <f t="shared" si="15"/>
        <v>2471.3846153846152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60</v>
      </c>
      <c r="B308" s="181">
        <f>'Données projet'!D276</f>
        <v>353.5</v>
      </c>
      <c r="C308" s="191">
        <v>40</v>
      </c>
      <c r="D308" s="182">
        <f t="shared" si="15"/>
        <v>14140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Laurence DEGOUL SAINT JEAN</cp:lastModifiedBy>
  <cp:lastPrinted>2025-03-18T10:50:40Z</cp:lastPrinted>
  <dcterms:created xsi:type="dcterms:W3CDTF">2021-02-01T08:22:39Z</dcterms:created>
  <dcterms:modified xsi:type="dcterms:W3CDTF">2026-01-08T09:12:39Z</dcterms:modified>
</cp:coreProperties>
</file>