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5 LE MONT - SR 22 244 016\"/>
    </mc:Choice>
  </mc:AlternateContent>
  <xr:revisionPtr revIDLastSave="0" documentId="13_ncr:1_{90D4C4E3-4052-4EFB-835C-469356BEC179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1" l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D71" i="1" l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AC154" i="2"/>
  <c r="EY154" i="2"/>
  <c r="ED154" i="2"/>
  <c r="DI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AB156" i="2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ED157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W162" i="2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ED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C168" i="2"/>
  <c r="EW168" i="2"/>
  <c r="EB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Y171" i="2"/>
  <c r="ED171" i="2"/>
  <c r="EA172" i="2"/>
  <c r="EW172" i="2"/>
  <c r="EV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D177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ED178" i="2"/>
  <c r="DF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EW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D185" i="2"/>
  <c r="EW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ED193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Y194" i="2"/>
  <c r="EB195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Y196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EI106" i="2" l="1" a="1"/>
  <c r="EI106" i="2" s="1"/>
  <c r="EY202" i="2"/>
  <c r="EI195" i="2" a="1"/>
  <c r="EI195" i="2" s="1"/>
  <c r="EI153" i="2" a="1"/>
  <c r="EI153" i="2" s="1"/>
  <c r="EI166" i="2" a="1"/>
  <c r="EI166" i="2" s="1"/>
  <c r="EI198" i="2" a="1"/>
  <c r="EI198" i="2" s="1"/>
  <c r="EI145" i="2" a="1"/>
  <c r="EI145" i="2" s="1"/>
  <c r="BC114" i="2" a="1"/>
  <c r="BC114" i="2" s="1"/>
  <c r="BC47" i="2" a="1"/>
  <c r="BC47" i="2" s="1"/>
  <c r="BC65" i="2" a="1"/>
  <c r="BC65" i="2" s="1"/>
  <c r="CS129" i="2" a="1"/>
  <c r="CS129" i="2" s="1"/>
  <c r="CS66" i="2" a="1"/>
  <c r="CS6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Y203" i="2"/>
  <c r="ED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24" i="2" l="1"/>
  <c r="CY6" i="2"/>
  <c r="CY41" i="2"/>
  <c r="CY70" i="2"/>
  <c r="CY129" i="2"/>
  <c r="CY173" i="2"/>
  <c r="CY169" i="2"/>
  <c r="CY27" i="2"/>
  <c r="CY190" i="2"/>
  <c r="CY130" i="2"/>
  <c r="CY156" i="2"/>
  <c r="CY104" i="2"/>
  <c r="CY88" i="2"/>
  <c r="CY109" i="2"/>
  <c r="CY29" i="2"/>
  <c r="CY31" i="2"/>
  <c r="CY121" i="2"/>
  <c r="CY153" i="2"/>
  <c r="CY102" i="2"/>
  <c r="CY132" i="2"/>
  <c r="CY159" i="2"/>
  <c r="CY69" i="2"/>
  <c r="CY93" i="2"/>
  <c r="CY191" i="2"/>
  <c r="CY5" i="2"/>
  <c r="CY22" i="2"/>
  <c r="CY47" i="2"/>
  <c r="CY152" i="2"/>
  <c r="CY40" i="2"/>
  <c r="CY97" i="2"/>
  <c r="CY80" i="2"/>
  <c r="CY42" i="2"/>
  <c r="CY163" i="2"/>
  <c r="CY195" i="2"/>
  <c r="CY198" i="2"/>
  <c r="CY36" i="2"/>
  <c r="CY64" i="2"/>
  <c r="CY94" i="2"/>
  <c r="CY193" i="2"/>
  <c r="CY197" i="2"/>
  <c r="CY13" i="2"/>
  <c r="CY183" i="2"/>
  <c r="CY181" i="2"/>
  <c r="CY63" i="2"/>
  <c r="CY162" i="2"/>
  <c r="CY28" i="2"/>
  <c r="CY12" i="2"/>
  <c r="CY103" i="2"/>
  <c r="CY16" i="2"/>
  <c r="CY9" i="2"/>
  <c r="CY77" i="2"/>
  <c r="CY119" i="2"/>
  <c r="CY52" i="2"/>
  <c r="CY98" i="2"/>
  <c r="CY177" i="2"/>
  <c r="CY160" i="2"/>
  <c r="CY118" i="2"/>
  <c r="CY56" i="2"/>
  <c r="CY81" i="2"/>
  <c r="CY194" i="2"/>
  <c r="CY172" i="2"/>
  <c r="CY44" i="2"/>
  <c r="CY161" i="2"/>
  <c r="CY49" i="2"/>
  <c r="CY178" i="2"/>
  <c r="CY37" i="2"/>
  <c r="CY26" i="2"/>
  <c r="CY180" i="2"/>
  <c r="CY158" i="2"/>
  <c r="CY78" i="2"/>
  <c r="CY110" i="2"/>
  <c r="CY202" i="2"/>
  <c r="CY174" i="2"/>
  <c r="CY127" i="2"/>
  <c r="CY164" i="2"/>
  <c r="CY73" i="2"/>
  <c r="CY62" i="2"/>
  <c r="CY120" i="2"/>
  <c r="CY168" i="2"/>
  <c r="CY128" i="2"/>
  <c r="CY122" i="2"/>
  <c r="CY84" i="2"/>
  <c r="CY82" i="2"/>
  <c r="CY146" i="2"/>
  <c r="CY76" i="2"/>
  <c r="CY131" i="2"/>
  <c r="CY86" i="2"/>
  <c r="CY34" i="2"/>
  <c r="CY157" i="2"/>
  <c r="CY149" i="2"/>
  <c r="CY85" i="2"/>
  <c r="CY45" i="2"/>
  <c r="CY116" i="2"/>
  <c r="CY66" i="2"/>
  <c r="CY71" i="2"/>
  <c r="CY39" i="2"/>
  <c r="CY167" i="2"/>
  <c r="CY18" i="2"/>
  <c r="CY58" i="2"/>
  <c r="CY117" i="2"/>
  <c r="CY201" i="2"/>
  <c r="CY57" i="2"/>
  <c r="CY92" i="2"/>
  <c r="CY53" i="2"/>
  <c r="CY165" i="2"/>
  <c r="CY30" i="2"/>
  <c r="CY46" i="2"/>
  <c r="CY166" i="2"/>
  <c r="CY141" i="2"/>
  <c r="CY125" i="2"/>
  <c r="CY186" i="2"/>
  <c r="CY15" i="2"/>
  <c r="CY101" i="2"/>
  <c r="CY170" i="2"/>
  <c r="CY105" i="2"/>
  <c r="CY196" i="2"/>
  <c r="CY72" i="2"/>
  <c r="CY43" i="2"/>
  <c r="CY147" i="2"/>
  <c r="CY140" i="2"/>
  <c r="CY155" i="2"/>
  <c r="CY50" i="2"/>
  <c r="CY124" i="2"/>
  <c r="CY17" i="2"/>
  <c r="CY96" i="2"/>
  <c r="CY176" i="2"/>
  <c r="CY179" i="2"/>
  <c r="CY192" i="2"/>
  <c r="CY3" i="2"/>
  <c r="C10" i="4" s="1"/>
  <c r="E10" i="4" s="1"/>
  <c r="F10" i="4" s="1"/>
  <c r="G10" i="4" s="1"/>
  <c r="L10" i="4" s="1"/>
  <c r="CY55" i="2"/>
  <c r="CY35" i="2"/>
  <c r="CY203" i="2"/>
  <c r="CY188" i="2"/>
  <c r="CY91" i="2"/>
  <c r="CY21" i="2"/>
  <c r="CY106" i="2"/>
  <c r="CY151" i="2"/>
  <c r="CY48" i="2"/>
  <c r="CY199" i="2"/>
  <c r="CY107" i="2"/>
  <c r="CY11" i="2"/>
  <c r="CY100" i="2"/>
  <c r="CY113" i="2"/>
  <c r="CY54" i="2"/>
  <c r="CY150" i="2"/>
  <c r="CY25" i="2"/>
  <c r="CY200" i="2"/>
  <c r="CY75" i="2"/>
  <c r="CY23" i="2"/>
  <c r="CY108" i="2"/>
  <c r="CY99" i="2"/>
  <c r="CY32" i="2"/>
  <c r="CY184" i="2"/>
  <c r="CY112" i="2"/>
  <c r="CY7" i="2"/>
  <c r="CY4" i="2"/>
  <c r="CY114" i="2"/>
  <c r="CY111" i="2"/>
  <c r="CY65" i="2"/>
  <c r="CY133" i="2"/>
  <c r="CY83" i="2"/>
  <c r="CY79" i="2"/>
  <c r="CY74" i="2"/>
  <c r="CY135" i="2"/>
  <c r="CY67" i="2"/>
  <c r="CY144" i="2"/>
  <c r="CY126" i="2"/>
  <c r="CY61" i="2"/>
  <c r="CY148" i="2"/>
  <c r="CY19" i="2"/>
  <c r="CY59" i="2"/>
  <c r="CY136" i="2"/>
  <c r="CY89" i="2"/>
  <c r="CY115" i="2"/>
  <c r="CY33" i="2"/>
  <c r="CY8" i="2"/>
  <c r="CY189" i="2"/>
  <c r="CY185" i="2"/>
  <c r="CY143" i="2"/>
  <c r="CY14" i="2"/>
  <c r="CY68" i="2"/>
  <c r="CY51" i="2"/>
  <c r="CY38" i="2"/>
  <c r="CY175" i="2"/>
  <c r="CY154" i="2"/>
  <c r="CY187" i="2"/>
  <c r="CY137" i="2"/>
  <c r="CY87" i="2"/>
  <c r="CY171" i="2"/>
  <c r="CY10" i="2"/>
  <c r="CY123" i="2"/>
  <c r="CY182" i="2"/>
  <c r="CY134" i="2"/>
  <c r="CY90" i="2"/>
  <c r="CY95" i="2"/>
  <c r="CY145" i="2"/>
  <c r="CY142" i="2"/>
  <c r="CY60" i="2"/>
  <c r="CY20" i="2"/>
  <c r="CY139" i="2"/>
  <c r="CY138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49" i="2" l="1"/>
  <c r="BI71" i="2"/>
  <c r="BI76" i="2"/>
  <c r="BI42" i="2"/>
  <c r="BI114" i="2"/>
  <c r="BI48" i="2"/>
  <c r="BI36" i="2"/>
  <c r="BI167" i="2"/>
  <c r="BI37" i="2"/>
  <c r="BI168" i="2"/>
  <c r="BI9" i="2"/>
  <c r="BI123" i="2"/>
  <c r="BI195" i="2"/>
  <c r="BI105" i="2"/>
  <c r="BI175" i="2"/>
  <c r="BI18" i="2"/>
  <c r="BI127" i="2"/>
  <c r="BI116" i="2"/>
  <c r="BI186" i="2"/>
  <c r="BI153" i="2"/>
  <c r="BI139" i="2"/>
  <c r="BI196" i="2"/>
  <c r="BI202" i="2"/>
  <c r="BI25" i="2"/>
  <c r="BI130" i="2"/>
  <c r="BI144" i="2"/>
  <c r="BI11" i="2"/>
  <c r="BI131" i="2"/>
  <c r="BI39" i="2"/>
  <c r="BI63" i="2"/>
  <c r="BI53" i="2"/>
  <c r="BI119" i="2"/>
  <c r="BI162" i="2"/>
  <c r="BI129" i="2"/>
  <c r="BI183" i="2"/>
  <c r="BI106" i="2"/>
  <c r="BI3" i="2"/>
  <c r="C8" i="4" s="1"/>
  <c r="E8" i="4" s="1"/>
  <c r="F8" i="4" s="1"/>
  <c r="G8" i="4" s="1"/>
  <c r="L8" i="4" s="1"/>
  <c r="BI122" i="2"/>
  <c r="BI118" i="2"/>
  <c r="BI77" i="2"/>
  <c r="BI200" i="2"/>
  <c r="BI38" i="2"/>
  <c r="BI184" i="2"/>
  <c r="BI134" i="2"/>
  <c r="BI164" i="2"/>
  <c r="BI47" i="2"/>
  <c r="BI198" i="2"/>
  <c r="BI109" i="2"/>
  <c r="BI44" i="2"/>
  <c r="BI189" i="2"/>
  <c r="BI203" i="2"/>
  <c r="BI69" i="2"/>
  <c r="BI176" i="2"/>
  <c r="BI113" i="2"/>
  <c r="BI148" i="2"/>
  <c r="BI5" i="2"/>
  <c r="BI61" i="2"/>
  <c r="BI67" i="2"/>
  <c r="BI157" i="2"/>
  <c r="BI32" i="2"/>
  <c r="BI54" i="2"/>
  <c r="BI80" i="2"/>
  <c r="BI82" i="2"/>
  <c r="BI51" i="2"/>
  <c r="BI13" i="2"/>
  <c r="BI170" i="2"/>
  <c r="BI84" i="2"/>
  <c r="BI79" i="2"/>
  <c r="BI193" i="2"/>
  <c r="BI117" i="2"/>
  <c r="BI125" i="2"/>
  <c r="BI24" i="2"/>
  <c r="BI87" i="2"/>
  <c r="BI83" i="2"/>
  <c r="BI103" i="2"/>
  <c r="BI108" i="2"/>
  <c r="BI93" i="2"/>
  <c r="BI178" i="2"/>
  <c r="BI29" i="2"/>
  <c r="BI88" i="2"/>
  <c r="BI41" i="2"/>
  <c r="BI14" i="2"/>
  <c r="BI115" i="2"/>
  <c r="BI160" i="2"/>
  <c r="BI21" i="2"/>
  <c r="BI199" i="2"/>
  <c r="BI68" i="2"/>
  <c r="BI26" i="2"/>
  <c r="BI150" i="2"/>
  <c r="BI8" i="2"/>
  <c r="BI191" i="2"/>
  <c r="BI142" i="2"/>
  <c r="BI46" i="2"/>
  <c r="BI147" i="2"/>
  <c r="BI74" i="2"/>
  <c r="BI187" i="2"/>
  <c r="BI97" i="2"/>
  <c r="BI72" i="2"/>
  <c r="BI86" i="2"/>
  <c r="BI141" i="2"/>
  <c r="BI110" i="2"/>
  <c r="BI182" i="2"/>
  <c r="BI56" i="2"/>
  <c r="BI165" i="2"/>
  <c r="BI143" i="2"/>
  <c r="BI154" i="2"/>
  <c r="BI169" i="2"/>
  <c r="BI180" i="2"/>
  <c r="BI4" i="2"/>
  <c r="BI156" i="2"/>
  <c r="BI89" i="2"/>
  <c r="BI57" i="2"/>
  <c r="BI6" i="2"/>
  <c r="BI81" i="2"/>
  <c r="BI133" i="2"/>
  <c r="BI102" i="2"/>
  <c r="BI128" i="2"/>
  <c r="BI22" i="2"/>
  <c r="BI126" i="2"/>
  <c r="BI146" i="2"/>
  <c r="BI49" i="2"/>
  <c r="BI64" i="2"/>
  <c r="BI55" i="2"/>
  <c r="BI35" i="2"/>
  <c r="BI159" i="2"/>
  <c r="BI140" i="2"/>
  <c r="BI138" i="2"/>
  <c r="BI92" i="2"/>
  <c r="BI73" i="2"/>
  <c r="BI17" i="2"/>
  <c r="BI171" i="2"/>
  <c r="BI104" i="2"/>
  <c r="BI59" i="2"/>
  <c r="BI27" i="2"/>
  <c r="BI91" i="2"/>
  <c r="BI112" i="2"/>
  <c r="BI31" i="2"/>
  <c r="BI161" i="2"/>
  <c r="BI201" i="2"/>
  <c r="BI197" i="2"/>
  <c r="BI132" i="2"/>
  <c r="BI65" i="2"/>
  <c r="BI155" i="2"/>
  <c r="BI101" i="2"/>
  <c r="BI174" i="2"/>
  <c r="BI95" i="2"/>
  <c r="BI120" i="2"/>
  <c r="BI62" i="2"/>
  <c r="BI30" i="2"/>
  <c r="BI190" i="2"/>
  <c r="BI70" i="2"/>
  <c r="BI50" i="2"/>
  <c r="BI107" i="2"/>
  <c r="BI188" i="2"/>
  <c r="BI12" i="2"/>
  <c r="BI100" i="2"/>
  <c r="BI179" i="2"/>
  <c r="BI136" i="2"/>
  <c r="BI33" i="2"/>
  <c r="BI43" i="2"/>
  <c r="BI96" i="2"/>
  <c r="BI45" i="2"/>
  <c r="BI52" i="2"/>
  <c r="BI173" i="2"/>
  <c r="BI121" i="2"/>
  <c r="BI90" i="2"/>
  <c r="BI10" i="2"/>
  <c r="BI158" i="2"/>
  <c r="BI20" i="2"/>
  <c r="BI78" i="2"/>
  <c r="BI94" i="2"/>
  <c r="BI172" i="2"/>
  <c r="BI7" i="2"/>
  <c r="BI151" i="2"/>
  <c r="BI145" i="2"/>
  <c r="BI166" i="2"/>
  <c r="BI135" i="2"/>
  <c r="BI181" i="2"/>
  <c r="BI152" i="2"/>
  <c r="BI111" i="2"/>
  <c r="BI163" i="2"/>
  <c r="BI16" i="2"/>
  <c r="BI66" i="2"/>
  <c r="BI19" i="2"/>
  <c r="BI185" i="2"/>
  <c r="BI194" i="2"/>
  <c r="BI85" i="2"/>
  <c r="BI28" i="2"/>
  <c r="BI177" i="2"/>
  <c r="BI99" i="2"/>
  <c r="BI34" i="2"/>
  <c r="BI40" i="2"/>
  <c r="BI124" i="2"/>
  <c r="BI137" i="2"/>
  <c r="BI15" i="2"/>
  <c r="BI58" i="2"/>
  <c r="BI192" i="2"/>
  <c r="BI60" i="2"/>
  <c r="BI98" i="2"/>
  <c r="BI23" i="2"/>
  <c r="BI7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<sst xmlns="http://schemas.openxmlformats.org/spreadsheetml/2006/main" count="1170" uniqueCount="324">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</sst>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8" fillId="4" borderId="0" xfId="0" applyFont="1" applyFill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2.6221659006031532</c:v>
                </c:pt>
                <c:pt idx="2">
                  <c:v>3.1322083665241549</c:v>
                </c:pt>
                <c:pt idx="3">
                  <c:v>3.7418290992150331</c:v>
                </c:pt>
                <c:pt idx="4">
                  <c:v>4.4705372894252742</c:v>
                </c:pt>
                <c:pt idx="5">
                  <c:v>5.3416768206533467</c:v>
                </c:pt>
                <c:pt idx="6">
                  <c:v>6.3831822949956036</c:v>
                </c:pt>
                <c:pt idx="7">
                  <c:v>7.6284845295207901</c:v>
                </c:pt>
                <c:pt idx="8">
                  <c:v>9.1175951501293113</c:v>
                </c:pt>
                <c:pt idx="9">
                  <c:v>10.898405796042995</c:v>
                </c:pt>
                <c:pt idx="10">
                  <c:v>13.028244506192046</c:v>
                </c:pt>
                <c:pt idx="11">
                  <c:v>15.575740322601375</c:v>
                </c:pt>
                <c:pt idx="12">
                  <c:v>18.623057295923882</c:v>
                </c:pt>
                <c:pt idx="13">
                  <c:v>22.268571251084154</c:v>
                </c:pt>
                <c:pt idx="14">
                  <c:v>26.630077270432324</c:v>
                </c:pt>
                <c:pt idx="15">
                  <c:v>31.848633362475322</c:v>
                </c:pt>
                <c:pt idx="16">
                  <c:v>38.093166787700099</c:v>
                </c:pt>
                <c:pt idx="17">
                  <c:v>45.565994707132809</c:v>
                </c:pt>
                <c:pt idx="18">
                  <c:v>54.509441041660921</c:v>
                </c:pt>
                <c:pt idx="19">
                  <c:v>65.213767686010328</c:v>
                </c:pt>
                <c:pt idx="20">
                  <c:v>78.026681717112226</c:v>
                </c:pt>
                <c:pt idx="21">
                  <c:v>82.388011748887735</c:v>
                </c:pt>
                <c:pt idx="22">
                  <c:v>94.305360186337609</c:v>
                </c:pt>
                <c:pt idx="23">
                  <c:v>106.18511445791337</c:v>
                </c:pt>
                <c:pt idx="24">
                  <c:v>118.03208120289025</c:v>
                </c:pt>
                <c:pt idx="25">
                  <c:v>129.85002000252635</c:v>
                </c:pt>
                <c:pt idx="26">
                  <c:v>141.64194831023977</c:v>
                </c:pt>
                <c:pt idx="27">
                  <c:v>153.41033898523892</c:v>
                </c:pt>
                <c:pt idx="28">
                  <c:v>165.15725377990333</c:v>
                </c:pt>
                <c:pt idx="29">
                  <c:v>176.88443672655623</c:v>
                </c:pt>
                <c:pt idx="30">
                  <c:v>188.59338138830176</c:v>
                </c:pt>
                <c:pt idx="31">
                  <c:v>165.52984007722179</c:v>
                </c:pt>
                <c:pt idx="32">
                  <c:v>183.3915707178659</c:v>
                </c:pt>
                <c:pt idx="33">
                  <c:v>201.21262563029904</c:v>
                </c:pt>
                <c:pt idx="34">
                  <c:v>218.99711535784954</c:v>
                </c:pt>
                <c:pt idx="35">
                  <c:v>236.74842754536431</c:v>
                </c:pt>
                <c:pt idx="36">
                  <c:v>254.46939993854008</c:v>
                </c:pt>
                <c:pt idx="37">
                  <c:v>272.16244255683904</c:v>
                </c:pt>
                <c:pt idx="38">
                  <c:v>289.82962637569977</c:v>
                </c:pt>
                <c:pt idx="39">
                  <c:v>307.47274922302034</c:v>
                </c:pt>
                <c:pt idx="40">
                  <c:v>325.09338574282259</c:v>
                </c:pt>
                <c:pt idx="41">
                  <c:v>250.77990843042707</c:v>
                </c:pt>
                <c:pt idx="42">
                  <c:v>270.32065694935739</c:v>
                </c:pt>
                <c:pt idx="43">
                  <c:v>289.82962637569977</c:v>
                </c:pt>
                <c:pt idx="44">
                  <c:v>309.3092561029556</c:v>
                </c:pt>
                <c:pt idx="45">
                  <c:v>328.76165316889791</c:v>
                </c:pt>
                <c:pt idx="46">
                  <c:v>348.18865493629534</c:v>
                </c:pt>
                <c:pt idx="47">
                  <c:v>367.59187704260927</c:v>
                </c:pt>
                <c:pt idx="48">
                  <c:v>386.97275069119155</c:v>
                </c:pt>
                <c:pt idx="49">
                  <c:v>406.33255207904011</c:v>
                </c:pt>
                <c:pt idx="50">
                  <c:v>425.67242592235556</c:v>
                </c:pt>
                <c:pt idx="51">
                  <c:v>328.39486727133874</c:v>
                </c:pt>
                <c:pt idx="52">
                  <c:v>348.18865493629534</c:v>
                </c:pt>
                <c:pt idx="53">
                  <c:v>367.95775652370872</c:v>
                </c:pt>
                <c:pt idx="54">
                  <c:v>387.70368425262296</c:v>
                </c:pt>
                <c:pt idx="55">
                  <c:v>407.42778379371663</c:v>
                </c:pt>
                <c:pt idx="56">
                  <c:v>427.13125995293143</c:v>
                </c:pt>
                <c:pt idx="57">
                  <c:v>446.81519736841233</c:v>
                </c:pt>
                <c:pt idx="58">
                  <c:v>466.4805773703319</c:v>
                </c:pt>
                <c:pt idx="59">
                  <c:v>486.12829184993842</c:v>
                </c:pt>
                <c:pt idx="60">
                  <c:v>505.75915477017446</c:v>
                </c:pt>
                <c:pt idx="61">
                  <c:v>399.57720542478529</c:v>
                </c:pt>
                <c:pt idx="62">
                  <c:v>419.10633532774767</c:v>
                </c:pt>
                <c:pt idx="63">
                  <c:v>438.61586616499397</c:v>
                </c:pt>
                <c:pt idx="64">
                  <c:v>458.1067918371786</c:v>
                </c:pt>
                <c:pt idx="65">
                  <c:v>477.58001482002169</c:v>
                </c:pt>
                <c:pt idx="66">
                  <c:v>497.036358035185</c:v>
                </c:pt>
                <c:pt idx="67">
                  <c:v>516.47657476615097</c:v>
                </c:pt>
                <c:pt idx="68">
                  <c:v>535.90135700397661</c:v>
                </c:pt>
                <c:pt idx="69">
                  <c:v>555.31134252056279</c:v>
                </c:pt>
                <c:pt idx="70">
                  <c:v>574.70712090201835</c:v>
                </c:pt>
                <c:pt idx="71">
                  <c:v>462.294089204675</c:v>
                </c:pt>
                <c:pt idx="72">
                  <c:v>480.67231718549561</c:v>
                </c:pt>
                <c:pt idx="73">
                  <c:v>499.03561650475189</c:v>
                </c:pt>
                <c:pt idx="74">
                  <c:v>517.38461348648957</c:v>
                </c:pt>
                <c:pt idx="75">
                  <c:v>535.71988643466068</c:v>
                </c:pt>
                <c:pt idx="76">
                  <c:v>554.04197086588488</c:v>
                </c:pt>
                <c:pt idx="77">
                  <c:v>572.35136401433954</c:v>
                </c:pt>
                <c:pt idx="78">
                  <c:v>590.64852873052894</c:v>
                </c:pt>
                <c:pt idx="79">
                  <c:v>608.93389687209947</c:v>
                </c:pt>
                <c:pt idx="80">
                  <c:v>627.20787226644893</c:v>
                </c:pt>
                <c:pt idx="81">
                  <c:v>518.65581121947082</c:v>
                </c:pt>
                <c:pt idx="82">
                  <c:v>535.17546696939337</c:v>
                </c:pt>
                <c:pt idx="83">
                  <c:v>551.68440454363065</c:v>
                </c:pt>
                <c:pt idx="84">
                  <c:v>568.18298966438704</c:v>
                </c:pt>
                <c:pt idx="85">
                  <c:v>584.67156509530366</c:v>
                </c:pt>
                <c:pt idx="86">
                  <c:v>601.1504527028269</c:v>
                </c:pt>
                <c:pt idx="87">
                  <c:v>617.61995527992087</c:v>
                </c:pt>
                <c:pt idx="88">
                  <c:v>634.08035816525512</c:v>
                </c:pt>
                <c:pt idx="89">
                  <c:v>650.53193068562337</c:v>
                </c:pt>
                <c:pt idx="90">
                  <c:v>666.97492744496378</c:v>
                </c:pt>
                <c:pt idx="91">
                  <c:v>560.93211702074007</c:v>
                </c:pt>
                <c:pt idx="92">
                  <c:v>576.15671718544536</c:v>
                </c:pt>
                <c:pt idx="93">
                  <c:v>591.3729233222266</c:v>
                </c:pt>
                <c:pt idx="94">
                  <c:v>606.58098171901827</c:v>
                </c:pt>
                <c:pt idx="95">
                  <c:v>621.7811253140419</c:v>
                </c:pt>
                <c:pt idx="96">
                  <c:v>636.97357473480702</c:v>
                </c:pt>
                <c:pt idx="97">
                  <c:v>652.15853923289103</c:v>
                </c:pt>
                <c:pt idx="98">
                  <c:v>667.33621752718682</c:v>
                </c:pt>
                <c:pt idx="99">
                  <c:v>682.50679856649674</c:v>
                </c:pt>
                <c:pt idx="100">
                  <c:v>697.67046222084502</c:v>
                </c:pt>
                <c:pt idx="101">
                  <c:v>597.52953409477198</c:v>
                </c:pt>
                <c:pt idx="102">
                  <c:v>611.28662331597275</c:v>
                </c:pt>
                <c:pt idx="103">
                  <c:v>625.03729061656554</c:v>
                </c:pt>
                <c:pt idx="104">
                  <c:v>638.78169711460112</c:v>
                </c:pt>
                <c:pt idx="105">
                  <c:v>652.51999643294278</c:v>
                </c:pt>
                <c:pt idx="106">
                  <c:v>666.25233520168399</c:v>
                </c:pt>
                <c:pt idx="107">
                  <c:v>679.97885351701518</c:v>
                </c:pt>
                <c:pt idx="108">
                  <c:v>693.69968536113538</c:v>
                </c:pt>
                <c:pt idx="109">
                  <c:v>707.41495898723531</c:v>
                </c:pt>
                <c:pt idx="110">
                  <c:v>721.1247972730938</c:v>
                </c:pt>
                <c:pt idx="111">
                  <c:v>628.6548402981233</c:v>
                </c:pt>
                <c:pt idx="112">
                  <c:v>640.95130444493554</c:v>
                </c:pt>
                <c:pt idx="113">
                  <c:v>653.24289845337205</c:v>
                </c:pt>
                <c:pt idx="114">
                  <c:v>665.52972683667122</c:v>
                </c:pt>
                <c:pt idx="115">
                  <c:v>677.8118899361674</c:v>
                </c:pt>
                <c:pt idx="116">
                  <c:v>690.08948416197961</c:v>
                </c:pt>
                <c:pt idx="117">
                  <c:v>702.36260221569603</c:v>
                </c:pt>
                <c:pt idx="118">
                  <c:v>714.63133329669063</c:v>
                </c:pt>
                <c:pt idx="119">
                  <c:v>726.89576329354441</c:v>
                </c:pt>
                <c:pt idx="120">
                  <c:v>739.15597496188423</c:v>
                </c:pt>
                <c:pt idx="121">
                  <c:v>654.14650279389639</c:v>
                </c:pt>
                <c:pt idx="122">
                  <c:v>664.8071023299367</c:v>
                </c:pt>
                <c:pt idx="123">
                  <c:v>675.46418548841041</c:v>
                </c:pt>
                <c:pt idx="124">
                  <c:v>686.11781555021241</c:v>
                </c:pt>
                <c:pt idx="125">
                  <c:v>696.76805367152656</c:v>
                </c:pt>
                <c:pt idx="126">
                  <c:v>707.41495898723531</c:v>
                </c:pt>
                <c:pt idx="127">
                  <c:v>718.05858870778468</c:v>
                </c:pt>
                <c:pt idx="128">
                  <c:v>728.69899821000888</c:v>
                </c:pt>
                <c:pt idx="129">
                  <c:v>739.33624112237851</c:v>
                </c:pt>
                <c:pt idx="130">
                  <c:v>749.97036940508951</c:v>
                </c:pt>
                <c:pt idx="131">
                  <c:v>674.38057308941836</c:v>
                </c:pt>
                <c:pt idx="132">
                  <c:v>683.59014472488514</c:v>
                </c:pt>
                <c:pt idx="133">
                  <c:v>692.7971712341091</c:v>
                </c:pt>
                <c:pt idx="134">
                  <c:v>702.00169120082239</c:v>
                </c:pt>
                <c:pt idx="135">
                  <c:v>711.20374211472051</c:v>
                </c:pt>
                <c:pt idx="136">
                  <c:v>720.40336041654052</c:v>
                </c:pt>
                <c:pt idx="137">
                  <c:v>729.60058154071328</c:v>
                </c:pt>
                <c:pt idx="138">
                  <c:v>738.79543995575875</c:v>
                </c:pt>
                <c:pt idx="139">
                  <c:v>747.98796920256325</c:v>
                </c:pt>
                <c:pt idx="140">
                  <c:v>757.17820193068076</c:v>
                </c:pt>
                <c:pt idx="141">
                  <c:v>691.35309850617239</c:v>
                </c:pt>
                <c:pt idx="142">
                  <c:v>699.47520765710851</c:v>
                </c:pt>
                <c:pt idx="143">
                  <c:v>707.59538662085424</c:v>
                </c:pt>
                <c:pt idx="144">
                  <c:v>715.71366066651626</c:v>
                </c:pt>
                <c:pt idx="145">
                  <c:v>723.83005444332548</c:v>
                </c:pt>
                <c:pt idx="146">
                  <c:v>731.94459200277345</c:v>
                </c:pt>
                <c:pt idx="147">
                  <c:v>740.05729681971332</c:v>
                </c:pt>
                <c:pt idx="148">
                  <c:v>748.16819181249014</c:v>
                </c:pt>
                <c:pt idx="149">
                  <c:v>756.27729936215337</c:v>
                </c:pt>
                <c:pt idx="150">
                  <c:v>764.3846413308014</c:v>
                </c:pt>
                <c:pt idx="151">
                  <c:v>697.67046222084571</c:v>
                </c:pt>
                <c:pt idx="152">
                  <c:v>697.67046222084571</c:v>
                </c:pt>
                <c:pt idx="153">
                  <c:v>697.67046222084571</c:v>
                </c:pt>
                <c:pt idx="154">
                  <c:v>697.67046222084571</c:v>
                </c:pt>
                <c:pt idx="155">
                  <c:v>697.67046222084571</c:v>
                </c:pt>
                <c:pt idx="156">
                  <c:v>697.67046222084571</c:v>
                </c:pt>
                <c:pt idx="157">
                  <c:v>697.67046222084571</c:v>
                </c:pt>
                <c:pt idx="158">
                  <c:v>697.67046222084571</c:v>
                </c:pt>
                <c:pt idx="159">
                  <c:v>697.67046222084571</c:v>
                </c:pt>
                <c:pt idx="160">
                  <c:v>697.67046222084571</c:v>
                </c:pt>
                <c:pt idx="161">
                  <c:v>697.67046222084571</c:v>
                </c:pt>
                <c:pt idx="162">
                  <c:v>697.67046222084571</c:v>
                </c:pt>
                <c:pt idx="163">
                  <c:v>697.67046222084571</c:v>
                </c:pt>
                <c:pt idx="164">
                  <c:v>697.67046222084571</c:v>
                </c:pt>
                <c:pt idx="165">
                  <c:v>697.67046222084571</c:v>
                </c:pt>
                <c:pt idx="166">
                  <c:v>697.67046222084571</c:v>
                </c:pt>
                <c:pt idx="167">
                  <c:v>697.67046222084571</c:v>
                </c:pt>
                <c:pt idx="168">
                  <c:v>697.67046222084571</c:v>
                </c:pt>
                <c:pt idx="169">
                  <c:v>697.67046222084571</c:v>
                </c:pt>
                <c:pt idx="170">
                  <c:v>697.67046222084571</c:v>
                </c:pt>
                <c:pt idx="171">
                  <c:v>697.67046222084571</c:v>
                </c:pt>
                <c:pt idx="172">
                  <c:v>697.67046222084571</c:v>
                </c:pt>
                <c:pt idx="173">
                  <c:v>697.67046222084571</c:v>
                </c:pt>
                <c:pt idx="174">
                  <c:v>697.67046222084571</c:v>
                </c:pt>
                <c:pt idx="175">
                  <c:v>697.67046222084571</c:v>
                </c:pt>
                <c:pt idx="176">
                  <c:v>697.67046222084571</c:v>
                </c:pt>
                <c:pt idx="177">
                  <c:v>697.67046222084571</c:v>
                </c:pt>
                <c:pt idx="178">
                  <c:v>697.67046222084571</c:v>
                </c:pt>
                <c:pt idx="179">
                  <c:v>697.67046222084571</c:v>
                </c:pt>
                <c:pt idx="180">
                  <c:v>697.67046222084571</c:v>
                </c:pt>
                <c:pt idx="181">
                  <c:v>697.67046222084571</c:v>
                </c:pt>
                <c:pt idx="182">
                  <c:v>697.67046222084571</c:v>
                </c:pt>
                <c:pt idx="183">
                  <c:v>697.67046222084571</c:v>
                </c:pt>
                <c:pt idx="184">
                  <c:v>697.67046222084571</c:v>
                </c:pt>
                <c:pt idx="185">
                  <c:v>697.67046222084571</c:v>
                </c:pt>
                <c:pt idx="186">
                  <c:v>697.67046222084571</c:v>
                </c:pt>
                <c:pt idx="187">
                  <c:v>697.67046222084571</c:v>
                </c:pt>
                <c:pt idx="188">
                  <c:v>697.67046222084571</c:v>
                </c:pt>
                <c:pt idx="189">
                  <c:v>697.67046222084571</c:v>
                </c:pt>
                <c:pt idx="190">
                  <c:v>697.67046222084571</c:v>
                </c:pt>
                <c:pt idx="191">
                  <c:v>697.67046222084571</c:v>
                </c:pt>
                <c:pt idx="192">
                  <c:v>697.67046222084571</c:v>
                </c:pt>
                <c:pt idx="193">
                  <c:v>697.67046222084571</c:v>
                </c:pt>
                <c:pt idx="194">
                  <c:v>697.67046222084571</c:v>
                </c:pt>
                <c:pt idx="195">
                  <c:v>697.67046222084571</c:v>
                </c:pt>
                <c:pt idx="196">
                  <c:v>697.67046222084571</c:v>
                </c:pt>
                <c:pt idx="197">
                  <c:v>697.67046222084571</c:v>
                </c:pt>
                <c:pt idx="198">
                  <c:v>697.67046222084571</c:v>
                </c:pt>
                <c:pt idx="199">
                  <c:v>697.67046222084571</c:v>
                </c:pt>
                <c:pt idx="200">
                  <c:v>697.67046222084571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291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292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A114" sqref="A114:G12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2" t="s">
        <v>192</v>
      </c>
      <c r="C3" s="263"/>
      <c r="D3" s="263"/>
      <c r="E3" s="263"/>
      <c r="F3" s="264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7" t="s">
        <v>231</v>
      </c>
      <c r="B5" s="267"/>
      <c r="C5" s="24">
        <v>10.29</v>
      </c>
      <c r="D5" s="268" t="s">
        <v>229</v>
      </c>
      <c r="E5" s="269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6" t="s">
        <v>226</v>
      </c>
      <c r="B7" s="266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</v>
      </c>
      <c r="D9" s="33">
        <f t="shared" ref="D9:D18" si="0">C9*$C$5</f>
        <v>3.0869999999999997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0.6</v>
      </c>
      <c r="D10" s="33">
        <f t="shared" si="0"/>
        <v>6.1739999999999995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25</v>
      </c>
      <c r="C11" s="32">
        <v>0.1</v>
      </c>
      <c r="D11" s="33">
        <f t="shared" si="0"/>
        <v>1.0289999999999999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10.29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6" t="s">
        <v>227</v>
      </c>
      <c r="B30" s="266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f>281.83/1.3</f>
        <v>216.79230769230767</v>
      </c>
      <c r="C62" s="60"/>
      <c r="D62" s="60"/>
      <c r="E62" s="51"/>
      <c r="F62" s="51"/>
      <c r="G62" s="51"/>
      <c r="H62" s="51"/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f>533.48/1.3</f>
        <v>410.3692307692308</v>
      </c>
      <c r="C63" s="60">
        <v>1</v>
      </c>
      <c r="D63" s="60">
        <f>233.8/1.3</f>
        <v>179.84615384615384</v>
      </c>
      <c r="E63" s="51"/>
      <c r="F63" s="51"/>
      <c r="G63" s="51"/>
      <c r="H63" s="51"/>
      <c r="I63" s="49">
        <f>IF(A63&lt;&gt;0,(B63-(B62-D62))/(A63-A62),"")</f>
        <v>16.131410256410259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49</v>
      </c>
      <c r="B64" s="60">
        <f>441.81/1.3</f>
        <v>339.85384615384612</v>
      </c>
      <c r="C64" s="60">
        <v>2</v>
      </c>
      <c r="D64" s="60">
        <f>122.82/1.3</f>
        <v>94.476923076923072</v>
      </c>
      <c r="E64" s="51"/>
      <c r="F64" s="51"/>
      <c r="G64" s="51"/>
      <c r="H64" s="51"/>
      <c r="I64" s="49">
        <f>IF(A64&lt;&gt;0,(B64-(B63-D63))/(A64-A63),"")</f>
        <v>15.618681318681309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56</v>
      </c>
      <c r="B65" s="60">
        <f>452.47/1.3</f>
        <v>348.05384615384617</v>
      </c>
      <c r="C65" s="60">
        <v>3</v>
      </c>
      <c r="D65" s="60">
        <f>94.6/1.3</f>
        <v>72.769230769230759</v>
      </c>
      <c r="E65" s="51"/>
      <c r="F65" s="51"/>
      <c r="G65" s="51"/>
      <c r="H65" s="51"/>
      <c r="I65" s="49">
        <f>IF(A65&lt;&gt;0,(B65-(B64-D64))/(A65-A64),"")</f>
        <v>14.668131868131875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63</v>
      </c>
      <c r="B66" s="60">
        <f>487.73/1.3</f>
        <v>375.17692307692306</v>
      </c>
      <c r="C66" s="60">
        <v>4</v>
      </c>
      <c r="D66" s="60">
        <f>92.46/1.3</f>
        <v>71.123076923076923</v>
      </c>
      <c r="E66" s="51"/>
      <c r="F66" s="51"/>
      <c r="G66" s="51"/>
      <c r="H66" s="51"/>
      <c r="I66" s="49">
        <f t="shared" ref="I66:I81" si="2">IF(A66&lt;&gt;0,(B66-(B65-D65))/(A66-A65),"")</f>
        <v>14.270329670329668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71</v>
      </c>
      <c r="B67" s="60">
        <f>538.14/1.3</f>
        <v>413.95384615384614</v>
      </c>
      <c r="C67" s="60">
        <v>5</v>
      </c>
      <c r="D67" s="60">
        <f>104.52/1.3</f>
        <v>80.399999999999991</v>
      </c>
      <c r="E67" s="51"/>
      <c r="F67" s="51"/>
      <c r="G67" s="51"/>
      <c r="H67" s="51"/>
      <c r="I67" s="49">
        <f t="shared" si="2"/>
        <v>13.737499999999997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79</v>
      </c>
      <c r="B68" s="60">
        <f>567.92/1.3</f>
        <v>436.86153846153843</v>
      </c>
      <c r="C68" s="60">
        <v>6</v>
      </c>
      <c r="D68" s="60">
        <f>100.54/1.3</f>
        <v>77.338461538461544</v>
      </c>
      <c r="E68" s="51"/>
      <c r="F68" s="51"/>
      <c r="G68" s="51"/>
      <c r="H68" s="51"/>
      <c r="I68" s="49">
        <f t="shared" si="2"/>
        <v>12.913461538461533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87</v>
      </c>
      <c r="B69" s="50">
        <f>593.47/1.3</f>
        <v>456.51538461538462</v>
      </c>
      <c r="C69" s="50">
        <v>7</v>
      </c>
      <c r="D69" s="50">
        <f>100.53/1.3</f>
        <v>77.330769230769235</v>
      </c>
      <c r="E69" s="51"/>
      <c r="F69" s="51"/>
      <c r="G69" s="51"/>
      <c r="H69" s="51"/>
      <c r="I69" s="49">
        <f t="shared" si="2"/>
        <v>12.124038461538468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95</v>
      </c>
      <c r="B70" s="50">
        <f>609.86/1.3</f>
        <v>469.12307692307689</v>
      </c>
      <c r="C70" s="50">
        <v>8</v>
      </c>
      <c r="D70" s="50">
        <f>304.75/1.3</f>
        <v>234.42307692307691</v>
      </c>
      <c r="E70" s="51"/>
      <c r="F70" s="51"/>
      <c r="G70" s="51"/>
      <c r="H70" s="51"/>
      <c r="I70" s="49">
        <f t="shared" si="2"/>
        <v>11.242307692307691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105</v>
      </c>
      <c r="B71" s="50">
        <f>402.63/1.3</f>
        <v>309.71538461538461</v>
      </c>
      <c r="C71" s="50">
        <v>9</v>
      </c>
      <c r="D71" s="50">
        <f>402.63/1.3</f>
        <v>309.71538461538461</v>
      </c>
      <c r="E71" s="51"/>
      <c r="F71" s="51"/>
      <c r="G71" s="51"/>
      <c r="H71" s="51"/>
      <c r="I71" s="49">
        <f t="shared" si="2"/>
        <v>7.5015384615384617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f>36+4</f>
        <v>40</v>
      </c>
      <c r="C88" s="60">
        <v>1</v>
      </c>
      <c r="D88" s="60">
        <v>4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f>77+22</f>
        <v>99</v>
      </c>
      <c r="C89" s="60">
        <v>2</v>
      </c>
      <c r="D89" s="60">
        <v>22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122+51</f>
        <v>173</v>
      </c>
      <c r="C90" s="60">
        <v>3</v>
      </c>
      <c r="D90" s="60">
        <v>51</v>
      </c>
      <c r="E90" s="87"/>
      <c r="F90" s="87"/>
      <c r="G90" s="87"/>
      <c r="H90" s="87"/>
      <c r="I90" s="53">
        <f t="shared" si="3"/>
        <v>9.6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164+64</f>
        <v>228</v>
      </c>
      <c r="C91" s="60">
        <v>4</v>
      </c>
      <c r="D91" s="60">
        <v>64</v>
      </c>
      <c r="E91" s="87"/>
      <c r="F91" s="87"/>
      <c r="G91" s="87"/>
      <c r="H91" s="87"/>
      <c r="I91" s="53">
        <f t="shared" si="3"/>
        <v>10.6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203+69</f>
        <v>272</v>
      </c>
      <c r="C92" s="60">
        <v>5</v>
      </c>
      <c r="D92" s="60">
        <v>69</v>
      </c>
      <c r="E92" s="87"/>
      <c r="F92" s="87"/>
      <c r="G92" s="87"/>
      <c r="H92" s="87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238+72</f>
        <v>310</v>
      </c>
      <c r="C93" s="60">
        <v>6</v>
      </c>
      <c r="D93" s="60">
        <v>72</v>
      </c>
      <c r="E93" s="87"/>
      <c r="F93" s="87"/>
      <c r="G93" s="87"/>
      <c r="H93" s="87"/>
      <c r="I93" s="53">
        <f t="shared" si="3"/>
        <v>10.7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268+71</f>
        <v>339</v>
      </c>
      <c r="C94" s="60">
        <v>7</v>
      </c>
      <c r="D94" s="60">
        <v>69</v>
      </c>
      <c r="E94" s="87"/>
      <c r="F94" s="87"/>
      <c r="G94" s="87"/>
      <c r="H94" s="87"/>
      <c r="I94" s="53">
        <f t="shared" si="3"/>
        <v>10.1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294+67</f>
        <v>361</v>
      </c>
      <c r="C95" s="60">
        <v>8</v>
      </c>
      <c r="D95" s="60">
        <v>67</v>
      </c>
      <c r="E95" s="87"/>
      <c r="F95" s="87"/>
      <c r="G95" s="87"/>
      <c r="H95" s="87"/>
      <c r="I95" s="53">
        <f t="shared" si="3"/>
        <v>9.1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f>315+63</f>
        <v>378</v>
      </c>
      <c r="C96" s="60">
        <v>9</v>
      </c>
      <c r="D96" s="60">
        <v>63</v>
      </c>
      <c r="E96" s="87"/>
      <c r="F96" s="87"/>
      <c r="G96" s="87"/>
      <c r="H96" s="87"/>
      <c r="I96" s="53">
        <f t="shared" si="3"/>
        <v>8.4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f>333+58</f>
        <v>391</v>
      </c>
      <c r="C97" s="60">
        <v>10</v>
      </c>
      <c r="D97" s="60">
        <v>58</v>
      </c>
      <c r="E97" s="87"/>
      <c r="F97" s="87"/>
      <c r="G97" s="87"/>
      <c r="H97" s="87"/>
      <c r="I97" s="53">
        <f t="shared" si="3"/>
        <v>7.6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f>348+53</f>
        <v>401</v>
      </c>
      <c r="C98" s="60">
        <v>11</v>
      </c>
      <c r="D98" s="60">
        <v>53</v>
      </c>
      <c r="E98" s="87"/>
      <c r="F98" s="87"/>
      <c r="G98" s="87"/>
      <c r="H98" s="87"/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130</v>
      </c>
      <c r="B99" s="60">
        <f>360+47</f>
        <v>407</v>
      </c>
      <c r="C99" s="60">
        <v>12</v>
      </c>
      <c r="D99" s="60">
        <v>47</v>
      </c>
      <c r="E99" s="87"/>
      <c r="F99" s="87"/>
      <c r="G99" s="87"/>
      <c r="H99" s="87"/>
      <c r="I99" s="53">
        <f t="shared" si="3"/>
        <v>5.9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140</v>
      </c>
      <c r="B100" s="60">
        <f>370+41</f>
        <v>411</v>
      </c>
      <c r="C100" s="60">
        <v>13</v>
      </c>
      <c r="D100" s="60">
        <v>41</v>
      </c>
      <c r="E100" s="65"/>
      <c r="F100" s="65"/>
      <c r="G100" s="65"/>
      <c r="H100" s="65"/>
      <c r="I100" s="53">
        <f t="shared" si="3"/>
        <v>5.0999999999999996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150</v>
      </c>
      <c r="B101" s="60">
        <f>378+37</f>
        <v>415</v>
      </c>
      <c r="C101" s="60">
        <v>14</v>
      </c>
      <c r="D101" s="60">
        <v>37</v>
      </c>
      <c r="E101" s="65"/>
      <c r="F101" s="65"/>
      <c r="G101" s="65"/>
      <c r="H101" s="65"/>
      <c r="I101" s="53">
        <f t="shared" si="3"/>
        <v>4.5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Hêtre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158.58786357608489</v>
      </c>
      <c r="AO3" s="59">
        <f>IF('Données projet'!E10&gt;30,$AM$33-$H$33,LOOKUP('Données projet'!$E$10,$A$3:$A$203,AM3:AM203)-LOOKUP('Données projet'!$E$10,$A$3:$A$203,$H$3:$H$203))</f>
        <v>163.20074068819849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310.4018929413723</v>
      </c>
      <c r="BJ3" s="59">
        <f>IF('Données projet'!E11&gt;30,$BH$33-$H$33,LOOKUP('Données projet'!$E$11,$A$3:$A$203,BH3:BH203)-LOOKUP('Données projet'!$E$11,$A$3:$A$203,$H$3:$H$203))</f>
        <v>127.5231137583819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294.78928507021237</v>
      </c>
      <c r="AN4" s="59">
        <f ca="1">AVERAGE(OFFSET($AM$3,0,0,'Données projet'!$E$10+1,1))-AVERAGE(OFFSET($H$3,0,0,'Données projet'!$E$10+1,1))</f>
        <v>158.58786357608489</v>
      </c>
      <c r="AO4" s="59">
        <f>$AO$3</f>
        <v>163.20074068819849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</v>
      </c>
      <c r="BD4" s="12">
        <f>IF('Données projet'!$A$88&gt;35,BD3+BC4-BL3,IF(A4&lt;'Données projet'!$A$88,$BA$205^A4,IF(A4='Données projet'!$A$88,'Données projet'!$B$88,BD3+BC4-BL3)))</f>
        <v>1.2025496037968351</v>
      </c>
      <c r="BE4" s="13">
        <f>BD4*VLOOKUP('Données projet'!$B$11,Paramètres!$A$1:$I$89,3,0)*VLOOKUP('Données projet'!$B$11,Paramètres!$A$1:$I$89,5,0)</f>
        <v>1.0317875600576847</v>
      </c>
      <c r="BF4" s="13">
        <f>EXP(-1.0587+0.8836*LN(BE4)+0.284)</f>
        <v>0.47376223933168582</v>
      </c>
      <c r="BG4" s="20">
        <f t="shared" ref="BG4:BG67" si="7">(BE4+BF4)*0.475*44/12</f>
        <v>2.6221659006031532</v>
      </c>
      <c r="BH4" s="59">
        <f t="shared" ref="BH4:BH67" si="8">BG4+(AY4+AZ4)*44/12</f>
        <v>295.95549923393645</v>
      </c>
      <c r="BI4" s="59">
        <f ca="1">AVERAGE(OFFSET($BH$3,0,0,'Données projet'!$E$11+1,1))-AVERAGE(OFFSET($H$3,0,0,'Données projet'!$E$11+1,1))</f>
        <v>310.4018929413723</v>
      </c>
      <c r="BJ4" s="59">
        <f>$BJ$3</f>
        <v>127.5231137583819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295.06332061746588</v>
      </c>
      <c r="AN5" s="59">
        <f ca="1">AVERAGE(OFFSET($AM$3,0,0,'Données projet'!$E$10+1,1))-AVERAGE(OFFSET($H$3,0,0,'Données projet'!$E$10+1,1))</f>
        <v>158.58786357608489</v>
      </c>
      <c r="AO5" s="59">
        <f t="shared" ref="AO5:AO68" si="36">$AO$3</f>
        <v>163.20074068819849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</v>
      </c>
      <c r="BD5" s="12">
        <f>IF('Données projet'!$A$88&gt;35,BD4+BC5-BL4,IF(A5&lt;'Données projet'!$A$88,$BA$205^A5,IF(A5='Données projet'!$A$88,'Données projet'!$B$88,BD4+BC5-BL4)))</f>
        <v>1.446125549591925</v>
      </c>
      <c r="BE5" s="13">
        <f>BD5*VLOOKUP('Données projet'!$B$11,Paramètres!$A$1:$I$89,3,0)*VLOOKUP('Données projet'!$B$11,Paramètres!$A$1:$I$89,5,0)</f>
        <v>1.2407757215498718</v>
      </c>
      <c r="BF5" s="13">
        <f t="shared" ref="BF5:BF68" si="37">EXP(-1.0587+0.8836*LN(BE5)+0.284)</f>
        <v>0.55762142669366221</v>
      </c>
      <c r="BG5" s="20">
        <f t="shared" si="7"/>
        <v>3.1322083665241549</v>
      </c>
      <c r="BH5" s="59">
        <f t="shared" si="8"/>
        <v>296.46554169985745</v>
      </c>
      <c r="BI5" s="59">
        <f ca="1">AVERAGE(OFFSET($BH$3,0,0,'Données projet'!$E$11+1,1))-AVERAGE(OFFSET($H$3,0,0,'Données projet'!$E$11+1,1))</f>
        <v>310.4018929413723</v>
      </c>
      <c r="BJ5" s="59">
        <f t="shared" ref="BJ5:BJ68" si="38">$BJ$3</f>
        <v>127.5231137583819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295.38913106113426</v>
      </c>
      <c r="AN6" s="59">
        <f ca="1">AVERAGE(OFFSET($AM$3,0,0,'Données projet'!$E$10+1,1))-AVERAGE(OFFSET($H$3,0,0,'Données projet'!$E$10+1,1))</f>
        <v>158.58786357608489</v>
      </c>
      <c r="AO6" s="59">
        <f t="shared" si="36"/>
        <v>163.20074068819849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</v>
      </c>
      <c r="BD6" s="12">
        <f>IF('Données projet'!$A$88&gt;35,BD5+BC6-BL5,IF(A6&lt;'Données projet'!$A$88,$BA$205^A6,IF(A6='Données projet'!$A$88,'Données projet'!$B$88,BD5+BC6-BL5)))</f>
        <v>1.7390377067022498</v>
      </c>
      <c r="BE6" s="13">
        <f>BD6*VLOOKUP('Données projet'!$B$11,Paramètres!$A$1:$I$89,3,0)*VLOOKUP('Données projet'!$B$11,Paramètres!$A$1:$I$89,5,0)</f>
        <v>1.4920943523505306</v>
      </c>
      <c r="BF6" s="13">
        <f t="shared" si="37"/>
        <v>0.65632426920833997</v>
      </c>
      <c r="BG6" s="20">
        <f t="shared" si="7"/>
        <v>3.7418290992150331</v>
      </c>
      <c r="BH6" s="59">
        <f t="shared" si="8"/>
        <v>297.07516243254832</v>
      </c>
      <c r="BI6" s="59">
        <f ca="1">AVERAGE(OFFSET($BH$3,0,0,'Données projet'!$E$11+1,1))-AVERAGE(OFFSET($H$3,0,0,'Données projet'!$E$11+1,1))</f>
        <v>310.4018929413723</v>
      </c>
      <c r="BJ6" s="59">
        <f t="shared" si="38"/>
        <v>127.5231137583819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295.77653370593589</v>
      </c>
      <c r="AN7" s="59">
        <f ca="1">AVERAGE(OFFSET($AM$3,0,0,'Données projet'!$E$10+1,1))-AVERAGE(OFFSET($H$3,0,0,'Données projet'!$E$10+1,1))</f>
        <v>158.58786357608489</v>
      </c>
      <c r="AO7" s="59">
        <f t="shared" si="36"/>
        <v>163.20074068819849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</v>
      </c>
      <c r="BD7" s="12">
        <f>IF('Données projet'!$A$88&gt;35,BD6+BC7-BL6,IF(A7&lt;'Données projet'!$A$88,$BA$205^A7,IF(A7='Données projet'!$A$88,'Données projet'!$B$88,BD6+BC7-BL6)))</f>
        <v>2.0912791051825472</v>
      </c>
      <c r="BE7" s="13">
        <f>BD7*VLOOKUP('Données projet'!$B$11,Paramètres!$A$1:$I$89,3,0)*VLOOKUP('Données projet'!$B$11,Paramètres!$A$1:$I$89,5,0)</f>
        <v>1.794317472246626</v>
      </c>
      <c r="BF7" s="13">
        <f t="shared" si="37"/>
        <v>0.7724981963229095</v>
      </c>
      <c r="BG7" s="20">
        <f t="shared" si="7"/>
        <v>4.4705372894252742</v>
      </c>
      <c r="BH7" s="59">
        <f t="shared" si="8"/>
        <v>297.80387062275861</v>
      </c>
      <c r="BI7" s="59">
        <f ca="1">AVERAGE(OFFSET($BH$3,0,0,'Données projet'!$E$11+1,1))-AVERAGE(OFFSET($H$3,0,0,'Données projet'!$E$11+1,1))</f>
        <v>310.4018929413723</v>
      </c>
      <c r="BJ7" s="59">
        <f t="shared" si="38"/>
        <v>127.5231137583819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296.23721364994384</v>
      </c>
      <c r="AN8" s="59">
        <f ca="1">AVERAGE(OFFSET($AM$3,0,0,'Données projet'!$E$10+1,1))-AVERAGE(OFFSET($H$3,0,0,'Données projet'!$E$10+1,1))</f>
        <v>158.58786357608489</v>
      </c>
      <c r="AO8" s="59">
        <f t="shared" si="36"/>
        <v>163.20074068819849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</v>
      </c>
      <c r="BD8" s="12">
        <f>IF('Données projet'!$A$88&gt;35,BD7+BC8-BL7,IF(A8&lt;'Données projet'!$A$88,$BA$205^A8,IF(A8='Données projet'!$A$88,'Données projet'!$B$88,BD7+BC8-BL7)))</f>
        <v>2.5148668593658718</v>
      </c>
      <c r="BE8" s="13">
        <f>BD8*VLOOKUP('Données projet'!$B$11,Paramètres!$A$1:$I$89,3,0)*VLOOKUP('Données projet'!$B$11,Paramètres!$A$1:$I$89,5,0)</f>
        <v>2.1577557653359185</v>
      </c>
      <c r="BF8" s="13">
        <f t="shared" si="37"/>
        <v>0.90923571063729491</v>
      </c>
      <c r="BG8" s="20">
        <f t="shared" si="7"/>
        <v>5.3416768206533467</v>
      </c>
      <c r="BH8" s="59">
        <f t="shared" si="8"/>
        <v>298.67501015398665</v>
      </c>
      <c r="BI8" s="59">
        <f ca="1">AVERAGE(OFFSET($BH$3,0,0,'Données projet'!$E$11+1,1))-AVERAGE(OFFSET($H$3,0,0,'Données projet'!$E$11+1,1))</f>
        <v>310.4018929413723</v>
      </c>
      <c r="BJ8" s="59">
        <f t="shared" si="38"/>
        <v>127.5231137583819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296.78508025916591</v>
      </c>
      <c r="AN9" s="59">
        <f ca="1">AVERAGE(OFFSET($AM$3,0,0,'Données projet'!$E$10+1,1))-AVERAGE(OFFSET($H$3,0,0,'Données projet'!$E$10+1,1))</f>
        <v>158.58786357608489</v>
      </c>
      <c r="AO9" s="59">
        <f t="shared" si="36"/>
        <v>163.20074068819849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</v>
      </c>
      <c r="BD9" s="12">
        <f>IF('Données projet'!$A$88&gt;35,BD8+BC9-BL8,IF(A9&lt;'Données projet'!$A$88,$BA$205^A9,IF(A9='Données projet'!$A$88,'Données projet'!$B$88,BD8+BC9-BL8)))</f>
        <v>3.0242521453322202</v>
      </c>
      <c r="BE9" s="13">
        <f>BD9*VLOOKUP('Données projet'!$B$11,Paramètres!$A$1:$I$89,3,0)*VLOOKUP('Données projet'!$B$11,Paramètres!$A$1:$I$89,5,0)</f>
        <v>2.5948083406950451</v>
      </c>
      <c r="BF9" s="13">
        <f t="shared" si="37"/>
        <v>1.0701767090631968</v>
      </c>
      <c r="BG9" s="20">
        <f t="shared" si="7"/>
        <v>6.3831822949956036</v>
      </c>
      <c r="BH9" s="59">
        <f t="shared" si="8"/>
        <v>299.71651562832892</v>
      </c>
      <c r="BI9" s="59">
        <f ca="1">AVERAGE(OFFSET($BH$3,0,0,'Données projet'!$E$11+1,1))-AVERAGE(OFFSET($H$3,0,0,'Données projet'!$E$11+1,1))</f>
        <v>310.4018929413723</v>
      </c>
      <c r="BJ9" s="59">
        <f t="shared" si="38"/>
        <v>127.5231137583819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297.43669187443635</v>
      </c>
      <c r="AN10" s="59">
        <f ca="1">AVERAGE(OFFSET($AM$3,0,0,'Données projet'!$E$10+1,1))-AVERAGE(OFFSET($H$3,0,0,'Données projet'!$E$10+1,1))</f>
        <v>158.58786357608489</v>
      </c>
      <c r="AO10" s="59">
        <f t="shared" si="36"/>
        <v>163.20074068819849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</v>
      </c>
      <c r="BD10" s="12">
        <f>IF('Données projet'!$A$88&gt;35,BD9+BC10-BL9,IF(A10&lt;'Données projet'!$A$88,$BA$205^A10,IF(A10='Données projet'!$A$88,'Données projet'!$B$88,BD9+BC10-BL9)))</f>
        <v>3.6368132191509899</v>
      </c>
      <c r="BE10" s="13">
        <f>BD10*VLOOKUP('Données projet'!$B$11,Paramètres!$A$1:$I$89,3,0)*VLOOKUP('Données projet'!$B$11,Paramètres!$A$1:$I$89,5,0)</f>
        <v>3.1203857420315497</v>
      </c>
      <c r="BF10" s="13">
        <f t="shared" si="37"/>
        <v>1.2596053753966556</v>
      </c>
      <c r="BG10" s="20">
        <f t="shared" si="7"/>
        <v>7.6284845295207901</v>
      </c>
      <c r="BH10" s="59">
        <f t="shared" si="8"/>
        <v>300.9618178628541</v>
      </c>
      <c r="BI10" s="59">
        <f ca="1">AVERAGE(OFFSET($BH$3,0,0,'Données projet'!$E$11+1,1))-AVERAGE(OFFSET($H$3,0,0,'Données projet'!$E$11+1,1))</f>
        <v>310.4018929413723</v>
      </c>
      <c r="BJ10" s="59">
        <f t="shared" si="38"/>
        <v>127.5231137583819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298.21176184583908</v>
      </c>
      <c r="AN11" s="59">
        <f ca="1">AVERAGE(OFFSET($AM$3,0,0,'Données projet'!$E$10+1,1))-AVERAGE(OFFSET($H$3,0,0,'Données projet'!$E$10+1,1))</f>
        <v>158.58786357608489</v>
      </c>
      <c r="AO11" s="59">
        <f t="shared" si="36"/>
        <v>163.20074068819849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</v>
      </c>
      <c r="BD11" s="12">
        <f>IF('Données projet'!$A$88&gt;35,BD10+BC11-BL10,IF(A11&lt;'Données projet'!$A$88,$BA$205^A11,IF(A11='Données projet'!$A$88,'Données projet'!$B$88,BD10+BC11-BL10)))</f>
        <v>4.3734482957731151</v>
      </c>
      <c r="BE11" s="13">
        <f>BD11*VLOOKUP('Données projet'!$B$11,Paramètres!$A$1:$I$89,3,0)*VLOOKUP('Données projet'!$B$11,Paramètres!$A$1:$I$89,5,0)</f>
        <v>3.7524186377733333</v>
      </c>
      <c r="BF11" s="13">
        <f t="shared" si="37"/>
        <v>1.4825642235449319</v>
      </c>
      <c r="BG11" s="20">
        <f t="shared" si="7"/>
        <v>9.1175951501293113</v>
      </c>
      <c r="BH11" s="59">
        <f t="shared" si="8"/>
        <v>302.45092848346263</v>
      </c>
      <c r="BI11" s="59">
        <f ca="1">AVERAGE(OFFSET($BH$3,0,0,'Données projet'!$E$11+1,1))-AVERAGE(OFFSET($H$3,0,0,'Données projet'!$E$11+1,1))</f>
        <v>310.4018929413723</v>
      </c>
      <c r="BJ11" s="59">
        <f t="shared" si="38"/>
        <v>127.5231137583819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299.13376150928752</v>
      </c>
      <c r="AN12" s="59">
        <f ca="1">AVERAGE(OFFSET($AM$3,0,0,'Données projet'!$E$10+1,1))-AVERAGE(OFFSET($H$3,0,0,'Données projet'!$E$10+1,1))</f>
        <v>158.58786357608489</v>
      </c>
      <c r="AO12" s="59">
        <f t="shared" si="36"/>
        <v>163.20074068819849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</v>
      </c>
      <c r="BD12" s="12">
        <f>IF('Données projet'!$A$88&gt;35,BD11+BC12-BL11,IF(A12&lt;'Données projet'!$A$88,$BA$205^A12,IF(A12='Données projet'!$A$88,'Données projet'!$B$88,BD11+BC12-BL11)))</f>
        <v>5.2592885153079028</v>
      </c>
      <c r="BE12" s="13">
        <f>BD12*VLOOKUP('Données projet'!$B$11,Paramètres!$A$1:$I$89,3,0)*VLOOKUP('Données projet'!$B$11,Paramètres!$A$1:$I$89,5,0)</f>
        <v>4.5124695461341817</v>
      </c>
      <c r="BF12" s="13">
        <f t="shared" si="37"/>
        <v>1.7449883271919417</v>
      </c>
      <c r="BG12" s="20">
        <f t="shared" si="7"/>
        <v>10.898405796042995</v>
      </c>
      <c r="BH12" s="59">
        <f t="shared" si="8"/>
        <v>304.23173912937631</v>
      </c>
      <c r="BI12" s="59">
        <f ca="1">AVERAGE(OFFSET($BH$3,0,0,'Données projet'!$E$11+1,1))-AVERAGE(OFFSET($H$3,0,0,'Données projet'!$E$11+1,1))</f>
        <v>310.4018929413723</v>
      </c>
      <c r="BJ12" s="59">
        <f t="shared" si="38"/>
        <v>127.5231137583819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300.230638725088</v>
      </c>
      <c r="AN13" s="59">
        <f ca="1">AVERAGE(OFFSET($AM$3,0,0,'Données projet'!$E$10+1,1))-AVERAGE(OFFSET($H$3,0,0,'Données projet'!$E$10+1,1))</f>
        <v>158.58786357608489</v>
      </c>
      <c r="AO13" s="59">
        <f t="shared" si="36"/>
        <v>163.20074068819849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</v>
      </c>
      <c r="BD13" s="12">
        <f>IF('Données projet'!$A$88&gt;35,BD12+BC13-BL12,IF(A13&lt;'Données projet'!$A$88,$BA$205^A13,IF(A13='Données projet'!$A$88,'Données projet'!$B$88,BD12+BC13-BL12)))</f>
        <v>6.3245553203367635</v>
      </c>
      <c r="BE13" s="13">
        <f>BD13*VLOOKUP('Données projet'!$B$11,Paramètres!$A$1:$I$89,3,0)*VLOOKUP('Données projet'!$B$11,Paramètres!$A$1:$I$89,5,0)</f>
        <v>5.4264684648489441</v>
      </c>
      <c r="BF13" s="13">
        <f t="shared" si="37"/>
        <v>2.0538633090412262</v>
      </c>
      <c r="BG13" s="20">
        <f t="shared" si="7"/>
        <v>13.028244506192046</v>
      </c>
      <c r="BH13" s="59">
        <f t="shared" si="8"/>
        <v>306.36157783952535</v>
      </c>
      <c r="BI13" s="59">
        <f ca="1">AVERAGE(OFFSET($BH$3,0,0,'Données projet'!$E$11+1,1))-AVERAGE(OFFSET($H$3,0,0,'Données projet'!$E$11+1,1))</f>
        <v>310.4018929413723</v>
      </c>
      <c r="BJ13" s="59">
        <f t="shared" si="38"/>
        <v>127.5231137583819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301.53567418316737</v>
      </c>
      <c r="AN14" s="59">
        <f ca="1">AVERAGE(OFFSET($AM$3,0,0,'Données projet'!$E$10+1,1))-AVERAGE(OFFSET($H$3,0,0,'Données projet'!$E$10+1,1))</f>
        <v>158.58786357608489</v>
      </c>
      <c r="AO14" s="59">
        <f t="shared" si="36"/>
        <v>163.20074068819849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</v>
      </c>
      <c r="BD14" s="12">
        <f>IF('Données projet'!$A$88&gt;35,BD13+BC14-BL13,IF(A14&lt;'Données projet'!$A$88,$BA$205^A14,IF(A14='Données projet'!$A$88,'Données projet'!$B$88,BD13+BC14-BL13)))</f>
        <v>7.605591494662141</v>
      </c>
      <c r="BE14" s="13">
        <f>BD14*VLOOKUP('Données projet'!$B$11,Paramètres!$A$1:$I$89,3,0)*VLOOKUP('Données projet'!$B$11,Paramètres!$A$1:$I$89,5,0)</f>
        <v>6.5255975024201174</v>
      </c>
      <c r="BF14" s="13">
        <f t="shared" si="37"/>
        <v>2.4174112952457434</v>
      </c>
      <c r="BG14" s="20">
        <f t="shared" si="7"/>
        <v>15.575740322601375</v>
      </c>
      <c r="BH14" s="59">
        <f t="shared" si="8"/>
        <v>308.90907365593466</v>
      </c>
      <c r="BI14" s="59">
        <f ca="1">AVERAGE(OFFSET($BH$3,0,0,'Données projet'!$E$11+1,1))-AVERAGE(OFFSET($H$3,0,0,'Données projet'!$E$11+1,1))</f>
        <v>310.4018929413723</v>
      </c>
      <c r="BJ14" s="59">
        <f t="shared" si="38"/>
        <v>127.5231137583819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303.08850195618453</v>
      </c>
      <c r="AN15" s="59">
        <f ca="1">AVERAGE(OFFSET($AM$3,0,0,'Données projet'!$E$10+1,1))-AVERAGE(OFFSET($H$3,0,0,'Données projet'!$E$10+1,1))</f>
        <v>158.58786357608489</v>
      </c>
      <c r="AO15" s="59">
        <f t="shared" si="36"/>
        <v>163.20074068819849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</v>
      </c>
      <c r="BD15" s="12">
        <f>IF('Données projet'!$A$88&gt;35,BD14+BC15-BL14,IF(A15&lt;'Données projet'!$A$88,$BA$205^A15,IF(A15='Données projet'!$A$88,'Données projet'!$B$88,BD14+BC15-BL14)))</f>
        <v>9.1461010385465364</v>
      </c>
      <c r="BE15" s="13">
        <f>BD15*VLOOKUP('Données projet'!$B$11,Paramètres!$A$1:$I$89,3,0)*VLOOKUP('Données projet'!$B$11,Paramètres!$A$1:$I$89,5,0)</f>
        <v>7.8473546910729288</v>
      </c>
      <c r="BF15" s="13">
        <f t="shared" si="37"/>
        <v>2.8453097850556142</v>
      </c>
      <c r="BG15" s="20">
        <f t="shared" si="7"/>
        <v>18.623057295923882</v>
      </c>
      <c r="BH15" s="59">
        <f t="shared" si="8"/>
        <v>311.95639062925721</v>
      </c>
      <c r="BI15" s="59">
        <f ca="1">AVERAGE(OFFSET($BH$3,0,0,'Données projet'!$E$11+1,1))-AVERAGE(OFFSET($H$3,0,0,'Données projet'!$E$11+1,1))</f>
        <v>310.4018929413723</v>
      </c>
      <c r="BJ15" s="59">
        <f t="shared" si="38"/>
        <v>127.5231137583819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304.93632588368541</v>
      </c>
      <c r="AN16" s="59">
        <f ca="1">AVERAGE(OFFSET($AM$3,0,0,'Données projet'!$E$10+1,1))-AVERAGE(OFFSET($H$3,0,0,'Données projet'!$E$10+1,1))</f>
        <v>158.58786357608489</v>
      </c>
      <c r="AO16" s="59">
        <f t="shared" si="36"/>
        <v>163.20074068819849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</v>
      </c>
      <c r="BD16" s="12">
        <f>IF('Données projet'!$A$88&gt;35,BD15+BC16-BL15,IF(A16&lt;'Données projet'!$A$88,$BA$205^A16,IF(A16='Données projet'!$A$88,'Données projet'!$B$88,BD15+BC16-BL15)))</f>
        <v>10.998640180189959</v>
      </c>
      <c r="BE16" s="13">
        <f>BD16*VLOOKUP('Données projet'!$B$11,Paramètres!$A$1:$I$89,3,0)*VLOOKUP('Données projet'!$B$11,Paramètres!$A$1:$I$89,5,0)</f>
        <v>9.4368332746029857</v>
      </c>
      <c r="BF16" s="13">
        <f t="shared" si="37"/>
        <v>3.348949261904663</v>
      </c>
      <c r="BG16" s="20">
        <f t="shared" si="7"/>
        <v>22.268571251084154</v>
      </c>
      <c r="BH16" s="59">
        <f t="shared" si="8"/>
        <v>315.60190458441747</v>
      </c>
      <c r="BI16" s="59">
        <f ca="1">AVERAGE(OFFSET($BH$3,0,0,'Données projet'!$E$11+1,1))-AVERAGE(OFFSET($H$3,0,0,'Données projet'!$E$11+1,1))</f>
        <v>310.4018929413723</v>
      </c>
      <c r="BJ16" s="59">
        <f t="shared" si="38"/>
        <v>127.5231137583819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307.13536945741919</v>
      </c>
      <c r="AN17" s="59">
        <f ca="1">AVERAGE(OFFSET($AM$3,0,0,'Données projet'!$E$10+1,1))-AVERAGE(OFFSET($H$3,0,0,'Données projet'!$E$10+1,1))</f>
        <v>158.58786357608489</v>
      </c>
      <c r="AO17" s="59">
        <f t="shared" si="36"/>
        <v>163.20074068819849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</v>
      </c>
      <c r="BD17" s="12">
        <f>IF('Données projet'!$A$88&gt;35,BD16+BC17-BL16,IF(A17&lt;'Données projet'!$A$88,$BA$205^A17,IF(A17='Données projet'!$A$88,'Données projet'!$B$88,BD16+BC17-BL16)))</f>
        <v>13.226410390991386</v>
      </c>
      <c r="BE17" s="13">
        <f>BD17*VLOOKUP('Données projet'!$B$11,Paramètres!$A$1:$I$89,3,0)*VLOOKUP('Données projet'!$B$11,Paramètres!$A$1:$I$89,5,0)</f>
        <v>11.348260115470611</v>
      </c>
      <c r="BF17" s="13">
        <f t="shared" si="37"/>
        <v>3.9417364034379001</v>
      </c>
      <c r="BG17" s="20">
        <f t="shared" si="7"/>
        <v>26.630077270432324</v>
      </c>
      <c r="BH17" s="59">
        <f t="shared" si="8"/>
        <v>319.96341060376562</v>
      </c>
      <c r="BI17" s="59">
        <f ca="1">AVERAGE(OFFSET($BH$3,0,0,'Données projet'!$E$11+1,1))-AVERAGE(OFFSET($H$3,0,0,'Données projet'!$E$11+1,1))</f>
        <v>310.4018929413723</v>
      </c>
      <c r="BJ17" s="59">
        <f t="shared" si="38"/>
        <v>127.5231137583819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309.75260414044732</v>
      </c>
      <c r="AN18" s="59">
        <f ca="1">AVERAGE(OFFSET($AM$3,0,0,'Données projet'!$E$10+1,1))-AVERAGE(OFFSET($H$3,0,0,'Données projet'!$E$10+1,1))</f>
        <v>158.58786357608489</v>
      </c>
      <c r="AO18" s="59">
        <f t="shared" si="36"/>
        <v>163.20074068819849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</v>
      </c>
      <c r="BD18" s="12">
        <f>IF('Données projet'!$A$88&gt;35,BD17+BC18-BL17,IF(A18&lt;'Données projet'!$A$88,$BA$205^A18,IF(A18='Données projet'!$A$88,'Données projet'!$B$88,BD17+BC18-BL17)))</f>
        <v>15.905414575341034</v>
      </c>
      <c r="BE18" s="13">
        <f>BD18*VLOOKUP('Données projet'!$B$11,Paramètres!$A$1:$I$89,3,0)*VLOOKUP('Données projet'!$B$11,Paramètres!$A$1:$I$89,5,0)</f>
        <v>13.646845705642608</v>
      </c>
      <c r="BF18" s="13">
        <f t="shared" si="37"/>
        <v>4.639450961807337</v>
      </c>
      <c r="BG18" s="20">
        <f t="shared" si="7"/>
        <v>31.848633362475322</v>
      </c>
      <c r="BH18" s="59">
        <f t="shared" si="8"/>
        <v>325.18196669580863</v>
      </c>
      <c r="BI18" s="59">
        <f ca="1">AVERAGE(OFFSET($BH$3,0,0,'Données projet'!$E$11+1,1))-AVERAGE(OFFSET($H$3,0,0,'Données projet'!$E$11+1,1))</f>
        <v>310.4018929413723</v>
      </c>
      <c r="BJ18" s="59">
        <f t="shared" si="38"/>
        <v>127.5231137583819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312.86780971819894</v>
      </c>
      <c r="AN19" s="59">
        <f ca="1">AVERAGE(OFFSET($AM$3,0,0,'Données projet'!$E$10+1,1))-AVERAGE(OFFSET($H$3,0,0,'Données projet'!$E$10+1,1))</f>
        <v>158.58786357608489</v>
      </c>
      <c r="AO19" s="59">
        <f t="shared" si="36"/>
        <v>163.20074068819849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</v>
      </c>
      <c r="BD19" s="12">
        <f>IF('Données projet'!$A$88&gt;35,BD18+BC19-BL18,IF(A19&lt;'Données projet'!$A$88,$BA$205^A19,IF(A19='Données projet'!$A$88,'Données projet'!$B$88,BD18+BC19-BL18)))</f>
        <v>19.127049995800764</v>
      </c>
      <c r="BE19" s="13">
        <f>BD19*VLOOKUP('Données projet'!$B$11,Paramètres!$A$1:$I$89,3,0)*VLOOKUP('Données projet'!$B$11,Paramètres!$A$1:$I$89,5,0)</f>
        <v>16.411008896397057</v>
      </c>
      <c r="BF19" s="13">
        <f t="shared" si="37"/>
        <v>5.4606658142441473</v>
      </c>
      <c r="BG19" s="20">
        <f t="shared" si="7"/>
        <v>38.093166787700099</v>
      </c>
      <c r="BH19" s="59">
        <f t="shared" si="8"/>
        <v>331.42650012103343</v>
      </c>
      <c r="BI19" s="59">
        <f ca="1">AVERAGE(OFFSET($BH$3,0,0,'Données projet'!$E$11+1,1))-AVERAGE(OFFSET($H$3,0,0,'Données projet'!$E$11+1,1))</f>
        <v>310.4018929413723</v>
      </c>
      <c r="BJ19" s="59">
        <f t="shared" si="38"/>
        <v>127.5231137583819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316.57603061970138</v>
      </c>
      <c r="AN20" s="59">
        <f ca="1">AVERAGE(OFFSET($AM$3,0,0,'Données projet'!$E$10+1,1))-AVERAGE(OFFSET($H$3,0,0,'Données projet'!$E$10+1,1))</f>
        <v>158.58786357608489</v>
      </c>
      <c r="AO20" s="59">
        <f t="shared" si="36"/>
        <v>163.20074068819849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</v>
      </c>
      <c r="BD20" s="12">
        <f>IF('Données projet'!$A$88&gt;35,BD19+BC20-BL19,IF(A20&lt;'Données projet'!$A$88,$BA$205^A20,IF(A20='Données projet'!$A$88,'Données projet'!$B$88,BD19+BC20-BL19)))</f>
        <v>23.001226394252466</v>
      </c>
      <c r="BE20" s="13">
        <f>BD20*VLOOKUP('Données projet'!$B$11,Paramètres!$A$1:$I$89,3,0)*VLOOKUP('Données projet'!$B$11,Paramètres!$A$1:$I$89,5,0)</f>
        <v>19.735052246268616</v>
      </c>
      <c r="BF20" s="13">
        <f t="shared" si="37"/>
        <v>6.4272413654822858</v>
      </c>
      <c r="BG20" s="20">
        <f t="shared" si="7"/>
        <v>45.565994707132809</v>
      </c>
      <c r="BH20" s="59">
        <f t="shared" si="8"/>
        <v>338.89932804046612</v>
      </c>
      <c r="BI20" s="59">
        <f ca="1">AVERAGE(OFFSET($BH$3,0,0,'Données projet'!$E$11+1,1))-AVERAGE(OFFSET($H$3,0,0,'Données projet'!$E$11+1,1))</f>
        <v>310.4018929413723</v>
      </c>
      <c r="BJ20" s="59">
        <f t="shared" si="38"/>
        <v>127.5231137583819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320.99050448601508</v>
      </c>
      <c r="AN21" s="59">
        <f ca="1">AVERAGE(OFFSET($AM$3,0,0,'Données projet'!$E$10+1,1))-AVERAGE(OFFSET($H$3,0,0,'Données projet'!$E$10+1,1))</f>
        <v>158.58786357608489</v>
      </c>
      <c r="AO21" s="59">
        <f t="shared" si="36"/>
        <v>163.20074068819849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</v>
      </c>
      <c r="BD21" s="12">
        <f>IF('Données projet'!$A$88&gt;35,BD20+BC21-BL20,IF(A21&lt;'Données projet'!$A$88,$BA$205^A21,IF(A21='Données projet'!$A$88,'Données projet'!$B$88,BD20+BC21-BL20)))</f>
        <v>27.660115687249608</v>
      </c>
      <c r="BE21" s="13">
        <f>BD21*VLOOKUP('Données projet'!$B$11,Paramètres!$A$1:$I$89,3,0)*VLOOKUP('Données projet'!$B$11,Paramètres!$A$1:$I$89,5,0)</f>
        <v>23.732379259660167</v>
      </c>
      <c r="BF21" s="13">
        <f t="shared" si="37"/>
        <v>7.5649074628245767</v>
      </c>
      <c r="BG21" s="20">
        <f t="shared" si="7"/>
        <v>54.509441041660921</v>
      </c>
      <c r="BH21" s="59">
        <f t="shared" si="8"/>
        <v>347.84277437499424</v>
      </c>
      <c r="BI21" s="59">
        <f ca="1">AVERAGE(OFFSET($BH$3,0,0,'Données projet'!$E$11+1,1))-AVERAGE(OFFSET($H$3,0,0,'Données projet'!$E$11+1,1))</f>
        <v>310.4018929413723</v>
      </c>
      <c r="BJ21" s="59">
        <f t="shared" si="38"/>
        <v>127.5231137583819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326.24615398748142</v>
      </c>
      <c r="AN22" s="59">
        <f ca="1">AVERAGE(OFFSET($AM$3,0,0,'Données projet'!$E$10+1,1))-AVERAGE(OFFSET($H$3,0,0,'Données projet'!$E$10+1,1))</f>
        <v>158.58786357608489</v>
      </c>
      <c r="AO22" s="59">
        <f t="shared" si="36"/>
        <v>163.20074068819849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</v>
      </c>
      <c r="BD22" s="12">
        <f>IF('Données projet'!$A$88&gt;35,BD21+BC22-BL21,IF(A22&lt;'Données projet'!$A$88,$BA$205^A22,IF(A22='Données projet'!$A$88,'Données projet'!$B$88,BD21+BC22-BL21)))</f>
        <v>33.262661160676636</v>
      </c>
      <c r="BE22" s="13">
        <f>BD22*VLOOKUP('Données projet'!$B$11,Paramètres!$A$1:$I$89,3,0)*VLOOKUP('Données projet'!$B$11,Paramètres!$A$1:$I$89,5,0)</f>
        <v>28.539363275860556</v>
      </c>
      <c r="BF22" s="13">
        <f t="shared" si="37"/>
        <v>8.9039483141932294</v>
      </c>
      <c r="BG22" s="20">
        <f t="shared" si="7"/>
        <v>65.213767686010328</v>
      </c>
      <c r="BH22" s="59">
        <f t="shared" si="8"/>
        <v>358.54710101934364</v>
      </c>
      <c r="BI22" s="59">
        <f ca="1">AVERAGE(OFFSET($BH$3,0,0,'Données projet'!$E$11+1,1))-AVERAGE(OFFSET($H$3,0,0,'Données projet'!$E$11+1,1))</f>
        <v>310.4018929413723</v>
      </c>
      <c r="BJ22" s="59">
        <f t="shared" si="38"/>
        <v>127.5231137583819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332.50375046384869</v>
      </c>
      <c r="AN23" s="59">
        <f ca="1">AVERAGE(OFFSET($AM$3,0,0,'Données projet'!$E$10+1,1))-AVERAGE(OFFSET($H$3,0,0,'Données projet'!$E$10+1,1))</f>
        <v>158.58786357608489</v>
      </c>
      <c r="AO23" s="59">
        <f t="shared" si="36"/>
        <v>163.20074068819849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40</v>
      </c>
      <c r="BB23" s="12">
        <f>VLOOKUP(A23,'Données projet'!$A$87:$I$107,9,0)</f>
        <v>2</v>
      </c>
      <c r="BC23" s="12">
        <f t="array" ref="BC23">INDEX(BB:BB,MIN(IF(ISNUMBER(BB23:BB219),ROW(BB23:BB219),"")))</f>
        <v>2</v>
      </c>
      <c r="BD23" s="12">
        <f>IF('Données projet'!$A$88&gt;35,BD22+BC23-BL22,IF(A23&lt;'Données projet'!$A$88,$BA$205^A23,IF(A23='Données projet'!$A$88,'Données projet'!$B$88,BD22+BC23-BL22)))</f>
        <v>40</v>
      </c>
      <c r="BE23" s="13">
        <f>BD23*VLOOKUP('Données projet'!$B$11,Paramètres!$A$1:$I$89,3,0)*VLOOKUP('Données projet'!$B$11,Paramètres!$A$1:$I$89,5,0)</f>
        <v>34.32</v>
      </c>
      <c r="BF23" s="13">
        <f t="shared" si="37"/>
        <v>10.480008641404153</v>
      </c>
      <c r="BG23" s="20">
        <f t="shared" si="7"/>
        <v>78.026681717112226</v>
      </c>
      <c r="BH23" s="59">
        <f t="shared" si="8"/>
        <v>371.36001505044555</v>
      </c>
      <c r="BI23" s="59">
        <f ca="1">AVERAGE(OFFSET($BH$3,0,0,'Données projet'!$E$11+1,1))-AVERAGE(OFFSET($H$3,0,0,'Données projet'!$E$11+1,1))</f>
        <v>310.4018929413723</v>
      </c>
      <c r="BJ23" s="59">
        <f t="shared" si="38"/>
        <v>127.5231137583819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0.50072227264375646</v>
      </c>
      <c r="BR23" s="21">
        <f>EXP(-LN(2)/2)*BR22+(1-EXP(-LN(2)/2))/(LN(2)/2)*BL23*BO23*VLOOKUP('Données projet'!$B$11,Paramètres!$A$1:$I$89,3,0)*0.475*44/12</f>
        <v>0.80954609273142319</v>
      </c>
      <c r="BS23" s="22">
        <f t="shared" si="9"/>
        <v>1.3102683653751797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339.9548789334429</v>
      </c>
      <c r="AN24" s="59">
        <f ca="1">AVERAGE(OFFSET($AM$3,0,0,'Données projet'!$E$10+1,1))-AVERAGE(OFFSET($H$3,0,0,'Données projet'!$E$10+1,1))</f>
        <v>158.58786357608489</v>
      </c>
      <c r="AO24" s="59">
        <f t="shared" si="36"/>
        <v>163.20074068819849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42.3</v>
      </c>
      <c r="BE24" s="13">
        <f>BD24*VLOOKUP('Données projet'!$B$11,Paramètres!$A$1:$I$89,3,0)*VLOOKUP('Données projet'!$B$11,Paramètres!$A$1:$I$89,5,0)</f>
        <v>36.293400000000005</v>
      </c>
      <c r="BF24" s="13">
        <f t="shared" si="37"/>
        <v>11.01072157830875</v>
      </c>
      <c r="BG24" s="20">
        <f t="shared" si="7"/>
        <v>82.388011748887735</v>
      </c>
      <c r="BH24" s="59">
        <f t="shared" si="8"/>
        <v>375.72134508222103</v>
      </c>
      <c r="BI24" s="59">
        <f ca="1">AVERAGE(OFFSET($BH$3,0,0,'Données projet'!$E$11+1,1))-AVERAGE(OFFSET($H$3,0,0,'Données projet'!$E$11+1,1))</f>
        <v>310.4018929413723</v>
      </c>
      <c r="BJ24" s="59">
        <f t="shared" si="38"/>
        <v>127.5231137583819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0.48702999576647305</v>
      </c>
      <c r="BR24" s="21">
        <f>EXP(-LN(2)/2)*BR23+(1-EXP(-LN(2)/2))/(LN(2)/2)*BL24*BO24*VLOOKUP('Données projet'!$B$11,Paramètres!$A$1:$I$89,3,0)*0.475*44/12</f>
        <v>0.57243553185346296</v>
      </c>
      <c r="BS24" s="22">
        <f t="shared" si="9"/>
        <v>1.0594655276199361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348.82785904811897</v>
      </c>
      <c r="AN25" s="59">
        <f ca="1">AVERAGE(OFFSET($AM$3,0,0,'Données projet'!$E$10+1,1))-AVERAGE(OFFSET($H$3,0,0,'Données projet'!$E$10+1,1))</f>
        <v>158.58786357608489</v>
      </c>
      <c r="AO25" s="59">
        <f t="shared" si="36"/>
        <v>163.20074068819849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48.599999999999994</v>
      </c>
      <c r="BE25" s="13">
        <f>BD25*VLOOKUP('Données projet'!$B$11,Paramètres!$A$1:$I$89,3,0)*VLOOKUP('Données projet'!$B$11,Paramètres!$A$1:$I$89,5,0)</f>
        <v>41.698800000000006</v>
      </c>
      <c r="BF25" s="13">
        <f t="shared" si="37"/>
        <v>12.447818288806266</v>
      </c>
      <c r="BG25" s="20">
        <f t="shared" si="7"/>
        <v>94.305360186337609</v>
      </c>
      <c r="BH25" s="59">
        <f t="shared" si="8"/>
        <v>387.63869351967094</v>
      </c>
      <c r="BI25" s="59">
        <f ca="1">AVERAGE(OFFSET($BH$3,0,0,'Données projet'!$E$11+1,1))-AVERAGE(OFFSET($H$3,0,0,'Données projet'!$E$11+1,1))</f>
        <v>310.4018929413723</v>
      </c>
      <c r="BJ25" s="59">
        <f t="shared" si="38"/>
        <v>127.5231137583819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0.47371213492044451</v>
      </c>
      <c r="BR25" s="21">
        <f>EXP(-LN(2)/2)*BR24+(1-EXP(-LN(2)/2))/(LN(2)/2)*BL25*BO25*VLOOKUP('Données projet'!$B$11,Paramètres!$A$1:$I$89,3,0)*0.475*44/12</f>
        <v>0.4047730463657116</v>
      </c>
      <c r="BS25" s="22">
        <f t="shared" si="9"/>
        <v>0.87848518128615605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359.3948064464571</v>
      </c>
      <c r="AN26" s="59">
        <f ca="1">AVERAGE(OFFSET($AM$3,0,0,'Données projet'!$E$10+1,1))-AVERAGE(OFFSET($H$3,0,0,'Données projet'!$E$10+1,1))</f>
        <v>158.58786357608489</v>
      </c>
      <c r="AO26" s="59">
        <f t="shared" si="36"/>
        <v>163.20074068819849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54.899999999999991</v>
      </c>
      <c r="BE26" s="13">
        <f>BD26*VLOOKUP('Données projet'!$B$11,Paramètres!$A$1:$I$89,3,0)*VLOOKUP('Données projet'!$B$11,Paramètres!$A$1:$I$89,5,0)</f>
        <v>47.104199999999999</v>
      </c>
      <c r="BF26" s="13">
        <f t="shared" si="37"/>
        <v>13.863329832294768</v>
      </c>
      <c r="BG26" s="20">
        <f t="shared" si="7"/>
        <v>106.18511445791337</v>
      </c>
      <c r="BH26" s="59">
        <f t="shared" si="8"/>
        <v>399.51844779124667</v>
      </c>
      <c r="BI26" s="59">
        <f ca="1">AVERAGE(OFFSET($BH$3,0,0,'Données projet'!$E$11+1,1))-AVERAGE(OFFSET($H$3,0,0,'Données projet'!$E$11+1,1))</f>
        <v>310.4018929413723</v>
      </c>
      <c r="BJ26" s="59">
        <f t="shared" si="38"/>
        <v>127.5231137583819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0.46075845167960644</v>
      </c>
      <c r="BR26" s="21">
        <f>EXP(-LN(2)/2)*BR25+(1-EXP(-LN(2)/2))/(LN(2)/2)*BL26*BO26*VLOOKUP('Données projet'!$B$11,Paramètres!$A$1:$I$89,3,0)*0.475*44/12</f>
        <v>0.28621776592673148</v>
      </c>
      <c r="BS26" s="22">
        <f t="shared" si="9"/>
        <v>0.74697621760633792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371.98005461797629</v>
      </c>
      <c r="AN27" s="59">
        <f ca="1">AVERAGE(OFFSET($AM$3,0,0,'Données projet'!$E$10+1,1))-AVERAGE(OFFSET($H$3,0,0,'Données projet'!$E$10+1,1))</f>
        <v>158.58786357608489</v>
      </c>
      <c r="AO27" s="59">
        <f t="shared" si="36"/>
        <v>163.20074068819849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61.199999999999989</v>
      </c>
      <c r="BE27" s="13">
        <f>BD27*VLOOKUP('Données projet'!$B$11,Paramètres!$A$1:$I$89,3,0)*VLOOKUP('Données projet'!$B$11,Paramètres!$A$1:$I$89,5,0)</f>
        <v>52.509599999999999</v>
      </c>
      <c r="BF27" s="13">
        <f t="shared" si="37"/>
        <v>15.260016001659478</v>
      </c>
      <c r="BG27" s="20">
        <f t="shared" si="7"/>
        <v>118.03208120289025</v>
      </c>
      <c r="BH27" s="59">
        <f t="shared" si="8"/>
        <v>411.36541453622357</v>
      </c>
      <c r="BI27" s="59">
        <f ca="1">AVERAGE(OFFSET($BH$3,0,0,'Données projet'!$E$11+1,1))-AVERAGE(OFFSET($H$3,0,0,'Données projet'!$E$11+1,1))</f>
        <v>310.4018929413723</v>
      </c>
      <c r="BJ27" s="59">
        <f t="shared" si="38"/>
        <v>127.5231137583819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0.44815898758819372</v>
      </c>
      <c r="BR27" s="21">
        <f>EXP(-LN(2)/2)*BR26+(1-EXP(-LN(2)/2))/(LN(2)/2)*BL27*BO27*VLOOKUP('Données projet'!$B$11,Paramètres!$A$1:$I$89,3,0)*0.475*44/12</f>
        <v>0.2023865231828558</v>
      </c>
      <c r="BS27" s="22">
        <f t="shared" si="9"/>
        <v>0.6505455107710495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386.97019995784876</v>
      </c>
      <c r="AN28" s="59">
        <f ca="1">AVERAGE(OFFSET($AM$3,0,0,'Données projet'!$E$10+1,1))-AVERAGE(OFFSET($H$3,0,0,'Données projet'!$E$10+1,1))</f>
        <v>158.58786357608489</v>
      </c>
      <c r="AO28" s="59">
        <f t="shared" si="36"/>
        <v>163.20074068819849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67.499999999999986</v>
      </c>
      <c r="BE28" s="13">
        <f>BD28*VLOOKUP('Données projet'!$B$11,Paramètres!$A$1:$I$89,3,0)*VLOOKUP('Données projet'!$B$11,Paramètres!$A$1:$I$89,5,0)</f>
        <v>57.914999999999992</v>
      </c>
      <c r="BF28" s="13">
        <f t="shared" si="37"/>
        <v>16.640035408149114</v>
      </c>
      <c r="BG28" s="20">
        <f t="shared" si="7"/>
        <v>129.85002000252635</v>
      </c>
      <c r="BH28" s="59">
        <f t="shared" si="8"/>
        <v>423.18335333585969</v>
      </c>
      <c r="BI28" s="59">
        <f ca="1">AVERAGE(OFFSET($BH$3,0,0,'Données projet'!$E$11+1,1))-AVERAGE(OFFSET($H$3,0,0,'Données projet'!$E$11+1,1))</f>
        <v>310.4018929413723</v>
      </c>
      <c r="BJ28" s="59">
        <f t="shared" si="38"/>
        <v>127.5231137583819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0.43590405650493769</v>
      </c>
      <c r="BR28" s="21">
        <f>EXP(-LN(2)/2)*BR27+(1-EXP(-LN(2)/2))/(LN(2)/2)*BL28*BO28*VLOOKUP('Données projet'!$B$11,Paramètres!$A$1:$I$89,3,0)*0.475*44/12</f>
        <v>0.14310888296336574</v>
      </c>
      <c r="BS28" s="22">
        <f t="shared" si="9"/>
        <v>0.57901293946830346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404.82608350441063</v>
      </c>
      <c r="AN29" s="59">
        <f ca="1">AVERAGE(OFFSET($AM$3,0,0,'Données projet'!$E$10+1,1))-AVERAGE(OFFSET($H$3,0,0,'Données projet'!$E$10+1,1))</f>
        <v>158.58786357608489</v>
      </c>
      <c r="AO29" s="59">
        <f t="shared" si="36"/>
        <v>163.20074068819849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73.799999999999983</v>
      </c>
      <c r="BE29" s="13">
        <f>BD29*VLOOKUP('Données projet'!$B$11,Paramètres!$A$1:$I$89,3,0)*VLOOKUP('Données projet'!$B$11,Paramètres!$A$1:$I$89,5,0)</f>
        <v>63.320399999999999</v>
      </c>
      <c r="BF29" s="13">
        <f t="shared" si="37"/>
        <v>18.005120560903215</v>
      </c>
      <c r="BG29" s="20">
        <f t="shared" si="7"/>
        <v>141.64194831023977</v>
      </c>
      <c r="BH29" s="59">
        <f t="shared" si="8"/>
        <v>434.97528164357311</v>
      </c>
      <c r="BI29" s="59">
        <f ca="1">AVERAGE(OFFSET($BH$3,0,0,'Données projet'!$E$11+1,1))-AVERAGE(OFFSET($H$3,0,0,'Données projet'!$E$11+1,1))</f>
        <v>310.4018929413723</v>
      </c>
      <c r="BJ29" s="59">
        <f t="shared" si="38"/>
        <v>127.5231137583819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0.4239842371566121</v>
      </c>
      <c r="BR29" s="21">
        <f>EXP(-LN(2)/2)*BR28+(1-EXP(-LN(2)/2))/(LN(2)/2)*BL29*BO29*VLOOKUP('Données projet'!$B$11,Paramètres!$A$1:$I$89,3,0)*0.475*44/12</f>
        <v>0.1011932615914279</v>
      </c>
      <c r="BS29" s="22">
        <f t="shared" si="9"/>
        <v>0.52517749874803998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426.09708351062216</v>
      </c>
      <c r="AN30" s="59">
        <f ca="1">AVERAGE(OFFSET($AM$3,0,0,'Données projet'!$E$10+1,1))-AVERAGE(OFFSET($H$3,0,0,'Données projet'!$E$10+1,1))</f>
        <v>158.58786357608489</v>
      </c>
      <c r="AO30" s="59">
        <f t="shared" si="36"/>
        <v>163.20074068819849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80.09999999999998</v>
      </c>
      <c r="BE30" s="13">
        <f>BD30*VLOOKUP('Données projet'!$B$11,Paramètres!$A$1:$I$89,3,0)*VLOOKUP('Données projet'!$B$11,Paramètres!$A$1:$I$89,5,0)</f>
        <v>68.725799999999992</v>
      </c>
      <c r="BF30" s="13">
        <f t="shared" si="37"/>
        <v>19.356691283390781</v>
      </c>
      <c r="BG30" s="20">
        <f t="shared" si="7"/>
        <v>153.41033898523892</v>
      </c>
      <c r="BH30" s="59">
        <f t="shared" si="8"/>
        <v>446.74367231857224</v>
      </c>
      <c r="BI30" s="59">
        <f ca="1">AVERAGE(OFFSET($BH$3,0,0,'Données projet'!$E$11+1,1))-AVERAGE(OFFSET($H$3,0,0,'Données projet'!$E$11+1,1))</f>
        <v>310.4018929413723</v>
      </c>
      <c r="BJ30" s="59">
        <f t="shared" si="38"/>
        <v>127.5231137583819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0.41239036589520256</v>
      </c>
      <c r="BR30" s="21">
        <f>EXP(-LN(2)/2)*BR29+(1-EXP(-LN(2)/2))/(LN(2)/2)*BL30*BO30*VLOOKUP('Données projet'!$B$11,Paramètres!$A$1:$I$89,3,0)*0.475*44/12</f>
        <v>7.1554441481682871E-2</v>
      </c>
      <c r="BS30" s="22">
        <f t="shared" si="9"/>
        <v>0.48394480737688544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451.43816541634141</v>
      </c>
      <c r="AN31" s="59">
        <f ca="1">AVERAGE(OFFSET($AM$3,0,0,'Données projet'!$E$10+1,1))-AVERAGE(OFFSET($H$3,0,0,'Données projet'!$E$10+1,1))</f>
        <v>158.58786357608489</v>
      </c>
      <c r="AO31" s="59">
        <f t="shared" si="36"/>
        <v>163.20074068819849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86.399999999999977</v>
      </c>
      <c r="BE31" s="13">
        <f>BD31*VLOOKUP('Données projet'!$B$11,Paramètres!$A$1:$I$89,3,0)*VLOOKUP('Données projet'!$B$11,Paramètres!$A$1:$I$89,5,0)</f>
        <v>74.131199999999978</v>
      </c>
      <c r="BF31" s="13">
        <f t="shared" si="37"/>
        <v>20.695931356882326</v>
      </c>
      <c r="BG31" s="20">
        <f t="shared" si="7"/>
        <v>165.15725377990333</v>
      </c>
      <c r="BH31" s="59">
        <f t="shared" si="8"/>
        <v>458.49058711323664</v>
      </c>
      <c r="BI31" s="59">
        <f ca="1">AVERAGE(OFFSET($BH$3,0,0,'Données projet'!$E$11+1,1))-AVERAGE(OFFSET($H$3,0,0,'Données projet'!$E$11+1,1))</f>
        <v>310.4018929413723</v>
      </c>
      <c r="BJ31" s="59">
        <f t="shared" si="38"/>
        <v>127.5231137583819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0.40111352965313141</v>
      </c>
      <c r="BR31" s="21">
        <f>EXP(-LN(2)/2)*BR30+(1-EXP(-LN(2)/2))/(LN(2)/2)*BL31*BO31*VLOOKUP('Données projet'!$B$11,Paramètres!$A$1:$I$89,3,0)*0.475*44/12</f>
        <v>5.059663079571395E-2</v>
      </c>
      <c r="BS31" s="22">
        <f t="shared" si="9"/>
        <v>0.45171016044884538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481.63022224297026</v>
      </c>
      <c r="AN32" s="59">
        <f ca="1">AVERAGE(OFFSET($AM$3,0,0,'Données projet'!$E$10+1,1))-AVERAGE(OFFSET($H$3,0,0,'Données projet'!$E$10+1,1))</f>
        <v>158.58786357608489</v>
      </c>
      <c r="AO32" s="59">
        <f t="shared" si="36"/>
        <v>163.20074068819849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92.699999999999974</v>
      </c>
      <c r="BE32" s="13">
        <f>BD32*VLOOKUP('Données projet'!$B$11,Paramètres!$A$1:$I$89,3,0)*VLOOKUP('Données projet'!$B$11,Paramètres!$A$1:$I$89,5,0)</f>
        <v>79.536599999999993</v>
      </c>
      <c r="BF32" s="13">
        <f t="shared" si="37"/>
        <v>22.023842139649517</v>
      </c>
      <c r="BG32" s="20">
        <f t="shared" si="7"/>
        <v>176.88443672655623</v>
      </c>
      <c r="BH32" s="59">
        <f t="shared" si="8"/>
        <v>470.21777005988952</v>
      </c>
      <c r="BI32" s="59">
        <f ca="1">AVERAGE(OFFSET($BH$3,0,0,'Données projet'!$E$11+1,1))-AVERAGE(OFFSET($H$3,0,0,'Données projet'!$E$11+1,1))</f>
        <v>310.4018929413723</v>
      </c>
      <c r="BJ32" s="59">
        <f t="shared" si="38"/>
        <v>127.5231137583819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0.39014505909112274</v>
      </c>
      <c r="BR32" s="21">
        <f>EXP(-LN(2)/2)*BR31+(1-EXP(-LN(2)/2))/(LN(2)/2)*BL32*BO32*VLOOKUP('Données projet'!$B$11,Paramètres!$A$1:$I$89,3,0)*0.475*44/12</f>
        <v>3.5777220740841435E-2</v>
      </c>
      <c r="BS32" s="22">
        <f t="shared" si="9"/>
        <v>0.42592227983196418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517.6043416514517</v>
      </c>
      <c r="AN33" s="59">
        <f ca="1">AVERAGE(OFFSET($AM$3,0,0,'Données projet'!$E$10+1,1))-AVERAGE(OFFSET($H$3,0,0,'Données projet'!$E$10+1,1))</f>
        <v>158.58786357608489</v>
      </c>
      <c r="AO33" s="59">
        <f t="shared" si="36"/>
        <v>163.20074068819849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99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98.999999999999972</v>
      </c>
      <c r="BE33" s="13">
        <f>BD33*VLOOKUP('Données projet'!$B$11,Paramètres!$A$1:$I$89,3,0)*VLOOKUP('Données projet'!$B$11,Paramètres!$A$1:$I$89,5,0)</f>
        <v>84.941999999999979</v>
      </c>
      <c r="BF33" s="13">
        <f t="shared" si="37"/>
        <v>23.34128117988622</v>
      </c>
      <c r="BG33" s="20">
        <f t="shared" si="7"/>
        <v>188.59338138830176</v>
      </c>
      <c r="BH33" s="59">
        <f t="shared" si="8"/>
        <v>481.92671472163511</v>
      </c>
      <c r="BI33" s="59">
        <f ca="1">AVERAGE(OFFSET($BH$3,0,0,'Données projet'!$E$11+1,1))-AVERAGE(OFFSET($H$3,0,0,'Données projet'!$E$11+1,1))</f>
        <v>310.4018929413723</v>
      </c>
      <c r="BJ33" s="59">
        <f t="shared" si="38"/>
        <v>127.5231137583819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0.26500000000000001</v>
      </c>
      <c r="BO33" s="16">
        <f>IF(ISNA(VLOOKUP(A33,'Données projet'!$A$87:$I$107,7,0)),0%,VLOOKUP(A33,'Données projet'!$A$87:$I$107,7,0))</f>
        <v>0.5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5.88742152101476</v>
      </c>
      <c r="BR33" s="21">
        <f>EXP(-LN(2)/2)*BR32+(1-EXP(-LN(2)/2))/(LN(2)/2)*BL33*BO33*VLOOKUP('Données projet'!$B$11,Paramètres!$A$1:$I$89,3,0)*0.475*44/12</f>
        <v>8.93030533544351</v>
      </c>
      <c r="BS33" s="22">
        <f t="shared" si="9"/>
        <v>14.81772685645827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16.131410256410259</v>
      </c>
      <c r="AI34" s="13">
        <f>IF('Données projet'!$A$62&gt;35,AI33+AH34-AQ33,IF(A34&lt;'Données projet'!$A$62,$AF$205^A34,IF(A34='Données projet'!$A$62,'Données projet'!$B$62,AI33+AH34-AQ33)))</f>
        <v>232.92371794871792</v>
      </c>
      <c r="AJ34" s="13">
        <f>AI34*VLOOKUP('Données projet'!$B$10,Paramètres!$A$1:$I$89,3,0)*VLOOKUP('Données projet'!$B$10,Paramètres!$A$1:$I$89,5,0)</f>
        <v>109.00829999999998</v>
      </c>
      <c r="AK34" s="13">
        <f t="shared" si="35"/>
        <v>29.097209307093255</v>
      </c>
      <c r="AL34" s="20">
        <f t="shared" si="4"/>
        <v>240.53376204318738</v>
      </c>
      <c r="AM34" s="59">
        <f t="shared" si="5"/>
        <v>533.86709537652064</v>
      </c>
      <c r="AN34" s="59">
        <f ca="1">AVERAGE(OFFSET($AM$3,0,0,'Données projet'!$E$10+1,1))-AVERAGE(OFFSET($H$3,0,0,'Données projet'!$E$10+1,1))</f>
        <v>158.58786357608489</v>
      </c>
      <c r="AO34" s="59">
        <f t="shared" si="36"/>
        <v>163.20074068819849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9.6</v>
      </c>
      <c r="BD34" s="12">
        <f>IF('Données projet'!$A$88&gt;35,BD33+BC34-BL33,IF(A34&lt;'Données projet'!$A$88,$BA$205^A34,IF(A34='Données projet'!$A$88,'Données projet'!$B$88,BD33+BC34-BL33)))</f>
        <v>86.599999999999966</v>
      </c>
      <c r="BE34" s="13">
        <f>BD34*VLOOKUP('Données projet'!$B$11,Paramètres!$A$1:$I$89,3,0)*VLOOKUP('Données projet'!$B$11,Paramètres!$A$1:$I$89,5,0)</f>
        <v>74.302799999999991</v>
      </c>
      <c r="BF34" s="13">
        <f t="shared" si="37"/>
        <v>20.73825650366803</v>
      </c>
      <c r="BG34" s="20">
        <f t="shared" si="7"/>
        <v>165.52984007722179</v>
      </c>
      <c r="BH34" s="59">
        <f t="shared" si="8"/>
        <v>458.86317341055508</v>
      </c>
      <c r="BI34" s="59">
        <f ca="1">AVERAGE(OFFSET($BH$3,0,0,'Données projet'!$E$11+1,1))-AVERAGE(OFFSET($H$3,0,0,'Données projet'!$E$11+1,1))</f>
        <v>310.4018929413723</v>
      </c>
      <c r="BJ34" s="59">
        <f t="shared" si="38"/>
        <v>127.5231137583819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5.7264296699165698</v>
      </c>
      <c r="BR34" s="21">
        <f>EXP(-LN(2)/2)*BR33+(1-EXP(-LN(2)/2))/(LN(2)/2)*BL34*BO34*VLOOKUP('Données projet'!$B$11,Paramètres!$A$1:$I$89,3,0)*0.475*44/12</f>
        <v>6.3146794607585122</v>
      </c>
      <c r="BS34" s="22">
        <f t="shared" si="9"/>
        <v>12.041109130675082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16.131410256410259</v>
      </c>
      <c r="AI35" s="13">
        <f>IF('Données projet'!$A$62&gt;35,AI34+AH35-AQ34,IF(A35&lt;'Données projet'!$A$62,$AF$205^A35,IF(A35='Données projet'!$A$62,'Données projet'!$B$62,AI34+AH35-AQ34)))</f>
        <v>249.05512820512817</v>
      </c>
      <c r="AJ35" s="13">
        <f>AI35*VLOOKUP('Données projet'!$B$10,Paramètres!$A$1:$I$89,3,0)*VLOOKUP('Données projet'!$B$10,Paramètres!$A$1:$I$89,5,0)</f>
        <v>116.55779999999997</v>
      </c>
      <c r="AK35" s="13">
        <f t="shared" si="35"/>
        <v>30.870807833785406</v>
      </c>
      <c r="AL35" s="20">
        <f t="shared" si="4"/>
        <v>256.7714919771762</v>
      </c>
      <c r="AM35" s="59">
        <f t="shared" si="5"/>
        <v>550.10482531050957</v>
      </c>
      <c r="AN35" s="59">
        <f ca="1">AVERAGE(OFFSET($AM$3,0,0,'Données projet'!$E$10+1,1))-AVERAGE(OFFSET($H$3,0,0,'Données projet'!$E$10+1,1))</f>
        <v>158.58786357608489</v>
      </c>
      <c r="AO35" s="59">
        <f t="shared" si="36"/>
        <v>163.20074068819849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9.6</v>
      </c>
      <c r="BD35" s="12">
        <f>IF('Données projet'!$A$88&gt;35,BD34+BC35-BL34,IF(A35&lt;'Données projet'!$A$88,$BA$205^A35,IF(A35='Données projet'!$A$88,'Données projet'!$B$88,BD34+BC35-BL34)))</f>
        <v>96.19999999999996</v>
      </c>
      <c r="BE35" s="13">
        <f>BD35*VLOOKUP('Données projet'!$B$11,Paramètres!$A$1:$I$89,3,0)*VLOOKUP('Données projet'!$B$11,Paramètres!$A$1:$I$89,5,0)</f>
        <v>82.539599999999979</v>
      </c>
      <c r="BF35" s="13">
        <f t="shared" si="37"/>
        <v>22.756995627482848</v>
      </c>
      <c r="BG35" s="20">
        <f t="shared" si="7"/>
        <v>183.3915707178659</v>
      </c>
      <c r="BH35" s="59">
        <f t="shared" si="8"/>
        <v>476.72490405119925</v>
      </c>
      <c r="BI35" s="59">
        <f ca="1">AVERAGE(OFFSET($BH$3,0,0,'Données projet'!$E$11+1,1))-AVERAGE(OFFSET($H$3,0,0,'Données projet'!$E$11+1,1))</f>
        <v>310.4018929413723</v>
      </c>
      <c r="BJ35" s="59">
        <f t="shared" si="38"/>
        <v>127.5231137583819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5.5698401494528529</v>
      </c>
      <c r="BR35" s="21">
        <f>EXP(-LN(2)/2)*BR34+(1-EXP(-LN(2)/2))/(LN(2)/2)*BL35*BO35*VLOOKUP('Données projet'!$B$11,Paramètres!$A$1:$I$89,3,0)*0.475*44/12</f>
        <v>4.4651526677217559</v>
      </c>
      <c r="BS35" s="22">
        <f t="shared" si="9"/>
        <v>10.034992817174608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16.131410256410259</v>
      </c>
      <c r="AI36" s="13">
        <f>IF('Données projet'!$A$62&gt;35,AI35+AH36-AQ35,IF(A36&lt;'Données projet'!$A$62,$AF$205^A36,IF(A36='Données projet'!$A$62,'Données projet'!$B$62,AI35+AH36-AQ35)))</f>
        <v>265.18653846153842</v>
      </c>
      <c r="AJ36" s="13">
        <f>AI36*VLOOKUP('Données projet'!$B$10,Paramètres!$A$1:$I$89,3,0)*VLOOKUP('Données projet'!$B$10,Paramètres!$A$1:$I$89,5,0)</f>
        <v>124.10729999999997</v>
      </c>
      <c r="AK36" s="13">
        <f t="shared" si="35"/>
        <v>32.631075149258578</v>
      </c>
      <c r="AL36" s="20">
        <f t="shared" si="4"/>
        <v>272.98600338495862</v>
      </c>
      <c r="AM36" s="59">
        <f t="shared" si="5"/>
        <v>566.31933671829188</v>
      </c>
      <c r="AN36" s="59">
        <f ca="1">AVERAGE(OFFSET($AM$3,0,0,'Données projet'!$E$10+1,1))-AVERAGE(OFFSET($H$3,0,0,'Données projet'!$E$10+1,1))</f>
        <v>158.58786357608489</v>
      </c>
      <c r="AO36" s="59">
        <f t="shared" si="36"/>
        <v>163.20074068819849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9.6</v>
      </c>
      <c r="BD36" s="12">
        <f>IF('Données projet'!$A$88&gt;35,BD35+BC36-BL35,IF(A36&lt;'Données projet'!$A$88,$BA$205^A36,IF(A36='Données projet'!$A$88,'Données projet'!$B$88,BD35+BC36-BL35)))</f>
        <v>105.79999999999995</v>
      </c>
      <c r="BE36" s="13">
        <f>BD36*VLOOKUP('Données projet'!$B$11,Paramètres!$A$1:$I$89,3,0)*VLOOKUP('Données projet'!$B$11,Paramètres!$A$1:$I$89,5,0)</f>
        <v>90.776399999999967</v>
      </c>
      <c r="BF36" s="13">
        <f t="shared" si="37"/>
        <v>24.752380266200454</v>
      </c>
      <c r="BG36" s="20">
        <f t="shared" si="7"/>
        <v>201.21262563029904</v>
      </c>
      <c r="BH36" s="59">
        <f t="shared" si="8"/>
        <v>494.54595896363236</v>
      </c>
      <c r="BI36" s="59">
        <f ca="1">AVERAGE(OFFSET($BH$3,0,0,'Données projet'!$E$11+1,1))-AVERAGE(OFFSET($H$3,0,0,'Données projet'!$E$11+1,1))</f>
        <v>310.4018929413723</v>
      </c>
      <c r="BJ36" s="59">
        <f t="shared" si="38"/>
        <v>127.5231137583819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5.4175325776609009</v>
      </c>
      <c r="BR36" s="21">
        <f>EXP(-LN(2)/2)*BR35+(1-EXP(-LN(2)/2))/(LN(2)/2)*BL36*BO36*VLOOKUP('Données projet'!$B$11,Paramètres!$A$1:$I$89,3,0)*0.475*44/12</f>
        <v>3.157339730379257</v>
      </c>
      <c r="BS36" s="22">
        <f t="shared" si="9"/>
        <v>8.5748723080401579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16.131410256410259</v>
      </c>
      <c r="AI37" s="13">
        <f>IF('Données projet'!$A$62&gt;35,AI36+AH37-AQ36,IF(A37&lt;'Données projet'!$A$62,$AF$205^A37,IF(A37='Données projet'!$A$62,'Données projet'!$B$62,AI36+AH37-AQ36)))</f>
        <v>281.3179487179487</v>
      </c>
      <c r="AJ37" s="13">
        <f>AI37*VLOOKUP('Données projet'!$B$10,Paramètres!$A$1:$I$89,3,0)*VLOOKUP('Données projet'!$B$10,Paramètres!$A$1:$I$89,5,0)</f>
        <v>131.65679999999998</v>
      </c>
      <c r="AK37" s="13">
        <f t="shared" si="35"/>
        <v>34.378914540413547</v>
      </c>
      <c r="AL37" s="20">
        <f t="shared" si="4"/>
        <v>289.17886949122021</v>
      </c>
      <c r="AM37" s="59">
        <f t="shared" si="5"/>
        <v>582.51220282455347</v>
      </c>
      <c r="AN37" s="59">
        <f ca="1">AVERAGE(OFFSET($AM$3,0,0,'Données projet'!$E$10+1,1))-AVERAGE(OFFSET($H$3,0,0,'Données projet'!$E$10+1,1))</f>
        <v>158.58786357608489</v>
      </c>
      <c r="AO37" s="59">
        <f t="shared" si="36"/>
        <v>163.20074068819849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9.6</v>
      </c>
      <c r="BD37" s="12">
        <f>IF('Données projet'!$A$88&gt;35,BD36+BC37-BL36,IF(A37&lt;'Données projet'!$A$88,$BA$205^A37,IF(A37='Données projet'!$A$88,'Données projet'!$B$88,BD36+BC37-BL36)))</f>
        <v>115.39999999999995</v>
      </c>
      <c r="BE37" s="13">
        <f>BD37*VLOOKUP('Données projet'!$B$11,Paramètres!$A$1:$I$89,3,0)*VLOOKUP('Données projet'!$B$11,Paramètres!$A$1:$I$89,5,0)</f>
        <v>99.013199999999969</v>
      </c>
      <c r="BF37" s="13">
        <f t="shared" si="37"/>
        <v>26.726770540392092</v>
      </c>
      <c r="BG37" s="20">
        <f t="shared" si="7"/>
        <v>218.99711535784954</v>
      </c>
      <c r="BH37" s="59">
        <f t="shared" si="8"/>
        <v>512.33044869118282</v>
      </c>
      <c r="BI37" s="59">
        <f ca="1">AVERAGE(OFFSET($BH$3,0,0,'Données projet'!$E$11+1,1))-AVERAGE(OFFSET($H$3,0,0,'Données projet'!$E$11+1,1))</f>
        <v>310.4018929413723</v>
      </c>
      <c r="BJ37" s="59">
        <f t="shared" si="38"/>
        <v>127.5231137583819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5.2693898644291073</v>
      </c>
      <c r="BR37" s="21">
        <f>EXP(-LN(2)/2)*BR36+(1-EXP(-LN(2)/2))/(LN(2)/2)*BL37*BO37*VLOOKUP('Données projet'!$B$11,Paramètres!$A$1:$I$89,3,0)*0.475*44/12</f>
        <v>2.2325763338608784</v>
      </c>
      <c r="BS37" s="22">
        <f t="shared" si="9"/>
        <v>7.5019661982899857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16.131410256410259</v>
      </c>
      <c r="AI38" s="13">
        <f>IF('Données projet'!$A$62&gt;35,AI37+AH38-AQ37,IF(A38&lt;'Données projet'!$A$62,$AF$205^A38,IF(A38='Données projet'!$A$62,'Données projet'!$B$62,AI37+AH38-AQ37)))</f>
        <v>297.44935897435897</v>
      </c>
      <c r="AJ38" s="13">
        <f>AI38*VLOOKUP('Données projet'!$B$10,Paramètres!$A$1:$I$89,3,0)*VLOOKUP('Données projet'!$B$10,Paramètres!$A$1:$I$89,5,0)</f>
        <v>139.2063</v>
      </c>
      <c r="AK38" s="13">
        <f t="shared" si="35"/>
        <v>36.115119849784641</v>
      </c>
      <c r="AL38" s="20">
        <f t="shared" si="4"/>
        <v>305.35147290504159</v>
      </c>
      <c r="AM38" s="59">
        <f t="shared" si="5"/>
        <v>598.6848062383749</v>
      </c>
      <c r="AN38" s="59">
        <f ca="1">AVERAGE(OFFSET($AM$3,0,0,'Données projet'!$E$10+1,1))-AVERAGE(OFFSET($H$3,0,0,'Données projet'!$E$10+1,1))</f>
        <v>158.58786357608489</v>
      </c>
      <c r="AO38" s="59">
        <f t="shared" si="36"/>
        <v>163.20074068819849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9.6</v>
      </c>
      <c r="BD38" s="12">
        <f>IF('Données projet'!$A$88&gt;35,BD37+BC38-BL37,IF(A38&lt;'Données projet'!$A$88,$BA$205^A38,IF(A38='Données projet'!$A$88,'Données projet'!$B$88,BD37+BC38-BL37)))</f>
        <v>124.99999999999994</v>
      </c>
      <c r="BE38" s="13">
        <f>BD38*VLOOKUP('Données projet'!$B$11,Paramètres!$A$1:$I$89,3,0)*VLOOKUP('Données projet'!$B$11,Paramètres!$A$1:$I$89,5,0)</f>
        <v>107.24999999999996</v>
      </c>
      <c r="BF38" s="13">
        <f t="shared" si="37"/>
        <v>28.682111509300139</v>
      </c>
      <c r="BG38" s="20">
        <f t="shared" si="7"/>
        <v>236.74842754536431</v>
      </c>
      <c r="BH38" s="59">
        <f t="shared" si="8"/>
        <v>530.08176087869765</v>
      </c>
      <c r="BI38" s="59">
        <f ca="1">AVERAGE(OFFSET($BH$3,0,0,'Données projet'!$E$11+1,1))-AVERAGE(OFFSET($H$3,0,0,'Données projet'!$E$11+1,1))</f>
        <v>310.4018929413723</v>
      </c>
      <c r="BJ38" s="59">
        <f t="shared" si="38"/>
        <v>127.5231137583819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5.1252981214811237</v>
      </c>
      <c r="BR38" s="21">
        <f>EXP(-LN(2)/2)*BR37+(1-EXP(-LN(2)/2))/(LN(2)/2)*BL38*BO38*VLOOKUP('Données projet'!$B$11,Paramètres!$A$1:$I$89,3,0)*0.475*44/12</f>
        <v>1.5786698651896287</v>
      </c>
      <c r="BS38" s="22">
        <f t="shared" si="9"/>
        <v>6.7039679866707527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16.131410256410259</v>
      </c>
      <c r="AI39" s="13">
        <f>IF('Données projet'!$A$62&gt;35,AI38+AH39-AQ38,IF(A39&lt;'Données projet'!$A$62,$AF$205^A39,IF(A39='Données projet'!$A$62,'Données projet'!$B$62,AI38+AH39-AQ38)))</f>
        <v>313.58076923076925</v>
      </c>
      <c r="AJ39" s="13">
        <f>AI39*VLOOKUP('Données projet'!$B$10,Paramètres!$A$1:$I$89,3,0)*VLOOKUP('Données projet'!$B$10,Paramètres!$A$1:$I$89,5,0)</f>
        <v>146.75580000000002</v>
      </c>
      <c r="AK39" s="13">
        <f t="shared" si="35"/>
        <v>37.840393952855997</v>
      </c>
      <c r="AL39" s="20">
        <f t="shared" si="4"/>
        <v>321.5050378012242</v>
      </c>
      <c r="AM39" s="59">
        <f t="shared" si="5"/>
        <v>614.83837113455752</v>
      </c>
      <c r="AN39" s="59">
        <f ca="1">AVERAGE(OFFSET($AM$3,0,0,'Données projet'!$E$10+1,1))-AVERAGE(OFFSET($H$3,0,0,'Données projet'!$E$10+1,1))</f>
        <v>158.58786357608489</v>
      </c>
      <c r="AO39" s="59">
        <f t="shared" si="36"/>
        <v>163.20074068819849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134.59999999999994</v>
      </c>
      <c r="BE39" s="13">
        <f>BD39*VLOOKUP('Données projet'!$B$11,Paramètres!$A$1:$I$89,3,0)*VLOOKUP('Données projet'!$B$11,Paramètres!$A$1:$I$89,5,0)</f>
        <v>115.48679999999996</v>
      </c>
      <c r="BF39" s="13">
        <f t="shared" si="37"/>
        <v>30.620032500597208</v>
      </c>
      <c r="BG39" s="20">
        <f t="shared" si="7"/>
        <v>254.46939993854008</v>
      </c>
      <c r="BH39" s="59">
        <f t="shared" si="8"/>
        <v>547.80273327187342</v>
      </c>
      <c r="BI39" s="59">
        <f ca="1">AVERAGE(OFFSET($BH$3,0,0,'Données projet'!$E$11+1,1))-AVERAGE(OFFSET($H$3,0,0,'Données projet'!$E$11+1,1))</f>
        <v>310.4018929413723</v>
      </c>
      <c r="BJ39" s="59">
        <f t="shared" si="38"/>
        <v>127.5231137583819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4.985146574821508</v>
      </c>
      <c r="BR39" s="21">
        <f>EXP(-LN(2)/2)*BR38+(1-EXP(-LN(2)/2))/(LN(2)/2)*BL39*BO39*VLOOKUP('Données projet'!$B$11,Paramètres!$A$1:$I$89,3,0)*0.475*44/12</f>
        <v>1.1162881669304394</v>
      </c>
      <c r="BS39" s="22">
        <f t="shared" si="9"/>
        <v>6.1014347417519472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16.131410256410259</v>
      </c>
      <c r="AI40" s="13">
        <f>IF('Données projet'!$A$62&gt;35,AI39+AH40-AQ39,IF(A40&lt;'Données projet'!$A$62,$AF$205^A40,IF(A40='Données projet'!$A$62,'Données projet'!$B$62,AI39+AH40-AQ39)))</f>
        <v>329.71217948717953</v>
      </c>
      <c r="AJ40" s="13">
        <f>AI40*VLOOKUP('Données projet'!$B$10,Paramètres!$A$1:$I$89,3,0)*VLOOKUP('Données projet'!$B$10,Paramètres!$A$1:$I$89,5,0)</f>
        <v>154.30530000000002</v>
      </c>
      <c r="AK40" s="13">
        <f t="shared" si="35"/>
        <v>39.555363325024224</v>
      </c>
      <c r="AL40" s="20">
        <f t="shared" si="4"/>
        <v>337.64065529108387</v>
      </c>
      <c r="AM40" s="59">
        <f t="shared" si="5"/>
        <v>630.97398862441719</v>
      </c>
      <c r="AN40" s="59">
        <f ca="1">AVERAGE(OFFSET($AM$3,0,0,'Données projet'!$E$10+1,1))-AVERAGE(OFFSET($H$3,0,0,'Données projet'!$E$10+1,1))</f>
        <v>158.58786357608489</v>
      </c>
      <c r="AO40" s="59">
        <f t="shared" si="36"/>
        <v>163.20074068819849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144.19999999999993</v>
      </c>
      <c r="BE40" s="13">
        <f>BD40*VLOOKUP('Données projet'!$B$11,Paramètres!$A$1:$I$89,3,0)*VLOOKUP('Données projet'!$B$11,Paramètres!$A$1:$I$89,5,0)</f>
        <v>123.72359999999996</v>
      </c>
      <c r="BF40" s="13">
        <f t="shared" si="37"/>
        <v>32.541917257515259</v>
      </c>
      <c r="BG40" s="20">
        <f t="shared" si="7"/>
        <v>272.16244255683904</v>
      </c>
      <c r="BH40" s="59">
        <f t="shared" si="8"/>
        <v>565.49577589017235</v>
      </c>
      <c r="BI40" s="59">
        <f ca="1">AVERAGE(OFFSET($BH$3,0,0,'Données projet'!$E$11+1,1))-AVERAGE(OFFSET($H$3,0,0,'Données projet'!$E$11+1,1))</f>
        <v>310.4018929413723</v>
      </c>
      <c r="BJ40" s="59">
        <f t="shared" si="38"/>
        <v>127.5231137583819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4.848827479575549</v>
      </c>
      <c r="BR40" s="21">
        <f>EXP(-LN(2)/2)*BR39+(1-EXP(-LN(2)/2))/(LN(2)/2)*BL40*BO40*VLOOKUP('Données projet'!$B$11,Paramètres!$A$1:$I$89,3,0)*0.475*44/12</f>
        <v>0.78933493259481446</v>
      </c>
      <c r="BS40" s="22">
        <f t="shared" si="9"/>
        <v>5.6381624121703631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16.131410256410259</v>
      </c>
      <c r="AI41" s="13">
        <f>IF('Données projet'!$A$62&gt;35,AI40+AH41-AQ40,IF(A41&lt;'Données projet'!$A$62,$AF$205^A41,IF(A41='Données projet'!$A$62,'Données projet'!$B$62,AI40+AH41-AQ40)))</f>
        <v>345.8435897435898</v>
      </c>
      <c r="AJ41" s="13">
        <f>AI41*VLOOKUP('Données projet'!$B$10,Paramètres!$A$1:$I$89,3,0)*VLOOKUP('Données projet'!$B$10,Paramètres!$A$1:$I$89,5,0)</f>
        <v>161.85480000000001</v>
      </c>
      <c r="AK41" s="13">
        <f t="shared" si="35"/>
        <v>41.260589676862445</v>
      </c>
      <c r="AL41" s="20">
        <f t="shared" si="4"/>
        <v>353.75930368720213</v>
      </c>
      <c r="AM41" s="59">
        <f t="shared" si="5"/>
        <v>647.09263702053545</v>
      </c>
      <c r="AN41" s="59">
        <f ca="1">AVERAGE(OFFSET($AM$3,0,0,'Données projet'!$E$10+1,1))-AVERAGE(OFFSET($H$3,0,0,'Données projet'!$E$10+1,1))</f>
        <v>158.58786357608489</v>
      </c>
      <c r="AO41" s="59">
        <f t="shared" si="36"/>
        <v>163.20074068819849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153.79999999999993</v>
      </c>
      <c r="BE41" s="13">
        <f>BD41*VLOOKUP('Données projet'!$B$11,Paramètres!$A$1:$I$89,3,0)*VLOOKUP('Données projet'!$B$11,Paramètres!$A$1:$I$89,5,0)</f>
        <v>131.96039999999994</v>
      </c>
      <c r="BF41" s="13">
        <f t="shared" si="37"/>
        <v>34.448954856861199</v>
      </c>
      <c r="BG41" s="20">
        <f t="shared" si="7"/>
        <v>289.82962637569977</v>
      </c>
      <c r="BH41" s="59">
        <f t="shared" si="8"/>
        <v>583.16295970903309</v>
      </c>
      <c r="BI41" s="59">
        <f ca="1">AVERAGE(OFFSET($BH$3,0,0,'Données projet'!$E$11+1,1))-AVERAGE(OFFSET($H$3,0,0,'Données projet'!$E$11+1,1))</f>
        <v>310.4018929413723</v>
      </c>
      <c r="BJ41" s="59">
        <f t="shared" si="38"/>
        <v>127.5231137583819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4.7162360371578007</v>
      </c>
      <c r="BR41" s="21">
        <f>EXP(-LN(2)/2)*BR40+(1-EXP(-LN(2)/2))/(LN(2)/2)*BL41*BO41*VLOOKUP('Données projet'!$B$11,Paramètres!$A$1:$I$89,3,0)*0.475*44/12</f>
        <v>0.55814408346521971</v>
      </c>
      <c r="BS41" s="22">
        <f t="shared" si="9"/>
        <v>5.2743801206230208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16.131410256410259</v>
      </c>
      <c r="AI42" s="13">
        <f>IF('Données projet'!$A$62&gt;35,AI41+AH42-AQ41,IF(A42&lt;'Données projet'!$A$62,$AF$205^A42,IF(A42='Données projet'!$A$62,'Données projet'!$B$62,AI41+AH42-AQ41)))</f>
        <v>361.97500000000008</v>
      </c>
      <c r="AJ42" s="13">
        <f>AI42*VLOOKUP('Données projet'!$B$10,Paramètres!$A$1:$I$89,3,0)*VLOOKUP('Données projet'!$B$10,Paramètres!$A$1:$I$89,5,0)</f>
        <v>169.40430000000006</v>
      </c>
      <c r="AK42" s="13">
        <f t="shared" si="35"/>
        <v>42.956579357099159</v>
      </c>
      <c r="AL42" s="20">
        <f t="shared" si="4"/>
        <v>369.86186488028119</v>
      </c>
      <c r="AM42" s="59">
        <f t="shared" si="5"/>
        <v>663.1951982136145</v>
      </c>
      <c r="AN42" s="59">
        <f ca="1">AVERAGE(OFFSET($AM$3,0,0,'Données projet'!$E$10+1,1))-AVERAGE(OFFSET($H$3,0,0,'Données projet'!$E$10+1,1))</f>
        <v>158.58786357608489</v>
      </c>
      <c r="AO42" s="59">
        <f t="shared" si="36"/>
        <v>163.20074068819849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163.39999999999992</v>
      </c>
      <c r="BE42" s="13">
        <f>BD42*VLOOKUP('Données projet'!$B$11,Paramètres!$A$1:$I$89,3,0)*VLOOKUP('Données projet'!$B$11,Paramètres!$A$1:$I$89,5,0)</f>
        <v>140.19719999999995</v>
      </c>
      <c r="BF42" s="13">
        <f t="shared" si="37"/>
        <v>36.34217754431797</v>
      </c>
      <c r="BG42" s="20">
        <f t="shared" si="7"/>
        <v>307.47274922302034</v>
      </c>
      <c r="BH42" s="59">
        <f t="shared" si="8"/>
        <v>600.80608255635366</v>
      </c>
      <c r="BI42" s="59">
        <f ca="1">AVERAGE(OFFSET($BH$3,0,0,'Données projet'!$E$11+1,1))-AVERAGE(OFFSET($H$3,0,0,'Données projet'!$E$11+1,1))</f>
        <v>310.4018929413723</v>
      </c>
      <c r="BJ42" s="59">
        <f t="shared" si="38"/>
        <v>127.5231137583819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4.5872703147056466</v>
      </c>
      <c r="BR42" s="21">
        <f>EXP(-LN(2)/2)*BR41+(1-EXP(-LN(2)/2))/(LN(2)/2)*BL42*BO42*VLOOKUP('Données projet'!$B$11,Paramètres!$A$1:$I$89,3,0)*0.475*44/12</f>
        <v>0.39466746629740723</v>
      </c>
      <c r="BS42" s="22">
        <f t="shared" si="9"/>
        <v>4.9819377810030536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16.131410256410259</v>
      </c>
      <c r="AI43" s="13">
        <f>IF('Données projet'!$A$62&gt;35,AI42+AH43-AQ42,IF(A43&lt;'Données projet'!$A$62,$AF$205^A43,IF(A43='Données projet'!$A$62,'Données projet'!$B$62,AI42+AH43-AQ42)))</f>
        <v>378.10641025641036</v>
      </c>
      <c r="AJ43" s="13">
        <f>AI43*VLOOKUP('Données projet'!$B$10,Paramètres!$A$1:$I$89,3,0)*VLOOKUP('Données projet'!$B$10,Paramètres!$A$1:$I$89,5,0)</f>
        <v>176.95380000000006</v>
      </c>
      <c r="AK43" s="13">
        <f t="shared" si="35"/>
        <v>44.643791032081154</v>
      </c>
      <c r="AL43" s="20">
        <f t="shared" si="4"/>
        <v>385.94913771420806</v>
      </c>
      <c r="AM43" s="59">
        <f t="shared" si="5"/>
        <v>679.28247104754132</v>
      </c>
      <c r="AN43" s="59">
        <f ca="1">AVERAGE(OFFSET($AM$3,0,0,'Données projet'!$E$10+1,1))-AVERAGE(OFFSET($H$3,0,0,'Données projet'!$E$10+1,1))</f>
        <v>158.58786357608489</v>
      </c>
      <c r="AO43" s="59">
        <f t="shared" si="36"/>
        <v>163.20074068819849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173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172.99999999999991</v>
      </c>
      <c r="BE43" s="13">
        <f>BD43*VLOOKUP('Données projet'!$B$11,Paramètres!$A$1:$I$89,3,0)*VLOOKUP('Données projet'!$B$11,Paramètres!$A$1:$I$89,5,0)</f>
        <v>148.43399999999994</v>
      </c>
      <c r="BF43" s="13">
        <f t="shared" si="37"/>
        <v>38.222489421716382</v>
      </c>
      <c r="BG43" s="20">
        <f t="shared" si="7"/>
        <v>325.09338574282259</v>
      </c>
      <c r="BH43" s="59">
        <f t="shared" si="8"/>
        <v>618.4267190761559</v>
      </c>
      <c r="BI43" s="59">
        <f ca="1">AVERAGE(OFFSET($BH$3,0,0,'Données projet'!$E$11+1,1))-AVERAGE(OFFSET($H$3,0,0,'Données projet'!$E$11+1,1))</f>
        <v>310.4018929413723</v>
      </c>
      <c r="BJ43" s="59">
        <f t="shared" si="38"/>
        <v>127.5231137583819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4.4618311667159594</v>
      </c>
      <c r="BR43" s="21">
        <f>EXP(-LN(2)/2)*BR42+(1-EXP(-LN(2)/2))/(LN(2)/2)*BL43*BO43*VLOOKUP('Données projet'!$B$11,Paramètres!$A$1:$I$89,3,0)*0.475*44/12</f>
        <v>0.27907204173260985</v>
      </c>
      <c r="BS43" s="22">
        <f t="shared" si="9"/>
        <v>4.7409032084485689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16.131410256410259</v>
      </c>
      <c r="AI44" s="13">
        <f>IF('Données projet'!$A$62&gt;35,AI43+AH44-AQ43,IF(A44&lt;'Données projet'!$A$62,$AF$205^A44,IF(A44='Données projet'!$A$62,'Données projet'!$B$62,AI43+AH44-AQ43)))</f>
        <v>394.23782051282063</v>
      </c>
      <c r="AJ44" s="13">
        <f>AI44*VLOOKUP('Données projet'!$B$10,Paramètres!$A$1:$I$89,3,0)*VLOOKUP('Données projet'!$B$10,Paramètres!$A$1:$I$89,5,0)</f>
        <v>184.50330000000005</v>
      </c>
      <c r="AK44" s="13">
        <f t="shared" si="35"/>
        <v>46.32264201774467</v>
      </c>
      <c r="AL44" s="20">
        <f t="shared" si="4"/>
        <v>402.02184901423874</v>
      </c>
      <c r="AM44" s="59">
        <f t="shared" si="5"/>
        <v>695.35518234757205</v>
      </c>
      <c r="AN44" s="59">
        <f ca="1">AVERAGE(OFFSET($AM$3,0,0,'Données projet'!$E$10+1,1))-AVERAGE(OFFSET($H$3,0,0,'Données projet'!$E$10+1,1))</f>
        <v>158.58786357608489</v>
      </c>
      <c r="AO44" s="59">
        <f t="shared" si="36"/>
        <v>163.20074068819849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10.6</v>
      </c>
      <c r="BD44" s="12">
        <f>IF('Données projet'!$A$88&gt;35,BD43+BC44-BL43,IF(A44&lt;'Données projet'!$A$88,$BA$205^A44,IF(A44='Données projet'!$A$88,'Données projet'!$B$88,BD43+BC44-BL43)))</f>
        <v>132.59999999999991</v>
      </c>
      <c r="BE44" s="13">
        <f>BD44*VLOOKUP('Données projet'!$B$11,Paramètres!$A$1:$I$89,3,0)*VLOOKUP('Données projet'!$B$11,Paramètres!$A$1:$I$89,5,0)</f>
        <v>113.77079999999992</v>
      </c>
      <c r="BF44" s="13">
        <f t="shared" si="37"/>
        <v>30.217664170580228</v>
      </c>
      <c r="BG44" s="20">
        <f t="shared" si="7"/>
        <v>250.77990843042707</v>
      </c>
      <c r="BH44" s="59">
        <f t="shared" si="8"/>
        <v>544.11324176376036</v>
      </c>
      <c r="BI44" s="59">
        <f ca="1">AVERAGE(OFFSET($BH$3,0,0,'Données projet'!$E$11+1,1))-AVERAGE(OFFSET($H$3,0,0,'Données projet'!$E$11+1,1))</f>
        <v>310.4018929413723</v>
      </c>
      <c r="BJ44" s="59">
        <f t="shared" si="38"/>
        <v>127.5231137583819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4.3398221588246084</v>
      </c>
      <c r="BR44" s="21">
        <f>EXP(-LN(2)/2)*BR43+(1-EXP(-LN(2)/2))/(LN(2)/2)*BL44*BO44*VLOOKUP('Données projet'!$B$11,Paramètres!$A$1:$I$89,3,0)*0.475*44/12</f>
        <v>0.19733373314870362</v>
      </c>
      <c r="BS44" s="22">
        <f t="shared" si="9"/>
        <v>4.5371558919733124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16.131410256410259</v>
      </c>
      <c r="AH45" s="12">
        <f t="array" ref="AH45">INDEX(AG:AG,MIN(IF(ISNUMBER(AG45:AG241),ROW(AG45:AG241),"")))</f>
        <v>16.131410256410259</v>
      </c>
      <c r="AI45" s="13">
        <f>IF('Données projet'!$A$62&gt;35,AI44+AH45-AQ44,IF(A45&lt;'Données projet'!$A$62,$AF$205^A45,IF(A45='Données projet'!$A$62,'Données projet'!$B$62,AI44+AH45-AQ44)))</f>
        <v>410.36923076923091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711.41399609267307</v>
      </c>
      <c r="AN45" s="59">
        <f ca="1">AVERAGE(OFFSET($AM$3,0,0,'Données projet'!$E$10+1,1))-AVERAGE(OFFSET($H$3,0,0,'Données projet'!$E$10+1,1))</f>
        <v>158.58786357608489</v>
      </c>
      <c r="AO45" s="59">
        <f t="shared" si="36"/>
        <v>163.20074068819849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10.6</v>
      </c>
      <c r="BD45" s="12">
        <f>IF('Données projet'!$A$88&gt;35,BD44+BC45-BL44,IF(A45&lt;'Données projet'!$A$88,$BA$205^A45,IF(A45='Données projet'!$A$88,'Données projet'!$B$88,BD44+BC45-BL44)))</f>
        <v>143.1999999999999</v>
      </c>
      <c r="BE45" s="13">
        <f>BD45*VLOOKUP('Données projet'!$B$11,Paramètres!$A$1:$I$89,3,0)*VLOOKUP('Données projet'!$B$11,Paramètres!$A$1:$I$89,5,0)</f>
        <v>122.86559999999993</v>
      </c>
      <c r="BF45" s="13">
        <f t="shared" si="37"/>
        <v>32.342432698195715</v>
      </c>
      <c r="BG45" s="20">
        <f t="shared" si="7"/>
        <v>270.32065694935739</v>
      </c>
      <c r="BH45" s="59">
        <f t="shared" si="8"/>
        <v>563.65399028269076</v>
      </c>
      <c r="BI45" s="59">
        <f ca="1">AVERAGE(OFFSET($BH$3,0,0,'Données projet'!$E$11+1,1))-AVERAGE(OFFSET($H$3,0,0,'Données projet'!$E$11+1,1))</f>
        <v>310.4018929413723</v>
      </c>
      <c r="BJ45" s="59">
        <f t="shared" si="38"/>
        <v>127.5231137583819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4.2211494936702207</v>
      </c>
      <c r="BR45" s="21">
        <f>EXP(-LN(2)/2)*BR44+(1-EXP(-LN(2)/2))/(LN(2)/2)*BL45*BO45*VLOOKUP('Données projet'!$B$11,Paramètres!$A$1:$I$89,3,0)*0.475*44/12</f>
        <v>0.13953602086630493</v>
      </c>
      <c r="BS45" s="22">
        <f t="shared" si="9"/>
        <v>4.3606855145365255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15.618681318681309</v>
      </c>
      <c r="AI46" s="13">
        <f>IF('Données projet'!$A$62&gt;35,AI45+AH46-AQ45,IF(A46&lt;'Données projet'!$A$62,$AF$205^A46,IF(A46='Données projet'!$A$62,'Données projet'!$B$62,AI45+AH46-AQ45)))</f>
        <v>246.14175824175837</v>
      </c>
      <c r="AJ46" s="13">
        <f>AI46*VLOOKUP('Données projet'!$B$10,Paramètres!$A$1:$I$89,3,0)*VLOOKUP('Données projet'!$B$10,Paramètres!$A$1:$I$89,5,0)</f>
        <v>115.19434285714291</v>
      </c>
      <c r="AK46" s="13">
        <f t="shared" si="35"/>
        <v>30.5515065129288</v>
      </c>
      <c r="AL46" s="20">
        <f t="shared" si="4"/>
        <v>253.84068765287489</v>
      </c>
      <c r="AM46" s="59">
        <f t="shared" si="5"/>
        <v>547.17402098620823</v>
      </c>
      <c r="AN46" s="59">
        <f ca="1">AVERAGE(OFFSET($AM$3,0,0,'Données projet'!$E$10+1,1))-AVERAGE(OFFSET($H$3,0,0,'Données projet'!$E$10+1,1))</f>
        <v>158.58786357608489</v>
      </c>
      <c r="AO46" s="59">
        <f t="shared" si="36"/>
        <v>163.20074068819849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</v>
      </c>
      <c r="BD46" s="12">
        <f>IF('Données projet'!$A$88&gt;35,BD45+BC46-BL45,IF(A46&lt;'Données projet'!$A$88,$BA$205^A46,IF(A46='Données projet'!$A$88,'Données projet'!$B$88,BD45+BC46-BL45)))</f>
        <v>153.7999999999999</v>
      </c>
      <c r="BE46" s="13">
        <f>BD46*VLOOKUP('Données projet'!$B$11,Paramètres!$A$1:$I$89,3,0)*VLOOKUP('Données projet'!$B$11,Paramètres!$A$1:$I$89,5,0)</f>
        <v>131.96039999999991</v>
      </c>
      <c r="BF46" s="13">
        <f t="shared" si="37"/>
        <v>34.448954856861199</v>
      </c>
      <c r="BG46" s="20">
        <f t="shared" si="7"/>
        <v>289.82962637569977</v>
      </c>
      <c r="BH46" s="59">
        <f t="shared" si="8"/>
        <v>583.16295970903309</v>
      </c>
      <c r="BI46" s="59">
        <f ca="1">AVERAGE(OFFSET($BH$3,0,0,'Données projet'!$E$11+1,1))-AVERAGE(OFFSET($H$3,0,0,'Données projet'!$E$11+1,1))</f>
        <v>310.4018929413723</v>
      </c>
      <c r="BJ46" s="59">
        <f t="shared" si="38"/>
        <v>127.5231137583819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4.1057219387852042</v>
      </c>
      <c r="BR46" s="21">
        <f>EXP(-LN(2)/2)*BR45+(1-EXP(-LN(2)/2))/(LN(2)/2)*BL46*BO46*VLOOKUP('Données projet'!$B$11,Paramètres!$A$1:$I$89,3,0)*0.475*44/12</f>
        <v>9.8666866574351808E-2</v>
      </c>
      <c r="BS46" s="22">
        <f t="shared" si="9"/>
        <v>4.2043888053595557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15.618681318681309</v>
      </c>
      <c r="AI47" s="13">
        <f>IF('Données projet'!$A$62&gt;35,AI46+AH47-AQ46,IF(A47&lt;'Données projet'!$A$62,$AF$205^A47,IF(A47='Données projet'!$A$62,'Données projet'!$B$62,AI46+AH47-AQ46)))</f>
        <v>261.76043956043969</v>
      </c>
      <c r="AJ47" s="13">
        <f>AI47*VLOOKUP('Données projet'!$B$10,Paramètres!$A$1:$I$89,3,0)*VLOOKUP('Données projet'!$B$10,Paramètres!$A$1:$I$89,5,0)</f>
        <v>122.50388571428577</v>
      </c>
      <c r="AK47" s="13">
        <f t="shared" si="35"/>
        <v>32.258285776503719</v>
      </c>
      <c r="AL47" s="20">
        <f t="shared" si="4"/>
        <v>269.54411534645834</v>
      </c>
      <c r="AM47" s="59">
        <f t="shared" si="5"/>
        <v>562.87744867979166</v>
      </c>
      <c r="AN47" s="59">
        <f ca="1">AVERAGE(OFFSET($AM$3,0,0,'Données projet'!$E$10+1,1))-AVERAGE(OFFSET($H$3,0,0,'Données projet'!$E$10+1,1))</f>
        <v>158.58786357608489</v>
      </c>
      <c r="AO47" s="59">
        <f t="shared" si="36"/>
        <v>163.20074068819849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</v>
      </c>
      <c r="BD47" s="12">
        <f>IF('Données projet'!$A$88&gt;35,BD46+BC47-BL46,IF(A47&lt;'Données projet'!$A$88,$BA$205^A47,IF(A47='Données projet'!$A$88,'Données projet'!$B$88,BD46+BC47-BL46)))</f>
        <v>164.39999999999989</v>
      </c>
      <c r="BE47" s="13">
        <f>BD47*VLOOKUP('Données projet'!$B$11,Paramètres!$A$1:$I$89,3,0)*VLOOKUP('Données projet'!$B$11,Paramètres!$A$1:$I$89,5,0)</f>
        <v>141.05519999999993</v>
      </c>
      <c r="BF47" s="13">
        <f t="shared" si="37"/>
        <v>36.53863125528558</v>
      </c>
      <c r="BG47" s="20">
        <f t="shared" si="7"/>
        <v>309.3092561029556</v>
      </c>
      <c r="BH47" s="59">
        <f t="shared" si="8"/>
        <v>602.64258943628897</v>
      </c>
      <c r="BI47" s="59">
        <f ca="1">AVERAGE(OFFSET($BH$3,0,0,'Données projet'!$E$11+1,1))-AVERAGE(OFFSET($H$3,0,0,'Données projet'!$E$11+1,1))</f>
        <v>310.4018929413723</v>
      </c>
      <c r="BJ47" s="59">
        <f t="shared" si="38"/>
        <v>127.5231137583819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3.9934507564585897</v>
      </c>
      <c r="BR47" s="21">
        <f>EXP(-LN(2)/2)*BR46+(1-EXP(-LN(2)/2))/(LN(2)/2)*BL47*BO47*VLOOKUP('Données projet'!$B$11,Paramètres!$A$1:$I$89,3,0)*0.475*44/12</f>
        <v>6.9768010433152464E-2</v>
      </c>
      <c r="BS47" s="22">
        <f t="shared" si="9"/>
        <v>4.0632187668917421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15.618681318681309</v>
      </c>
      <c r="AI48" s="13">
        <f>IF('Données projet'!$A$62&gt;35,AI47+AH48-AQ47,IF(A48&lt;'Données projet'!$A$62,$AF$205^A48,IF(A48='Données projet'!$A$62,'Données projet'!$B$62,AI47+AH48-AQ47)))</f>
        <v>277.37912087912099</v>
      </c>
      <c r="AJ48" s="13">
        <f>AI48*VLOOKUP('Données projet'!$B$10,Paramètres!$A$1:$I$89,3,0)*VLOOKUP('Données projet'!$B$10,Paramètres!$A$1:$I$89,5,0)</f>
        <v>129.81342857142863</v>
      </c>
      <c r="AK48" s="13">
        <f t="shared" si="35"/>
        <v>33.953244550224326</v>
      </c>
      <c r="AL48" s="20">
        <f t="shared" si="4"/>
        <v>285.22695568687891</v>
      </c>
      <c r="AM48" s="59">
        <f t="shared" si="5"/>
        <v>578.56028902021217</v>
      </c>
      <c r="AN48" s="59">
        <f ca="1">AVERAGE(OFFSET($AM$3,0,0,'Données projet'!$E$10+1,1))-AVERAGE(OFFSET($H$3,0,0,'Données projet'!$E$10+1,1))</f>
        <v>158.58786357608489</v>
      </c>
      <c r="AO48" s="59">
        <f t="shared" si="36"/>
        <v>163.20074068819849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</v>
      </c>
      <c r="BD48" s="12">
        <f>IF('Données projet'!$A$88&gt;35,BD47+BC48-BL47,IF(A48&lt;'Données projet'!$A$88,$BA$205^A48,IF(A48='Données projet'!$A$88,'Données projet'!$B$88,BD47+BC48-BL47)))</f>
        <v>174.99999999999989</v>
      </c>
      <c r="BE48" s="13">
        <f>BD48*VLOOKUP('Données projet'!$B$11,Paramètres!$A$1:$I$89,3,0)*VLOOKUP('Données projet'!$B$11,Paramètres!$A$1:$I$89,5,0)</f>
        <v>150.14999999999992</v>
      </c>
      <c r="BF48" s="13">
        <f t="shared" si="37"/>
        <v>38.612671675922336</v>
      </c>
      <c r="BG48" s="20">
        <f t="shared" si="7"/>
        <v>328.76165316889791</v>
      </c>
      <c r="BH48" s="59">
        <f t="shared" si="8"/>
        <v>622.09498650223122</v>
      </c>
      <c r="BI48" s="59">
        <f ca="1">AVERAGE(OFFSET($BH$3,0,0,'Données projet'!$E$11+1,1))-AVERAGE(OFFSET($H$3,0,0,'Données projet'!$E$11+1,1))</f>
        <v>310.4018929413723</v>
      </c>
      <c r="BJ48" s="59">
        <f t="shared" si="38"/>
        <v>127.5231137583819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3.8842496355167815</v>
      </c>
      <c r="BR48" s="21">
        <f>EXP(-LN(2)/2)*BR47+(1-EXP(-LN(2)/2))/(LN(2)/2)*BL48*BO48*VLOOKUP('Données projet'!$B$11,Paramètres!$A$1:$I$89,3,0)*0.475*44/12</f>
        <v>4.9333433287175904E-2</v>
      </c>
      <c r="BS48" s="22">
        <f t="shared" si="9"/>
        <v>3.9335830688039573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15.618681318681309</v>
      </c>
      <c r="AI49" s="13">
        <f>IF('Données projet'!$A$62&gt;35,AI48+AH49-AQ48,IF(A49&lt;'Données projet'!$A$62,$AF$205^A49,IF(A49='Données projet'!$A$62,'Données projet'!$B$62,AI48+AH49-AQ48)))</f>
        <v>292.99780219780229</v>
      </c>
      <c r="AJ49" s="13">
        <f>AI49*VLOOKUP('Données projet'!$B$10,Paramètres!$A$1:$I$89,3,0)*VLOOKUP('Données projet'!$B$10,Paramètres!$A$1:$I$89,5,0)</f>
        <v>137.12297142857147</v>
      </c>
      <c r="AK49" s="13">
        <f t="shared" si="35"/>
        <v>35.63712427284996</v>
      </c>
      <c r="AL49" s="20">
        <f t="shared" si="4"/>
        <v>300.89050001330901</v>
      </c>
      <c r="AM49" s="59">
        <f t="shared" si="5"/>
        <v>594.22383334664232</v>
      </c>
      <c r="AN49" s="59">
        <f ca="1">AVERAGE(OFFSET($AM$3,0,0,'Données projet'!$E$10+1,1))-AVERAGE(OFFSET($H$3,0,0,'Données projet'!$E$10+1,1))</f>
        <v>158.58786357608489</v>
      </c>
      <c r="AO49" s="59">
        <f t="shared" si="36"/>
        <v>163.20074068819849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</v>
      </c>
      <c r="BD49" s="12">
        <f>IF('Données projet'!$A$88&gt;35,BD48+BC49-BL48,IF(A49&lt;'Données projet'!$A$88,$BA$205^A49,IF(A49='Données projet'!$A$88,'Données projet'!$B$88,BD48+BC49-BL48)))</f>
        <v>185.59999999999988</v>
      </c>
      <c r="BE49" s="13">
        <f>BD49*VLOOKUP('Données projet'!$B$11,Paramètres!$A$1:$I$89,3,0)*VLOOKUP('Données projet'!$B$11,Paramètres!$A$1:$I$89,5,0)</f>
        <v>159.24479999999991</v>
      </c>
      <c r="BF49" s="13">
        <f t="shared" si="37"/>
        <v>40.672131063901716</v>
      </c>
      <c r="BG49" s="20">
        <f t="shared" si="7"/>
        <v>348.18865493629534</v>
      </c>
      <c r="BH49" s="59">
        <f t="shared" si="8"/>
        <v>641.52198826962865</v>
      </c>
      <c r="BI49" s="59">
        <f ca="1">AVERAGE(OFFSET($BH$3,0,0,'Données projet'!$E$11+1,1))-AVERAGE(OFFSET($H$3,0,0,'Données projet'!$E$11+1,1))</f>
        <v>310.4018929413723</v>
      </c>
      <c r="BJ49" s="59">
        <f t="shared" si="38"/>
        <v>127.5231137583819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3.7780346249697643</v>
      </c>
      <c r="BR49" s="21">
        <f>EXP(-LN(2)/2)*BR48+(1-EXP(-LN(2)/2))/(LN(2)/2)*BL49*BO49*VLOOKUP('Données projet'!$B$11,Paramètres!$A$1:$I$89,3,0)*0.475*44/12</f>
        <v>3.4884005216576232E-2</v>
      </c>
      <c r="BS49" s="22">
        <f t="shared" si="9"/>
        <v>3.8129186301863407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15.618681318681309</v>
      </c>
      <c r="AI50" s="13">
        <f>IF('Données projet'!$A$62&gt;35,AI49+AH50-AQ49,IF(A50&lt;'Données projet'!$A$62,$AF$205^A50,IF(A50='Données projet'!$A$62,'Données projet'!$B$62,AI49+AH50-AQ49)))</f>
        <v>308.61648351648358</v>
      </c>
      <c r="AJ50" s="13">
        <f>AI50*VLOOKUP('Données projet'!$B$10,Paramètres!$A$1:$I$89,3,0)*VLOOKUP('Données projet'!$B$10,Paramètres!$A$1:$I$89,5,0)</f>
        <v>144.43251428571432</v>
      </c>
      <c r="AK50" s="13">
        <f t="shared" si="35"/>
        <v>37.310582871696397</v>
      </c>
      <c r="AL50" s="20">
        <f t="shared" si="4"/>
        <v>316.5358942158237</v>
      </c>
      <c r="AM50" s="59">
        <f t="shared" si="5"/>
        <v>609.86922754915702</v>
      </c>
      <c r="AN50" s="59">
        <f ca="1">AVERAGE(OFFSET($AM$3,0,0,'Données projet'!$E$10+1,1))-AVERAGE(OFFSET($H$3,0,0,'Données projet'!$E$10+1,1))</f>
        <v>158.58786357608489</v>
      </c>
      <c r="AO50" s="59">
        <f t="shared" si="36"/>
        <v>163.20074068819849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</v>
      </c>
      <c r="BD50" s="12">
        <f>IF('Données projet'!$A$88&gt;35,BD49+BC50-BL49,IF(A50&lt;'Données projet'!$A$88,$BA$205^A50,IF(A50='Données projet'!$A$88,'Données projet'!$B$88,BD49+BC50-BL49)))</f>
        <v>196.19999999999987</v>
      </c>
      <c r="BE50" s="13">
        <f>BD50*VLOOKUP('Données projet'!$B$11,Paramètres!$A$1:$I$89,3,0)*VLOOKUP('Données projet'!$B$11,Paramètres!$A$1:$I$89,5,0)</f>
        <v>168.3395999999999</v>
      </c>
      <c r="BF50" s="13">
        <f t="shared" si="37"/>
        <v>42.717937057957599</v>
      </c>
      <c r="BG50" s="20">
        <f t="shared" si="7"/>
        <v>367.59187704260927</v>
      </c>
      <c r="BH50" s="59">
        <f t="shared" si="8"/>
        <v>660.92521037594258</v>
      </c>
      <c r="BI50" s="59">
        <f ca="1">AVERAGE(OFFSET($BH$3,0,0,'Données projet'!$E$11+1,1))-AVERAGE(OFFSET($H$3,0,0,'Données projet'!$E$11+1,1))</f>
        <v>310.4018929413723</v>
      </c>
      <c r="BJ50" s="59">
        <f t="shared" si="38"/>
        <v>127.5231137583819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3.6747240694717598</v>
      </c>
      <c r="BR50" s="21">
        <f>EXP(-LN(2)/2)*BR49+(1-EXP(-LN(2)/2))/(LN(2)/2)*BL50*BO50*VLOOKUP('Données projet'!$B$11,Paramètres!$A$1:$I$89,3,0)*0.475*44/12</f>
        <v>2.4666716643587952E-2</v>
      </c>
      <c r="BS50" s="22">
        <f t="shared" si="9"/>
        <v>3.6993907861153477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15.618681318681309</v>
      </c>
      <c r="AI51" s="13">
        <f>IF('Données projet'!$A$62&gt;35,AI50+AH51-AQ50,IF(A51&lt;'Données projet'!$A$62,$AF$205^A51,IF(A51='Données projet'!$A$62,'Données projet'!$B$62,AI50+AH51-AQ50)))</f>
        <v>324.23516483516488</v>
      </c>
      <c r="AJ51" s="13">
        <f>AI51*VLOOKUP('Données projet'!$B$10,Paramètres!$A$1:$I$89,3,0)*VLOOKUP('Données projet'!$B$10,Paramètres!$A$1:$I$89,5,0)</f>
        <v>151.74205714285716</v>
      </c>
      <c r="AK51" s="13">
        <f t="shared" si="35"/>
        <v>38.974207918733512</v>
      </c>
      <c r="AL51" s="20">
        <f t="shared" si="4"/>
        <v>332.16416164893707</v>
      </c>
      <c r="AM51" s="59">
        <f t="shared" si="5"/>
        <v>625.49749498227038</v>
      </c>
      <c r="AN51" s="59">
        <f ca="1">AVERAGE(OFFSET($AM$3,0,0,'Données projet'!$E$10+1,1))-AVERAGE(OFFSET($H$3,0,0,'Données projet'!$E$10+1,1))</f>
        <v>158.58786357608489</v>
      </c>
      <c r="AO51" s="59">
        <f t="shared" si="36"/>
        <v>163.20074068819849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10.6</v>
      </c>
      <c r="BD51" s="12">
        <f>IF('Données projet'!$A$88&gt;35,BD50+BC51-BL50,IF(A51&lt;'Données projet'!$A$88,$BA$205^A51,IF(A51='Données projet'!$A$88,'Données projet'!$B$88,BD50+BC51-BL50)))</f>
        <v>206.79999999999987</v>
      </c>
      <c r="BE51" s="13">
        <f>BD51*VLOOKUP('Données projet'!$B$11,Paramètres!$A$1:$I$89,3,0)*VLOOKUP('Données projet'!$B$11,Paramètres!$A$1:$I$89,5,0)</f>
        <v>177.4343999999999</v>
      </c>
      <c r="BF51" s="13">
        <f t="shared" si="37"/>
        <v>44.750911401641211</v>
      </c>
      <c r="BG51" s="20">
        <f t="shared" si="7"/>
        <v>386.97275069119155</v>
      </c>
      <c r="BH51" s="59">
        <f t="shared" si="8"/>
        <v>680.30608402452481</v>
      </c>
      <c r="BI51" s="59">
        <f ca="1">AVERAGE(OFFSET($BH$3,0,0,'Données projet'!$E$11+1,1))-AVERAGE(OFFSET($H$3,0,0,'Données projet'!$E$11+1,1))</f>
        <v>310.4018929413723</v>
      </c>
      <c r="BJ51" s="59">
        <f t="shared" si="38"/>
        <v>127.5231137583819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3.5742385465467144</v>
      </c>
      <c r="BR51" s="21">
        <f>EXP(-LN(2)/2)*BR50+(1-EXP(-LN(2)/2))/(LN(2)/2)*BL51*BO51*VLOOKUP('Données projet'!$B$11,Paramètres!$A$1:$I$89,3,0)*0.475*44/12</f>
        <v>1.7442002608288116E-2</v>
      </c>
      <c r="BS51" s="22">
        <f t="shared" si="9"/>
        <v>3.5916805491550026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15.618681318681309</v>
      </c>
      <c r="AH52" s="12">
        <f t="array" ref="AH52">INDEX(AG:AG,MIN(IF(ISNUMBER(AG52:AG248),ROW(AG52:AG248),"")))</f>
        <v>15.618681318681309</v>
      </c>
      <c r="AI52" s="13">
        <f>IF('Données projet'!$A$62&gt;35,AI51+AH52-AQ51,IF(A52&lt;'Données projet'!$A$62,$AF$205^A52,IF(A52='Données projet'!$A$62,'Données projet'!$B$62,AI51+AH52-AQ51)))</f>
        <v>339.85384615384618</v>
      </c>
      <c r="AJ52" s="13">
        <f>AI52*VLOOKUP('Données projet'!$B$10,Paramètres!$A$1:$I$89,3,0)*VLOOKUP('Données projet'!$B$10,Paramètres!$A$1:$I$89,5,0)</f>
        <v>159.05160000000001</v>
      </c>
      <c r="AK52" s="13">
        <f t="shared" si="35"/>
        <v>40.628527179850586</v>
      </c>
      <c r="AL52" s="20">
        <f t="shared" si="4"/>
        <v>347.77622150490646</v>
      </c>
      <c r="AM52" s="59">
        <f t="shared" si="5"/>
        <v>641.10955483823977</v>
      </c>
      <c r="AN52" s="59">
        <f ca="1">AVERAGE(OFFSET($AM$3,0,0,'Données projet'!$E$10+1,1))-AVERAGE(OFFSET($H$3,0,0,'Données projet'!$E$10+1,1))</f>
        <v>158.58786357608489</v>
      </c>
      <c r="AO52" s="59">
        <f t="shared" si="36"/>
        <v>163.20074068819849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10.6</v>
      </c>
      <c r="BD52" s="12">
        <f>IF('Données projet'!$A$88&gt;35,BD51+BC52-BL51,IF(A52&lt;'Données projet'!$A$88,$BA$205^A52,IF(A52='Données projet'!$A$88,'Données projet'!$B$88,BD51+BC52-BL51)))</f>
        <v>217.39999999999986</v>
      </c>
      <c r="BE52" s="13">
        <f>BD52*VLOOKUP('Données projet'!$B$11,Paramètres!$A$1:$I$89,3,0)*VLOOKUP('Données projet'!$B$11,Paramètres!$A$1:$I$89,5,0)</f>
        <v>186.52919999999992</v>
      </c>
      <c r="BF52" s="13">
        <f t="shared" si="37"/>
        <v>46.771786839640335</v>
      </c>
      <c r="BG52" s="20">
        <f t="shared" si="7"/>
        <v>406.33255207904011</v>
      </c>
      <c r="BH52" s="59">
        <f t="shared" si="8"/>
        <v>699.66588541237343</v>
      </c>
      <c r="BI52" s="59">
        <f ca="1">AVERAGE(OFFSET($BH$3,0,0,'Données projet'!$E$11+1,1))-AVERAGE(OFFSET($H$3,0,0,'Données projet'!$E$11+1,1))</f>
        <v>310.4018929413723</v>
      </c>
      <c r="BJ52" s="59">
        <f t="shared" si="38"/>
        <v>127.5231137583819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3.4765008055303581</v>
      </c>
      <c r="BR52" s="21">
        <f>EXP(-LN(2)/2)*BR51+(1-EXP(-LN(2)/2))/(LN(2)/2)*BL52*BO52*VLOOKUP('Données projet'!$B$11,Paramètres!$A$1:$I$89,3,0)*0.475*44/12</f>
        <v>1.2333358321793976E-2</v>
      </c>
      <c r="BS52" s="22">
        <f t="shared" si="9"/>
        <v>3.4888341638521521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14.668131868131875</v>
      </c>
      <c r="AI53" s="13">
        <f>IF('Données projet'!$A$62&gt;35,AI52+AH53-AQ52,IF(A53&lt;'Données projet'!$A$62,$AF$205^A53,IF(A53='Données projet'!$A$62,'Données projet'!$B$62,AI52+AH53-AQ52)))</f>
        <v>260.04505494505497</v>
      </c>
      <c r="AJ53" s="13">
        <f>AI53*VLOOKUP('Données projet'!$B$10,Paramètres!$A$1:$I$89,3,0)*VLOOKUP('Données projet'!$B$10,Paramètres!$A$1:$I$89,5,0)</f>
        <v>121.70108571428571</v>
      </c>
      <c r="AK53" s="13">
        <f t="shared" si="35"/>
        <v>32.071423986344442</v>
      </c>
      <c r="AL53" s="20">
        <f t="shared" si="4"/>
        <v>267.82045439526422</v>
      </c>
      <c r="AM53" s="59">
        <f t="shared" si="5"/>
        <v>561.15378772859754</v>
      </c>
      <c r="AN53" s="59">
        <f ca="1">AVERAGE(OFFSET($AM$3,0,0,'Données projet'!$E$10+1,1))-AVERAGE(OFFSET($H$3,0,0,'Données projet'!$E$10+1,1))</f>
        <v>158.58786357608489</v>
      </c>
      <c r="AO53" s="59">
        <f t="shared" si="36"/>
        <v>163.20074068819849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228</v>
      </c>
      <c r="BB53" s="12">
        <f>VLOOKUP(A53,'Données projet'!$A$87:$I$107,9,0)</f>
        <v>10.6</v>
      </c>
      <c r="BC53" s="12">
        <f t="array" ref="BC53">INDEX(BB:BB,MIN(IF(ISNUMBER(BB53:BB249),ROW(BB53:BB249),"")))</f>
        <v>10.6</v>
      </c>
      <c r="BD53" s="12">
        <f>IF('Données projet'!$A$88&gt;35,BD52+BC53-BL52,IF(A53&lt;'Données projet'!$A$88,$BA$205^A53,IF(A53='Données projet'!$A$88,'Données projet'!$B$88,BD52+BC53-BL52)))</f>
        <v>227.99999999999986</v>
      </c>
      <c r="BE53" s="13">
        <f>BD53*VLOOKUP('Données projet'!$B$11,Paramètres!$A$1:$I$89,3,0)*VLOOKUP('Données projet'!$B$11,Paramètres!$A$1:$I$89,5,0)</f>
        <v>195.62399999999991</v>
      </c>
      <c r="BF53" s="13">
        <f t="shared" si="37"/>
        <v>48.781220625276006</v>
      </c>
      <c r="BG53" s="20">
        <f t="shared" si="7"/>
        <v>425.67242592235556</v>
      </c>
      <c r="BH53" s="59">
        <f t="shared" si="8"/>
        <v>719.00575925568887</v>
      </c>
      <c r="BI53" s="59">
        <f ca="1">AVERAGE(OFFSET($BH$3,0,0,'Données projet'!$E$11+1,1))-AVERAGE(OFFSET($H$3,0,0,'Données projet'!$E$11+1,1))</f>
        <v>310.4018929413723</v>
      </c>
      <c r="BJ53" s="59">
        <f t="shared" si="38"/>
        <v>127.5231137583819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3.3814357081818986</v>
      </c>
      <c r="BR53" s="21">
        <f>EXP(-LN(2)/2)*BR52+(1-EXP(-LN(2)/2))/(LN(2)/2)*BL53*BO53*VLOOKUP('Données projet'!$B$11,Paramètres!$A$1:$I$89,3,0)*0.475*44/12</f>
        <v>8.721001304144058E-3</v>
      </c>
      <c r="BS53" s="22">
        <f t="shared" si="9"/>
        <v>3.3901567094860425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14.668131868131875</v>
      </c>
      <c r="AI54" s="13">
        <f>IF('Données projet'!$A$62&gt;35,AI53+AH54-AQ53,IF(A54&lt;'Données projet'!$A$62,$AF$205^A54,IF(A54='Données projet'!$A$62,'Données projet'!$B$62,AI53+AH54-AQ53)))</f>
        <v>274.71318681318684</v>
      </c>
      <c r="AJ54" s="13">
        <f>AI54*VLOOKUP('Données projet'!$B$10,Paramètres!$A$1:$I$89,3,0)*VLOOKUP('Données projet'!$B$10,Paramètres!$A$1:$I$89,5,0)</f>
        <v>128.56577142857145</v>
      </c>
      <c r="AK54" s="13">
        <f t="shared" si="35"/>
        <v>33.664737545838108</v>
      </c>
      <c r="AL54" s="20">
        <f t="shared" si="4"/>
        <v>282.55146979709662</v>
      </c>
      <c r="AM54" s="59">
        <f t="shared" si="5"/>
        <v>575.88480313042987</v>
      </c>
      <c r="AN54" s="59">
        <f ca="1">AVERAGE(OFFSET($AM$3,0,0,'Données projet'!$E$10+1,1))-AVERAGE(OFFSET($H$3,0,0,'Données projet'!$E$10+1,1))</f>
        <v>158.58786357608489</v>
      </c>
      <c r="AO54" s="59">
        <f t="shared" si="36"/>
        <v>163.20074068819849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10.8</v>
      </c>
      <c r="BD54" s="12">
        <f>IF('Données projet'!$A$88&gt;35,BD53+BC54-BL53,IF(A54&lt;'Données projet'!$A$88,$BA$205^A54,IF(A54='Données projet'!$A$88,'Données projet'!$B$88,BD53+BC54-BL53)))</f>
        <v>174.79999999999987</v>
      </c>
      <c r="BE54" s="13">
        <f>BD54*VLOOKUP('Données projet'!$B$11,Paramètres!$A$1:$I$89,3,0)*VLOOKUP('Données projet'!$B$11,Paramètres!$A$1:$I$89,5,0)</f>
        <v>149.97839999999991</v>
      </c>
      <c r="BF54" s="13">
        <f t="shared" si="37"/>
        <v>38.573676902204156</v>
      </c>
      <c r="BG54" s="20">
        <f t="shared" si="7"/>
        <v>328.39486727133874</v>
      </c>
      <c r="BH54" s="59">
        <f t="shared" si="8"/>
        <v>621.72820060467211</v>
      </c>
      <c r="BI54" s="59">
        <f ca="1">AVERAGE(OFFSET($BH$3,0,0,'Données projet'!$E$11+1,1))-AVERAGE(OFFSET($H$3,0,0,'Données projet'!$E$11+1,1))</f>
        <v>310.4018929413723</v>
      </c>
      <c r="BJ54" s="59">
        <f t="shared" si="38"/>
        <v>127.5231137583819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3.288970170919689</v>
      </c>
      <c r="BR54" s="21">
        <f>EXP(-LN(2)/2)*BR53+(1-EXP(-LN(2)/2))/(LN(2)/2)*BL54*BO54*VLOOKUP('Données projet'!$B$11,Paramètres!$A$1:$I$89,3,0)*0.475*44/12</f>
        <v>6.166679160896988E-3</v>
      </c>
      <c r="BS54" s="22">
        <f t="shared" si="9"/>
        <v>3.2951368500805862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14.668131868131875</v>
      </c>
      <c r="AI55" s="13">
        <f>IF('Données projet'!$A$62&gt;35,AI54+AH55-AQ54,IF(A55&lt;'Données projet'!$A$62,$AF$205^A55,IF(A55='Données projet'!$A$62,'Données projet'!$B$62,AI54+AH55-AQ54)))</f>
        <v>289.3813186813187</v>
      </c>
      <c r="AJ55" s="13">
        <f>AI55*VLOOKUP('Données projet'!$B$10,Paramètres!$A$1:$I$89,3,0)*VLOOKUP('Données projet'!$B$10,Paramètres!$A$1:$I$89,5,0)</f>
        <v>135.43045714285716</v>
      </c>
      <c r="AK55" s="13">
        <f t="shared" si="35"/>
        <v>35.248174253598229</v>
      </c>
      <c r="AL55" s="20">
        <f t="shared" si="4"/>
        <v>297.26528301549314</v>
      </c>
      <c r="AM55" s="59">
        <f t="shared" si="5"/>
        <v>590.59861634882645</v>
      </c>
      <c r="AN55" s="59">
        <f ca="1">AVERAGE(OFFSET($AM$3,0,0,'Données projet'!$E$10+1,1))-AVERAGE(OFFSET($H$3,0,0,'Données projet'!$E$10+1,1))</f>
        <v>158.58786357608489</v>
      </c>
      <c r="AO55" s="59">
        <f t="shared" si="36"/>
        <v>163.20074068819849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10.8</v>
      </c>
      <c r="BD55" s="12">
        <f>IF('Données projet'!$A$88&gt;35,BD54+BC55-BL54,IF(A55&lt;'Données projet'!$A$88,$BA$205^A55,IF(A55='Données projet'!$A$88,'Données projet'!$B$88,BD54+BC55-BL54)))</f>
        <v>185.59999999999988</v>
      </c>
      <c r="BE55" s="13">
        <f>BD55*VLOOKUP('Données projet'!$B$11,Paramètres!$A$1:$I$89,3,0)*VLOOKUP('Données projet'!$B$11,Paramètres!$A$1:$I$89,5,0)</f>
        <v>159.24479999999991</v>
      </c>
      <c r="BF55" s="13">
        <f t="shared" si="37"/>
        <v>40.672131063901716</v>
      </c>
      <c r="BG55" s="20">
        <f t="shared" si="7"/>
        <v>348.18865493629534</v>
      </c>
      <c r="BH55" s="59">
        <f t="shared" si="8"/>
        <v>641.52198826962865</v>
      </c>
      <c r="BI55" s="59">
        <f ca="1">AVERAGE(OFFSET($BH$3,0,0,'Données projet'!$E$11+1,1))-AVERAGE(OFFSET($H$3,0,0,'Données projet'!$E$11+1,1))</f>
        <v>310.4018929413723</v>
      </c>
      <c r="BJ55" s="59">
        <f t="shared" si="38"/>
        <v>127.5231137583819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3.1990331086364661</v>
      </c>
      <c r="BR55" s="21">
        <f>EXP(-LN(2)/2)*BR54+(1-EXP(-LN(2)/2))/(LN(2)/2)*BL55*BO55*VLOOKUP('Données projet'!$B$11,Paramètres!$A$1:$I$89,3,0)*0.475*44/12</f>
        <v>4.360500652072029E-3</v>
      </c>
      <c r="BS55" s="22">
        <f t="shared" si="9"/>
        <v>3.203393609288538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14.668131868131875</v>
      </c>
      <c r="AI56" s="13">
        <f>IF('Données projet'!$A$62&gt;35,AI55+AH56-AQ55,IF(A56&lt;'Données projet'!$A$62,$AF$205^A56,IF(A56='Données projet'!$A$62,'Données projet'!$B$62,AI55+AH56-AQ55)))</f>
        <v>304.04945054945057</v>
      </c>
      <c r="AJ56" s="13">
        <f>AI56*VLOOKUP('Données projet'!$B$10,Paramètres!$A$1:$I$89,3,0)*VLOOKUP('Données projet'!$B$10,Paramètres!$A$1:$I$89,5,0)</f>
        <v>142.29514285714285</v>
      </c>
      <c r="AK56" s="13">
        <f t="shared" si="35"/>
        <v>36.822291864436032</v>
      </c>
      <c r="AL56" s="20">
        <f t="shared" si="4"/>
        <v>311.96286547341651</v>
      </c>
      <c r="AM56" s="59">
        <f t="shared" si="5"/>
        <v>605.29619880674977</v>
      </c>
      <c r="AN56" s="59">
        <f ca="1">AVERAGE(OFFSET($AM$3,0,0,'Données projet'!$E$10+1,1))-AVERAGE(OFFSET($H$3,0,0,'Données projet'!$E$10+1,1))</f>
        <v>158.58786357608489</v>
      </c>
      <c r="AO56" s="59">
        <f t="shared" si="36"/>
        <v>163.20074068819849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10.8</v>
      </c>
      <c r="BD56" s="12">
        <f>IF('Données projet'!$A$88&gt;35,BD55+BC56-BL55,IF(A56&lt;'Données projet'!$A$88,$BA$205^A56,IF(A56='Données projet'!$A$88,'Données projet'!$B$88,BD55+BC56-BL55)))</f>
        <v>196.39999999999989</v>
      </c>
      <c r="BE56" s="13">
        <f>BD56*VLOOKUP('Données projet'!$B$11,Paramètres!$A$1:$I$89,3,0)*VLOOKUP('Données projet'!$B$11,Paramètres!$A$1:$I$89,5,0)</f>
        <v>168.51119999999995</v>
      </c>
      <c r="BF56" s="13">
        <f t="shared" si="37"/>
        <v>42.756411401172556</v>
      </c>
      <c r="BG56" s="20">
        <f t="shared" si="7"/>
        <v>367.95775652370872</v>
      </c>
      <c r="BH56" s="59">
        <f t="shared" si="8"/>
        <v>661.29108985704204</v>
      </c>
      <c r="BI56" s="59">
        <f ca="1">AVERAGE(OFFSET($BH$3,0,0,'Données projet'!$E$11+1,1))-AVERAGE(OFFSET($H$3,0,0,'Données projet'!$E$11+1,1))</f>
        <v>310.4018929413723</v>
      </c>
      <c r="BJ56" s="59">
        <f t="shared" si="38"/>
        <v>127.5231137583819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3.1115553800509623</v>
      </c>
      <c r="BR56" s="21">
        <f>EXP(-LN(2)/2)*BR55+(1-EXP(-LN(2)/2))/(LN(2)/2)*BL56*BO56*VLOOKUP('Données projet'!$B$11,Paramètres!$A$1:$I$89,3,0)*0.475*44/12</f>
        <v>3.083339580448494E-3</v>
      </c>
      <c r="BS56" s="22">
        <f t="shared" si="9"/>
        <v>3.1146387196314107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14.668131868131875</v>
      </c>
      <c r="AI57" s="13">
        <f>IF('Données projet'!$A$62&gt;35,AI56+AH57-AQ56,IF(A57&lt;'Données projet'!$A$62,$AF$205^A57,IF(A57='Données projet'!$A$62,'Données projet'!$B$62,AI56+AH57-AQ56)))</f>
        <v>318.71758241758243</v>
      </c>
      <c r="AJ57" s="13">
        <f>AI57*VLOOKUP('Données projet'!$B$10,Paramètres!$A$1:$I$89,3,0)*VLOOKUP('Données projet'!$B$10,Paramètres!$A$1:$I$89,5,0)</f>
        <v>149.15982857142859</v>
      </c>
      <c r="AK57" s="13">
        <f t="shared" si="35"/>
        <v>38.387591277502224</v>
      </c>
      <c r="AL57" s="20">
        <f t="shared" si="4"/>
        <v>326.64508957022116</v>
      </c>
      <c r="AM57" s="59">
        <f t="shared" si="5"/>
        <v>619.97842290355447</v>
      </c>
      <c r="AN57" s="59">
        <f ca="1">AVERAGE(OFFSET($AM$3,0,0,'Données projet'!$E$10+1,1))-AVERAGE(OFFSET($H$3,0,0,'Données projet'!$E$10+1,1))</f>
        <v>158.58786357608489</v>
      </c>
      <c r="AO57" s="59">
        <f t="shared" si="36"/>
        <v>163.20074068819849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10.8</v>
      </c>
      <c r="BD57" s="12">
        <f>IF('Données projet'!$A$88&gt;35,BD56+BC57-BL56,IF(A57&lt;'Données projet'!$A$88,$BA$205^A57,IF(A57='Données projet'!$A$88,'Données projet'!$B$88,BD56+BC57-BL56)))</f>
        <v>207.1999999999999</v>
      </c>
      <c r="BE57" s="13">
        <f>BD57*VLOOKUP('Données projet'!$B$11,Paramètres!$A$1:$I$89,3,0)*VLOOKUP('Données projet'!$B$11,Paramètres!$A$1:$I$89,5,0)</f>
        <v>177.77759999999992</v>
      </c>
      <c r="BF57" s="13">
        <f t="shared" si="37"/>
        <v>44.827386173754917</v>
      </c>
      <c r="BG57" s="20">
        <f t="shared" si="7"/>
        <v>387.70368425262296</v>
      </c>
      <c r="BH57" s="59">
        <f t="shared" si="8"/>
        <v>681.03701758595628</v>
      </c>
      <c r="BI57" s="59">
        <f ca="1">AVERAGE(OFFSET($BH$3,0,0,'Données projet'!$E$11+1,1))-AVERAGE(OFFSET($H$3,0,0,'Données projet'!$E$11+1,1))</f>
        <v>310.4018929413723</v>
      </c>
      <c r="BJ57" s="59">
        <f t="shared" si="38"/>
        <v>127.5231137583819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3.0264697345538827</v>
      </c>
      <c r="BR57" s="21">
        <f>EXP(-LN(2)/2)*BR56+(1-EXP(-LN(2)/2))/(LN(2)/2)*BL57*BO57*VLOOKUP('Données projet'!$B$11,Paramètres!$A$1:$I$89,3,0)*0.475*44/12</f>
        <v>2.1802503260360145E-3</v>
      </c>
      <c r="BS57" s="22">
        <f t="shared" si="9"/>
        <v>3.0286499848799187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14.668131868131875</v>
      </c>
      <c r="AI58" s="13">
        <f>IF('Données projet'!$A$62&gt;35,AI57+AH58-AQ57,IF(A58&lt;'Données projet'!$A$62,$AF$205^A58,IF(A58='Données projet'!$A$62,'Données projet'!$B$62,AI57+AH58-AQ57)))</f>
        <v>333.3857142857143</v>
      </c>
      <c r="AJ58" s="13">
        <f>AI58*VLOOKUP('Données projet'!$B$10,Paramètres!$A$1:$I$89,3,0)*VLOOKUP('Données projet'!$B$10,Paramètres!$A$1:$I$89,5,0)</f>
        <v>156.0245142857143</v>
      </c>
      <c r="AK58" s="13">
        <f t="shared" si="35"/>
        <v>39.944524680961258</v>
      </c>
      <c r="AL58" s="20">
        <f t="shared" si="4"/>
        <v>341.31274286695992</v>
      </c>
      <c r="AM58" s="59">
        <f t="shared" si="5"/>
        <v>634.64607620029324</v>
      </c>
      <c r="AN58" s="59">
        <f ca="1">AVERAGE(OFFSET($AM$3,0,0,'Données projet'!$E$10+1,1))-AVERAGE(OFFSET($H$3,0,0,'Données projet'!$E$10+1,1))</f>
        <v>158.58786357608489</v>
      </c>
      <c r="AO58" s="59">
        <f t="shared" si="36"/>
        <v>163.20074068819849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10.8</v>
      </c>
      <c r="BD58" s="12">
        <f>IF('Données projet'!$A$88&gt;35,BD57+BC58-BL57,IF(A58&lt;'Données projet'!$A$88,$BA$205^A58,IF(A58='Données projet'!$A$88,'Données projet'!$B$88,BD57+BC58-BL57)))</f>
        <v>217.99999999999991</v>
      </c>
      <c r="BE58" s="13">
        <f>BD58*VLOOKUP('Données projet'!$B$11,Paramètres!$A$1:$I$89,3,0)*VLOOKUP('Données projet'!$B$11,Paramètres!$A$1:$I$89,5,0)</f>
        <v>187.04399999999995</v>
      </c>
      <c r="BF58" s="13">
        <f t="shared" si="37"/>
        <v>46.885828015531139</v>
      </c>
      <c r="BG58" s="20">
        <f t="shared" si="7"/>
        <v>407.42778379371663</v>
      </c>
      <c r="BH58" s="59">
        <f t="shared" si="8"/>
        <v>700.76111712704994</v>
      </c>
      <c r="BI58" s="59">
        <f ca="1">AVERAGE(OFFSET($BH$3,0,0,'Données projet'!$E$11+1,1))-AVERAGE(OFFSET($H$3,0,0,'Données projet'!$E$11+1,1))</f>
        <v>310.4018929413723</v>
      </c>
      <c r="BJ58" s="59">
        <f t="shared" si="38"/>
        <v>127.5231137583819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2.9437107605073805</v>
      </c>
      <c r="BR58" s="21">
        <f>EXP(-LN(2)/2)*BR57+(1-EXP(-LN(2)/2))/(LN(2)/2)*BL58*BO58*VLOOKUP('Données projet'!$B$11,Paramètres!$A$1:$I$89,3,0)*0.475*44/12</f>
        <v>1.541669790224247E-3</v>
      </c>
      <c r="BS58" s="22">
        <f t="shared" si="9"/>
        <v>2.9452524302976046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14.668131868131875</v>
      </c>
      <c r="AH59" s="12">
        <f t="array" ref="AH59">INDEX(AG:AG,MIN(IF(ISNUMBER(AG59:AG255),ROW(AG59:AG255),"")))</f>
        <v>14.668131868131875</v>
      </c>
      <c r="AI59" s="13">
        <f>IF('Données projet'!$A$62&gt;35,AI58+AH59-AQ58,IF(A59&lt;'Données projet'!$A$62,$AF$205^A59,IF(A59='Données projet'!$A$62,'Données projet'!$B$62,AI58+AH59-AQ58)))</f>
        <v>348.05384615384617</v>
      </c>
      <c r="AJ59" s="13">
        <f>AI59*VLOOKUP('Données projet'!$B$10,Paramètres!$A$1:$I$89,3,0)*VLOOKUP('Données projet'!$B$10,Paramètres!$A$1:$I$89,5,0)</f>
        <v>162.88919999999999</v>
      </c>
      <c r="AK59" s="13">
        <f t="shared" si="35"/>
        <v>41.493502222820894</v>
      </c>
      <c r="AL59" s="20">
        <f t="shared" si="4"/>
        <v>355.96653970474637</v>
      </c>
      <c r="AM59" s="59">
        <f t="shared" si="5"/>
        <v>649.29987303807968</v>
      </c>
      <c r="AN59" s="59">
        <f ca="1">AVERAGE(OFFSET($AM$3,0,0,'Données projet'!$E$10+1,1))-AVERAGE(OFFSET($H$3,0,0,'Données projet'!$E$10+1,1))</f>
        <v>158.58786357608489</v>
      </c>
      <c r="AO59" s="59">
        <f t="shared" si="36"/>
        <v>163.20074068819849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10.8</v>
      </c>
      <c r="BD59" s="12">
        <f>IF('Données projet'!$A$88&gt;35,BD58+BC59-BL58,IF(A59&lt;'Données projet'!$A$88,$BA$205^A59,IF(A59='Données projet'!$A$88,'Données projet'!$B$88,BD58+BC59-BL58)))</f>
        <v>228.79999999999993</v>
      </c>
      <c r="BE59" s="13">
        <f>BD59*VLOOKUP('Données projet'!$B$11,Paramètres!$A$1:$I$89,3,0)*VLOOKUP('Données projet'!$B$11,Paramètres!$A$1:$I$89,5,0)</f>
        <v>196.31039999999996</v>
      </c>
      <c r="BF59" s="13">
        <f t="shared" si="37"/>
        <v>48.932428681108973</v>
      </c>
      <c r="BG59" s="20">
        <f t="shared" si="7"/>
        <v>427.13125995293143</v>
      </c>
      <c r="BH59" s="59">
        <f t="shared" si="8"/>
        <v>720.46459328626474</v>
      </c>
      <c r="BI59" s="59">
        <f ca="1">AVERAGE(OFFSET($BH$3,0,0,'Données projet'!$E$11+1,1))-AVERAGE(OFFSET($H$3,0,0,'Données projet'!$E$11+1,1))</f>
        <v>310.4018929413723</v>
      </c>
      <c r="BJ59" s="59">
        <f t="shared" si="38"/>
        <v>127.5231137583819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2.8632148349582853</v>
      </c>
      <c r="BR59" s="21">
        <f>EXP(-LN(2)/2)*BR58+(1-EXP(-LN(2)/2))/(LN(2)/2)*BL59*BO59*VLOOKUP('Données projet'!$B$11,Paramètres!$A$1:$I$89,3,0)*0.475*44/12</f>
        <v>1.0901251630180072E-3</v>
      </c>
      <c r="BS59" s="22">
        <f t="shared" si="9"/>
        <v>2.8643049601213035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14.270329670329668</v>
      </c>
      <c r="AI60" s="13">
        <f>IF('Données projet'!$A$62&gt;35,AI59+AH60-AQ59,IF(A60&lt;'Données projet'!$A$62,$AF$205^A60,IF(A60='Données projet'!$A$62,'Données projet'!$B$62,AI59+AH60-AQ59)))</f>
        <v>289.55494505494505</v>
      </c>
      <c r="AJ60" s="13">
        <f>AI60*VLOOKUP('Données projet'!$B$10,Paramètres!$A$1:$I$89,3,0)*VLOOKUP('Données projet'!$B$10,Paramètres!$A$1:$I$89,5,0)</f>
        <v>135.51171428571428</v>
      </c>
      <c r="AK60" s="13">
        <f t="shared" si="35"/>
        <v>35.26686051307076</v>
      </c>
      <c r="AL60" s="20">
        <f t="shared" si="4"/>
        <v>297.43935110788397</v>
      </c>
      <c r="AM60" s="59">
        <f t="shared" si="5"/>
        <v>590.77268444121728</v>
      </c>
      <c r="AN60" s="59">
        <f ca="1">AVERAGE(OFFSET($AM$3,0,0,'Données projet'!$E$10+1,1))-AVERAGE(OFFSET($H$3,0,0,'Données projet'!$E$10+1,1))</f>
        <v>158.58786357608489</v>
      </c>
      <c r="AO60" s="59">
        <f t="shared" si="36"/>
        <v>163.20074068819849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10.8</v>
      </c>
      <c r="BD60" s="12">
        <f>IF('Données projet'!$A$88&gt;35,BD59+BC60-BL59,IF(A60&lt;'Données projet'!$A$88,$BA$205^A60,IF(A60='Données projet'!$A$88,'Données projet'!$B$88,BD59+BC60-BL59)))</f>
        <v>239.59999999999994</v>
      </c>
      <c r="BE60" s="13">
        <f>BD60*VLOOKUP('Données projet'!$B$11,Paramètres!$A$1:$I$89,3,0)*VLOOKUP('Données projet'!$B$11,Paramètres!$A$1:$I$89,5,0)</f>
        <v>205.57679999999996</v>
      </c>
      <c r="BF60" s="13">
        <f t="shared" si="37"/>
        <v>50.967810929232002</v>
      </c>
      <c r="BG60" s="20">
        <f t="shared" si="7"/>
        <v>446.81519736841233</v>
      </c>
      <c r="BH60" s="59">
        <f t="shared" si="8"/>
        <v>740.14853070174559</v>
      </c>
      <c r="BI60" s="59">
        <f ca="1">AVERAGE(OFFSET($BH$3,0,0,'Données projet'!$E$11+1,1))-AVERAGE(OFFSET($H$3,0,0,'Données projet'!$E$11+1,1))</f>
        <v>310.4018929413723</v>
      </c>
      <c r="BJ60" s="59">
        <f t="shared" si="38"/>
        <v>127.5231137583819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2.7849200747264269</v>
      </c>
      <c r="BR60" s="21">
        <f>EXP(-LN(2)/2)*BR59+(1-EXP(-LN(2)/2))/(LN(2)/2)*BL60*BO60*VLOOKUP('Données projet'!$B$11,Paramètres!$A$1:$I$89,3,0)*0.475*44/12</f>
        <v>7.708348951121235E-4</v>
      </c>
      <c r="BS60" s="22">
        <f t="shared" si="9"/>
        <v>2.7856909096215392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14.270329670329668</v>
      </c>
      <c r="AI61" s="13">
        <f>IF('Données projet'!$A$62&gt;35,AI60+AH61-AQ60,IF(A61&lt;'Données projet'!$A$62,$AF$205^A61,IF(A61='Données projet'!$A$62,'Données projet'!$B$62,AI60+AH61-AQ60)))</f>
        <v>303.82527472527471</v>
      </c>
      <c r="AJ61" s="13">
        <f>AI61*VLOOKUP('Données projet'!$B$10,Paramètres!$A$1:$I$89,3,0)*VLOOKUP('Données projet'!$B$10,Paramètres!$A$1:$I$89,5,0)</f>
        <v>142.19022857142855</v>
      </c>
      <c r="AK61" s="13">
        <f t="shared" si="35"/>
        <v>36.798301893816983</v>
      </c>
      <c r="AL61" s="20">
        <f t="shared" si="4"/>
        <v>311.7383572269693</v>
      </c>
      <c r="AM61" s="59">
        <f t="shared" si="5"/>
        <v>605.07169056030261</v>
      </c>
      <c r="AN61" s="59">
        <f ca="1">AVERAGE(OFFSET($AM$3,0,0,'Données projet'!$E$10+1,1))-AVERAGE(OFFSET($H$3,0,0,'Données projet'!$E$10+1,1))</f>
        <v>158.58786357608489</v>
      </c>
      <c r="AO61" s="59">
        <f t="shared" si="36"/>
        <v>163.20074068819849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10.8</v>
      </c>
      <c r="BD61" s="12">
        <f>IF('Données projet'!$A$88&gt;35,BD60+BC61-BL60,IF(A61&lt;'Données projet'!$A$88,$BA$205^A61,IF(A61='Données projet'!$A$88,'Données projet'!$B$88,BD60+BC61-BL60)))</f>
        <v>250.39999999999995</v>
      </c>
      <c r="BE61" s="13">
        <f>BD61*VLOOKUP('Données projet'!$B$11,Paramètres!$A$1:$I$89,3,0)*VLOOKUP('Données projet'!$B$11,Paramètres!$A$1:$I$89,5,0)</f>
        <v>214.84319999999997</v>
      </c>
      <c r="BF61" s="13">
        <f t="shared" si="37"/>
        <v>52.992538203061436</v>
      </c>
      <c r="BG61" s="20">
        <f t="shared" si="7"/>
        <v>466.4805773703319</v>
      </c>
      <c r="BH61" s="59">
        <f t="shared" si="8"/>
        <v>759.81391070366521</v>
      </c>
      <c r="BI61" s="59">
        <f ca="1">AVERAGE(OFFSET($BH$3,0,0,'Données projet'!$E$11+1,1))-AVERAGE(OFFSET($H$3,0,0,'Données projet'!$E$11+1,1))</f>
        <v>310.4018929413723</v>
      </c>
      <c r="BJ61" s="59">
        <f t="shared" si="38"/>
        <v>127.5231137583819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2.7087662888304509</v>
      </c>
      <c r="BR61" s="21">
        <f>EXP(-LN(2)/2)*BR60+(1-EXP(-LN(2)/2))/(LN(2)/2)*BL61*BO61*VLOOKUP('Données projet'!$B$11,Paramètres!$A$1:$I$89,3,0)*0.475*44/12</f>
        <v>5.4506258150900362E-4</v>
      </c>
      <c r="BS61" s="22">
        <f t="shared" si="9"/>
        <v>2.70931135141196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14.270329670329668</v>
      </c>
      <c r="AI62" s="13">
        <f>IF('Données projet'!$A$62&gt;35,AI61+AH62-AQ61,IF(A62&lt;'Données projet'!$A$62,$AF$205^A62,IF(A62='Données projet'!$A$62,'Données projet'!$B$62,AI61+AH62-AQ61)))</f>
        <v>318.09560439560437</v>
      </c>
      <c r="AJ62" s="13">
        <f>AI62*VLOOKUP('Données projet'!$B$10,Paramètres!$A$1:$I$89,3,0)*VLOOKUP('Données projet'!$B$10,Paramètres!$A$1:$I$89,5,0)</f>
        <v>148.86874285714285</v>
      </c>
      <c r="AK62" s="13">
        <f t="shared" si="35"/>
        <v>38.321390217280914</v>
      </c>
      <c r="AL62" s="20">
        <f t="shared" si="4"/>
        <v>326.02281510462137</v>
      </c>
      <c r="AM62" s="59">
        <f t="shared" si="5"/>
        <v>619.35614843795474</v>
      </c>
      <c r="AN62" s="59">
        <f ca="1">AVERAGE(OFFSET($AM$3,0,0,'Données projet'!$E$10+1,1))-AVERAGE(OFFSET($H$3,0,0,'Données projet'!$E$10+1,1))</f>
        <v>158.58786357608489</v>
      </c>
      <c r="AO62" s="59">
        <f t="shared" si="36"/>
        <v>163.20074068819849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10.8</v>
      </c>
      <c r="BD62" s="12">
        <f>IF('Données projet'!$A$88&gt;35,BD61+BC62-BL61,IF(A62&lt;'Données projet'!$A$88,$BA$205^A62,IF(A62='Données projet'!$A$88,'Données projet'!$B$88,BD61+BC62-BL61)))</f>
        <v>261.19999999999993</v>
      </c>
      <c r="BE62" s="13">
        <f>BD62*VLOOKUP('Données projet'!$B$11,Paramètres!$A$1:$I$89,3,0)*VLOOKUP('Données projet'!$B$11,Paramètres!$A$1:$I$89,5,0)</f>
        <v>224.10959999999997</v>
      </c>
      <c r="BF62" s="13">
        <f t="shared" si="37"/>
        <v>55.00712259326616</v>
      </c>
      <c r="BG62" s="20">
        <f t="shared" si="7"/>
        <v>486.12829184993842</v>
      </c>
      <c r="BH62" s="59">
        <f t="shared" si="8"/>
        <v>779.46162518327174</v>
      </c>
      <c r="BI62" s="59">
        <f ca="1">AVERAGE(OFFSET($BH$3,0,0,'Données projet'!$E$11+1,1))-AVERAGE(OFFSET($H$3,0,0,'Données projet'!$E$11+1,1))</f>
        <v>310.4018929413723</v>
      </c>
      <c r="BJ62" s="59">
        <f t="shared" si="38"/>
        <v>127.5231137583819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2.6346949322145541</v>
      </c>
      <c r="BR62" s="21">
        <f>EXP(-LN(2)/2)*BR61+(1-EXP(-LN(2)/2))/(LN(2)/2)*BL62*BO62*VLOOKUP('Données projet'!$B$11,Paramètres!$A$1:$I$89,3,0)*0.475*44/12</f>
        <v>3.8541744755606175E-4</v>
      </c>
      <c r="BS62" s="22">
        <f t="shared" si="9"/>
        <v>2.6350803496621102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14.270329670329668</v>
      </c>
      <c r="AI63" s="13">
        <f>IF('Données projet'!$A$62&gt;35,AI62+AH63-AQ62,IF(A63&lt;'Données projet'!$A$62,$AF$205^A63,IF(A63='Données projet'!$A$62,'Données projet'!$B$62,AI62+AH63-AQ62)))</f>
        <v>332.36593406593403</v>
      </c>
      <c r="AJ63" s="13">
        <f>AI63*VLOOKUP('Données projet'!$B$10,Paramètres!$A$1:$I$89,3,0)*VLOOKUP('Données projet'!$B$10,Paramètres!$A$1:$I$89,5,0)</f>
        <v>155.54725714285712</v>
      </c>
      <c r="AK63" s="13">
        <f t="shared" si="35"/>
        <v>39.836543030962723</v>
      </c>
      <c r="AL63" s="20">
        <f t="shared" si="4"/>
        <v>340.29345196940289</v>
      </c>
      <c r="AM63" s="59">
        <f t="shared" si="5"/>
        <v>633.62678530273615</v>
      </c>
      <c r="AN63" s="59">
        <f ca="1">AVERAGE(OFFSET($AM$3,0,0,'Données projet'!$E$10+1,1))-AVERAGE(OFFSET($H$3,0,0,'Données projet'!$E$10+1,1))</f>
        <v>158.58786357608489</v>
      </c>
      <c r="AO63" s="59">
        <f t="shared" si="36"/>
        <v>163.20074068819849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272</v>
      </c>
      <c r="BB63" s="12">
        <f>VLOOKUP(A63,'Données projet'!$A$87:$I$107,9,0)</f>
        <v>10.8</v>
      </c>
      <c r="BC63" s="12">
        <f t="array" ref="BC63">INDEX(BB:BB,MIN(IF(ISNUMBER(BB63:BB259),ROW(BB63:BB259),"")))</f>
        <v>10.8</v>
      </c>
      <c r="BD63" s="12">
        <f>IF('Données projet'!$A$88&gt;35,BD62+BC63-BL62,IF(A63&lt;'Données projet'!$A$88,$BA$205^A63,IF(A63='Données projet'!$A$88,'Données projet'!$B$88,BD62+BC63-BL62)))</f>
        <v>271.99999999999994</v>
      </c>
      <c r="BE63" s="13">
        <f>BD63*VLOOKUP('Données projet'!$B$11,Paramètres!$A$1:$I$89,3,0)*VLOOKUP('Données projet'!$B$11,Paramètres!$A$1:$I$89,5,0)</f>
        <v>233.376</v>
      </c>
      <c r="BF63" s="13">
        <f t="shared" si="37"/>
        <v>57.012031446990107</v>
      </c>
      <c r="BG63" s="20">
        <f t="shared" si="7"/>
        <v>505.75915477017446</v>
      </c>
      <c r="BH63" s="59">
        <f t="shared" si="8"/>
        <v>799.09248810350778</v>
      </c>
      <c r="BI63" s="59">
        <f ca="1">AVERAGE(OFFSET($BH$3,0,0,'Données projet'!$E$11+1,1))-AVERAGE(OFFSET($H$3,0,0,'Données projet'!$E$11+1,1))</f>
        <v>310.4018929413723</v>
      </c>
      <c r="BJ63" s="59">
        <f t="shared" si="38"/>
        <v>127.5231137583819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69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2.5626490607405623</v>
      </c>
      <c r="BR63" s="21">
        <f>EXP(-LN(2)/2)*BR62+(1-EXP(-LN(2)/2))/(LN(2)/2)*BL63*BO63*VLOOKUP('Données projet'!$B$11,Paramètres!$A$1:$I$89,3,0)*0.475*44/12</f>
        <v>2.7253129075450181E-4</v>
      </c>
      <c r="BS63" s="22">
        <f t="shared" si="9"/>
        <v>2.5629215920313166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14.270329670329668</v>
      </c>
      <c r="AI64" s="13">
        <f>IF('Données projet'!$A$62&gt;35,AI63+AH64-AQ63,IF(A64&lt;'Données projet'!$A$62,$AF$205^A64,IF(A64='Données projet'!$A$62,'Données projet'!$B$62,AI63+AH64-AQ63)))</f>
        <v>346.63626373626369</v>
      </c>
      <c r="AJ64" s="13">
        <f>AI64*VLOOKUP('Données projet'!$B$10,Paramètres!$A$1:$I$89,3,0)*VLOOKUP('Données projet'!$B$10,Paramètres!$A$1:$I$89,5,0)</f>
        <v>162.22577142857142</v>
      </c>
      <c r="AK64" s="13">
        <f t="shared" si="35"/>
        <v>41.344139999178246</v>
      </c>
      <c r="AL64" s="20">
        <f t="shared" si="4"/>
        <v>354.55092906999738</v>
      </c>
      <c r="AM64" s="59">
        <f t="shared" si="5"/>
        <v>647.88426240333069</v>
      </c>
      <c r="AN64" s="59">
        <f ca="1">AVERAGE(OFFSET($AM$3,0,0,'Données projet'!$E$10+1,1))-AVERAGE(OFFSET($H$3,0,0,'Données projet'!$E$10+1,1))</f>
        <v>158.58786357608489</v>
      </c>
      <c r="AO64" s="59">
        <f t="shared" si="36"/>
        <v>163.20074068819849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10.7</v>
      </c>
      <c r="BD64" s="12">
        <f>IF('Données projet'!$A$88&gt;35,BD63+BC64-BL63,IF(A64&lt;'Données projet'!$A$88,$BA$205^A64,IF(A64='Données projet'!$A$88,'Données projet'!$B$88,BD63+BC64-BL63)))</f>
        <v>213.69999999999993</v>
      </c>
      <c r="BE64" s="13">
        <f>BD64*VLOOKUP('Données projet'!$B$11,Paramètres!$A$1:$I$89,3,0)*VLOOKUP('Données projet'!$B$11,Paramètres!$A$1:$I$89,5,0)</f>
        <v>183.35459999999995</v>
      </c>
      <c r="BF64" s="13">
        <f t="shared" si="37"/>
        <v>46.067718904183039</v>
      </c>
      <c r="BG64" s="20">
        <f t="shared" si="7"/>
        <v>399.57720542478529</v>
      </c>
      <c r="BH64" s="59">
        <f t="shared" si="8"/>
        <v>692.91053875811861</v>
      </c>
      <c r="BI64" s="59">
        <f ca="1">AVERAGE(OFFSET($BH$3,0,0,'Données projet'!$E$11+1,1))-AVERAGE(OFFSET($H$3,0,0,'Données projet'!$E$11+1,1))</f>
        <v>310.4018929413723</v>
      </c>
      <c r="BJ64" s="59">
        <f t="shared" si="38"/>
        <v>127.5231137583819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2.4925732874107545</v>
      </c>
      <c r="BR64" s="21">
        <f>EXP(-LN(2)/2)*BR63+(1-EXP(-LN(2)/2))/(LN(2)/2)*BL64*BO64*VLOOKUP('Données projet'!$B$11,Paramètres!$A$1:$I$89,3,0)*0.475*44/12</f>
        <v>1.9270872377803088E-4</v>
      </c>
      <c r="BS64" s="22">
        <f t="shared" si="9"/>
        <v>2.4927659961345325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14.270329670329668</v>
      </c>
      <c r="AI65" s="13">
        <f>IF('Données projet'!$A$62&gt;35,AI64+AH65-AQ64,IF(A65&lt;'Données projet'!$A$62,$AF$205^A65,IF(A65='Données projet'!$A$62,'Données projet'!$B$62,AI64+AH65-AQ64)))</f>
        <v>360.90659340659334</v>
      </c>
      <c r="AJ65" s="13">
        <f>AI65*VLOOKUP('Données projet'!$B$10,Paramètres!$A$1:$I$89,3,0)*VLOOKUP('Données projet'!$B$10,Paramètres!$A$1:$I$89,5,0)</f>
        <v>168.90428571428566</v>
      </c>
      <c r="AK65" s="13">
        <f t="shared" si="35"/>
        <v>42.844527757373569</v>
      </c>
      <c r="AL65" s="20">
        <f t="shared" si="4"/>
        <v>368.79585012980647</v>
      </c>
      <c r="AM65" s="59">
        <f t="shared" si="5"/>
        <v>662.12918346313973</v>
      </c>
      <c r="AN65" s="59">
        <f ca="1">AVERAGE(OFFSET($AM$3,0,0,'Données projet'!$E$10+1,1))-AVERAGE(OFFSET($H$3,0,0,'Données projet'!$E$10+1,1))</f>
        <v>158.58786357608489</v>
      </c>
      <c r="AO65" s="59">
        <f t="shared" si="36"/>
        <v>163.20074068819849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10.7</v>
      </c>
      <c r="BD65" s="12">
        <f>IF('Données projet'!$A$88&gt;35,BD64+BC65-BL64,IF(A65&lt;'Données projet'!$A$88,$BA$205^A65,IF(A65='Données projet'!$A$88,'Données projet'!$B$88,BD64+BC65-BL64)))</f>
        <v>224.39999999999992</v>
      </c>
      <c r="BE65" s="13">
        <f>BD65*VLOOKUP('Données projet'!$B$11,Paramètres!$A$1:$I$89,3,0)*VLOOKUP('Données projet'!$B$11,Paramètres!$A$1:$I$89,5,0)</f>
        <v>192.53519999999997</v>
      </c>
      <c r="BF65" s="13">
        <f t="shared" si="37"/>
        <v>48.100016456123079</v>
      </c>
      <c r="BG65" s="20">
        <f t="shared" si="7"/>
        <v>419.10633532774767</v>
      </c>
      <c r="BH65" s="59">
        <f t="shared" si="8"/>
        <v>712.43966866108099</v>
      </c>
      <c r="BI65" s="59">
        <f ca="1">AVERAGE(OFFSET($BH$3,0,0,'Données projet'!$E$11+1,1))-AVERAGE(OFFSET($H$3,0,0,'Données projet'!$E$11+1,1))</f>
        <v>310.4018929413723</v>
      </c>
      <c r="BJ65" s="59">
        <f t="shared" si="38"/>
        <v>127.5231137583819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2.424413739787775</v>
      </c>
      <c r="BR65" s="21">
        <f>EXP(-LN(2)/2)*BR64+(1-EXP(-LN(2)/2))/(LN(2)/2)*BL65*BO65*VLOOKUP('Données projet'!$B$11,Paramètres!$A$1:$I$89,3,0)*0.475*44/12</f>
        <v>1.3626564537725091E-4</v>
      </c>
      <c r="BS65" s="22">
        <f t="shared" si="9"/>
        <v>2.4245500054331521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14.270329670329668</v>
      </c>
      <c r="AH66" s="12">
        <f t="array" ref="AH66">INDEX(AG:AG,MIN(IF(ISNUMBER(AG66:AG262),ROW(AG66:AG262),"")))</f>
        <v>14.270329670329668</v>
      </c>
      <c r="AI66" s="13">
        <f>IF('Données projet'!$A$62&gt;35,AI65+AH66-AQ65,IF(A66&lt;'Données projet'!$A$62,$AF$205^A66,IF(A66='Données projet'!$A$62,'Données projet'!$B$62,AI65+AH66-AQ65)))</f>
        <v>375.176923076923</v>
      </c>
      <c r="AJ66" s="13">
        <f>AI66*VLOOKUP('Données projet'!$B$10,Paramètres!$A$1:$I$89,3,0)*VLOOKUP('Données projet'!$B$10,Paramètres!$A$1:$I$89,5,0)</f>
        <v>175.58279999999996</v>
      </c>
      <c r="AK66" s="13">
        <f t="shared" si="35"/>
        <v>44.338023977070598</v>
      </c>
      <c r="AL66" s="20">
        <f t="shared" si="4"/>
        <v>383.02876842673123</v>
      </c>
      <c r="AM66" s="59">
        <f t="shared" si="5"/>
        <v>676.36210176006455</v>
      </c>
      <c r="AN66" s="59">
        <f ca="1">AVERAGE(OFFSET($AM$3,0,0,'Données projet'!$E$10+1,1))-AVERAGE(OFFSET($H$3,0,0,'Données projet'!$E$10+1,1))</f>
        <v>158.58786357608489</v>
      </c>
      <c r="AO66" s="59">
        <f t="shared" si="36"/>
        <v>163.20074068819849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10.7</v>
      </c>
      <c r="BD66" s="12">
        <f>IF('Données projet'!$A$88&gt;35,BD65+BC66-BL65,IF(A66&lt;'Données projet'!$A$88,$BA$205^A66,IF(A66='Données projet'!$A$88,'Données projet'!$B$88,BD65+BC66-BL65)))</f>
        <v>235.09999999999991</v>
      </c>
      <c r="BE66" s="13">
        <f>BD66*VLOOKUP('Données projet'!$B$11,Paramètres!$A$1:$I$89,3,0)*VLOOKUP('Données projet'!$B$11,Paramètres!$A$1:$I$89,5,0)</f>
        <v>201.71579999999992</v>
      </c>
      <c r="BF66" s="13">
        <f t="shared" si="37"/>
        <v>50.121060955977455</v>
      </c>
      <c r="BG66" s="20">
        <f t="shared" si="7"/>
        <v>438.61586616499397</v>
      </c>
      <c r="BH66" s="59">
        <f t="shared" si="8"/>
        <v>731.94919949832729</v>
      </c>
      <c r="BI66" s="59">
        <f ca="1">AVERAGE(OFFSET($BH$3,0,0,'Données projet'!$E$11+1,1))-AVERAGE(OFFSET($H$3,0,0,'Données projet'!$E$11+1,1))</f>
        <v>310.4018929413723</v>
      </c>
      <c r="BJ66" s="59">
        <f t="shared" si="38"/>
        <v>127.5231137583819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2.3581180185789008</v>
      </c>
      <c r="BR66" s="21">
        <f>EXP(-LN(2)/2)*BR65+(1-EXP(-LN(2)/2))/(LN(2)/2)*BL66*BO66*VLOOKUP('Données projet'!$B$11,Paramètres!$A$1:$I$89,3,0)*0.475*44/12</f>
        <v>9.6354361889015438E-5</v>
      </c>
      <c r="BS66" s="22">
        <f t="shared" si="9"/>
        <v>2.3582143729407896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13.737499999999997</v>
      </c>
      <c r="AI67" s="13">
        <f>IF('Données projet'!$A$62&gt;35,AI66+AH67-AQ66,IF(A67&lt;'Données projet'!$A$62,$AF$205^A67,IF(A67='Données projet'!$A$62,'Données projet'!$B$62,AI66+AH67-AQ66)))</f>
        <v>317.79134615384612</v>
      </c>
      <c r="AJ67" s="13">
        <f>AI67*VLOOKUP('Données projet'!$B$10,Paramètres!$A$1:$I$89,3,0)*VLOOKUP('Données projet'!$B$10,Paramètres!$A$1:$I$89,5,0)</f>
        <v>148.72635</v>
      </c>
      <c r="AK67" s="13">
        <f t="shared" si="35"/>
        <v>38.289000598915827</v>
      </c>
      <c r="AL67" s="20">
        <f t="shared" si="4"/>
        <v>325.71840229311169</v>
      </c>
      <c r="AM67" s="59">
        <f t="shared" si="5"/>
        <v>619.05173562644495</v>
      </c>
      <c r="AN67" s="59">
        <f ca="1">AVERAGE(OFFSET($AM$3,0,0,'Données projet'!$E$10+1,1))-AVERAGE(OFFSET($H$3,0,0,'Données projet'!$E$10+1,1))</f>
        <v>158.58786357608489</v>
      </c>
      <c r="AO67" s="59">
        <f t="shared" si="36"/>
        <v>163.20074068819849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10.7</v>
      </c>
      <c r="BD67" s="12">
        <f>IF('Données projet'!$A$88&gt;35,BD66+BC67-BL66,IF(A67&lt;'Données projet'!$A$88,$BA$205^A67,IF(A67='Données projet'!$A$88,'Données projet'!$B$88,BD66+BC67-BL66)))</f>
        <v>245.7999999999999</v>
      </c>
      <c r="BE67" s="13">
        <f>BD67*VLOOKUP('Données projet'!$B$11,Paramètres!$A$1:$I$89,3,0)*VLOOKUP('Données projet'!$B$11,Paramètres!$A$1:$I$89,5,0)</f>
        <v>210.89639999999991</v>
      </c>
      <c r="BF67" s="13">
        <f t="shared" si="37"/>
        <v>52.131423064408864</v>
      </c>
      <c r="BG67" s="20">
        <f t="shared" si="7"/>
        <v>458.1067918371786</v>
      </c>
      <c r="BH67" s="59">
        <f t="shared" si="8"/>
        <v>751.44012517051192</v>
      </c>
      <c r="BI67" s="59">
        <f ca="1">AVERAGE(OFFSET($BH$3,0,0,'Données projet'!$E$11+1,1))-AVERAGE(OFFSET($H$3,0,0,'Données projet'!$E$11+1,1))</f>
        <v>310.4018929413723</v>
      </c>
      <c r="BJ67" s="59">
        <f t="shared" si="38"/>
        <v>127.5231137583819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2.2936351573528238</v>
      </c>
      <c r="BR67" s="21">
        <f>EXP(-LN(2)/2)*BR66+(1-EXP(-LN(2)/2))/(LN(2)/2)*BL67*BO67*VLOOKUP('Données projet'!$B$11,Paramètres!$A$1:$I$89,3,0)*0.475*44/12</f>
        <v>6.8132822688625453E-5</v>
      </c>
      <c r="BS67" s="22">
        <f t="shared" si="9"/>
        <v>2.2937032901755123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13.737499999999997</v>
      </c>
      <c r="AI68" s="13">
        <f>IF('Données projet'!$A$62&gt;35,AI67+AH68-AQ67,IF(A68&lt;'Données projet'!$A$62,$AF$205^A68,IF(A68='Données projet'!$A$62,'Données projet'!$B$62,AI67+AH68-AQ67)))</f>
        <v>331.52884615384613</v>
      </c>
      <c r="AJ68" s="13">
        <f>AI68*VLOOKUP('Données projet'!$B$10,Paramètres!$A$1:$I$89,3,0)*VLOOKUP('Données projet'!$B$10,Paramètres!$A$1:$I$89,5,0)</f>
        <v>155.15549999999999</v>
      </c>
      <c r="AK68" s="13">
        <f t="shared" si="35"/>
        <v>39.74787733410745</v>
      </c>
      <c r="AL68" s="20">
        <f t="shared" ref="AL68:AL131" si="58">(AJ68+AK68)*0.475*44/12</f>
        <v>339.45671552357044</v>
      </c>
      <c r="AM68" s="59">
        <f t="shared" ref="AM68:AM131" si="59">AL68+(AD68+AE68)*44/12</f>
        <v>632.7900488569037</v>
      </c>
      <c r="AN68" s="59">
        <f ca="1">AVERAGE(OFFSET($AM$3,0,0,'Données projet'!$E$10+1,1))-AVERAGE(OFFSET($H$3,0,0,'Données projet'!$E$10+1,1))</f>
        <v>158.58786357608489</v>
      </c>
      <c r="AO68" s="59">
        <f t="shared" si="36"/>
        <v>163.20074068819849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10.7</v>
      </c>
      <c r="BD68" s="12">
        <f>IF('Données projet'!$A$88&gt;35,BD67+BC68-BL67,IF(A68&lt;'Données projet'!$A$88,$BA$205^A68,IF(A68='Données projet'!$A$88,'Données projet'!$B$88,BD67+BC68-BL67)))</f>
        <v>256.49999999999989</v>
      </c>
      <c r="BE68" s="13">
        <f>BD68*VLOOKUP('Données projet'!$B$11,Paramètres!$A$1:$I$89,3,0)*VLOOKUP('Données projet'!$B$11,Paramètres!$A$1:$I$89,5,0)</f>
        <v>220.07699999999994</v>
      </c>
      <c r="BF68" s="13">
        <f t="shared" si="37"/>
        <v>54.131620949294785</v>
      </c>
      <c r="BG68" s="20">
        <f t="shared" ref="BG68:BG131" si="61">(BE68+BF68)*0.475*44/12</f>
        <v>477.58001482002169</v>
      </c>
      <c r="BH68" s="59">
        <f t="shared" ref="BH68:BH131" si="62">BG68+(AY68+AZ68)*44/12</f>
        <v>770.91334815335495</v>
      </c>
      <c r="BI68" s="59">
        <f ca="1">AVERAGE(OFFSET($BH$3,0,0,'Données projet'!$E$11+1,1))-AVERAGE(OFFSET($H$3,0,0,'Données projet'!$E$11+1,1))</f>
        <v>310.4018929413723</v>
      </c>
      <c r="BJ68" s="59">
        <f t="shared" si="38"/>
        <v>127.5231137583819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2.2309155833579801</v>
      </c>
      <c r="BR68" s="21">
        <f>EXP(-LN(2)/2)*BR67+(1-EXP(-LN(2)/2))/(LN(2)/2)*BL68*BO68*VLOOKUP('Données projet'!$B$11,Paramètres!$A$1:$I$89,3,0)*0.475*44/12</f>
        <v>4.8177180944507719E-5</v>
      </c>
      <c r="BS68" s="22">
        <f t="shared" ref="BS68:BS131" si="63">SUM(BP68:BR68)</f>
        <v>2.2309637605389248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13.737499999999997</v>
      </c>
      <c r="AI69" s="13">
        <f>IF('Données projet'!$A$62&gt;35,AI68+AH69-AQ68,IF(A69&lt;'Données projet'!$A$62,$AF$205^A69,IF(A69='Données projet'!$A$62,'Données projet'!$B$62,AI68+AH69-AQ68)))</f>
        <v>345.26634615384614</v>
      </c>
      <c r="AJ69" s="13">
        <f>AI69*VLOOKUP('Données projet'!$B$10,Paramètres!$A$1:$I$89,3,0)*VLOOKUP('Données projet'!$B$10,Paramètres!$A$1:$I$89,5,0)</f>
        <v>161.58464999999998</v>
      </c>
      <c r="AK69" s="13">
        <f t="shared" ref="AK69:AK132" si="89">EXP(-1.0587+0.8836*LN(AJ69)+0.284)</f>
        <v>41.199732368807574</v>
      </c>
      <c r="AL69" s="20">
        <f t="shared" si="58"/>
        <v>353.18279929233978</v>
      </c>
      <c r="AM69" s="59">
        <f t="shared" si="59"/>
        <v>646.51613262567309</v>
      </c>
      <c r="AN69" s="59">
        <f ca="1">AVERAGE(OFFSET($AM$3,0,0,'Données projet'!$E$10+1,1))-AVERAGE(OFFSET($H$3,0,0,'Données projet'!$E$10+1,1))</f>
        <v>158.58786357608489</v>
      </c>
      <c r="AO69" s="59">
        <f t="shared" ref="AO69:AO132" si="90">$AO$3</f>
        <v>163.20074068819849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10.7</v>
      </c>
      <c r="BD69" s="12">
        <f>IF('Données projet'!$A$88&gt;35,BD68+BC69-BL68,IF(A69&lt;'Données projet'!$A$88,$BA$205^A69,IF(A69='Données projet'!$A$88,'Données projet'!$B$88,BD68+BC69-BL68)))</f>
        <v>267.19999999999987</v>
      </c>
      <c r="BE69" s="13">
        <f>BD69*VLOOKUP('Données projet'!$B$11,Paramètres!$A$1:$I$89,3,0)*VLOOKUP('Données projet'!$B$11,Paramètres!$A$1:$I$89,5,0)</f>
        <v>229.25759999999994</v>
      </c>
      <c r="BF69" s="13">
        <f t="shared" ref="BF69:BF132" si="91">EXP(-1.0587+0.8836*LN(BE69)+0.284)</f>
        <v>56.122127101541757</v>
      </c>
      <c r="BG69" s="20">
        <f t="shared" si="61"/>
        <v>497.036358035185</v>
      </c>
      <c r="BH69" s="59">
        <f t="shared" si="62"/>
        <v>790.36969136851826</v>
      </c>
      <c r="BI69" s="59">
        <f ca="1">AVERAGE(OFFSET($BH$3,0,0,'Données projet'!$E$11+1,1))-AVERAGE(OFFSET($H$3,0,0,'Données projet'!$E$11+1,1))</f>
        <v>310.4018929413723</v>
      </c>
      <c r="BJ69" s="59">
        <f t="shared" ref="BJ69:BJ132" si="92">$BJ$3</f>
        <v>127.5231137583819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2.1699110794123047</v>
      </c>
      <c r="BR69" s="21">
        <f>EXP(-LN(2)/2)*BR68+(1-EXP(-LN(2)/2))/(LN(2)/2)*BL69*BO69*VLOOKUP('Données projet'!$B$11,Paramètres!$A$1:$I$89,3,0)*0.475*44/12</f>
        <v>3.4066411344312726E-5</v>
      </c>
      <c r="BS69" s="22">
        <f t="shared" si="63"/>
        <v>2.1699451458236489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13.737499999999997</v>
      </c>
      <c r="AI70" s="13">
        <f>IF('Données projet'!$A$62&gt;35,AI69+AH70-AQ69,IF(A70&lt;'Données projet'!$A$62,$AF$205^A70,IF(A70='Données projet'!$A$62,'Données projet'!$B$62,AI69+AH70-AQ69)))</f>
        <v>359.00384615384615</v>
      </c>
      <c r="AJ70" s="13">
        <f>AI70*VLOOKUP('Données projet'!$B$10,Paramètres!$A$1:$I$89,3,0)*VLOOKUP('Données projet'!$B$10,Paramètres!$A$1:$I$89,5,0)</f>
        <v>168.0138</v>
      </c>
      <c r="AK70" s="13">
        <f t="shared" si="89"/>
        <v>42.644877049412187</v>
      </c>
      <c r="AL70" s="20">
        <f t="shared" si="58"/>
        <v>366.89719586105952</v>
      </c>
      <c r="AM70" s="59">
        <f t="shared" si="59"/>
        <v>660.23052919439283</v>
      </c>
      <c r="AN70" s="59">
        <f ca="1">AVERAGE(OFFSET($AM$3,0,0,'Données projet'!$E$10+1,1))-AVERAGE(OFFSET($H$3,0,0,'Données projet'!$E$10+1,1))</f>
        <v>158.58786357608489</v>
      </c>
      <c r="AO70" s="59">
        <f t="shared" si="90"/>
        <v>163.20074068819849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10.7</v>
      </c>
      <c r="BD70" s="12">
        <f>IF('Données projet'!$A$88&gt;35,BD69+BC70-BL69,IF(A70&lt;'Données projet'!$A$88,$BA$205^A70,IF(A70='Données projet'!$A$88,'Données projet'!$B$88,BD69+BC70-BL69)))</f>
        <v>277.89999999999986</v>
      </c>
      <c r="BE70" s="13">
        <f>BD70*VLOOKUP('Données projet'!$B$11,Paramètres!$A$1:$I$89,3,0)*VLOOKUP('Données projet'!$B$11,Paramètres!$A$1:$I$89,5,0)</f>
        <v>238.43819999999991</v>
      </c>
      <c r="BF70" s="13">
        <f t="shared" si="91"/>
        <v>58.103374028412105</v>
      </c>
      <c r="BG70" s="20">
        <f t="shared" si="61"/>
        <v>516.47657476615097</v>
      </c>
      <c r="BH70" s="59">
        <f t="shared" si="62"/>
        <v>809.80990809948435</v>
      </c>
      <c r="BI70" s="59">
        <f ca="1">AVERAGE(OFFSET($BH$3,0,0,'Données projet'!$E$11+1,1))-AVERAGE(OFFSET($H$3,0,0,'Données projet'!$E$11+1,1))</f>
        <v>310.4018929413723</v>
      </c>
      <c r="BJ70" s="59">
        <f t="shared" si="92"/>
        <v>127.5231137583819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2.1105747468351108</v>
      </c>
      <c r="BR70" s="21">
        <f>EXP(-LN(2)/2)*BR69+(1-EXP(-LN(2)/2))/(LN(2)/2)*BL70*BO70*VLOOKUP('Données projet'!$B$11,Paramètres!$A$1:$I$89,3,0)*0.475*44/12</f>
        <v>2.4088590472253859E-5</v>
      </c>
      <c r="BS70" s="22">
        <f t="shared" si="63"/>
        <v>2.1105988354255829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13.737499999999997</v>
      </c>
      <c r="AI71" s="13">
        <f>IF('Données projet'!$A$62&gt;35,AI70+AH71-AQ70,IF(A71&lt;'Données projet'!$A$62,$AF$205^A71,IF(A71='Données projet'!$A$62,'Données projet'!$B$62,AI70+AH71-AQ70)))</f>
        <v>372.74134615384617</v>
      </c>
      <c r="AJ71" s="13">
        <f>AI71*VLOOKUP('Données projet'!$B$10,Paramètres!$A$1:$I$89,3,0)*VLOOKUP('Données projet'!$B$10,Paramètres!$A$1:$I$89,5,0)</f>
        <v>174.44295000000002</v>
      </c>
      <c r="AK71" s="13">
        <f t="shared" si="89"/>
        <v>44.083597545116064</v>
      </c>
      <c r="AL71" s="20">
        <f t="shared" si="58"/>
        <v>380.60040364107721</v>
      </c>
      <c r="AM71" s="59">
        <f t="shared" si="59"/>
        <v>673.93373697441052</v>
      </c>
      <c r="AN71" s="59">
        <f ca="1">AVERAGE(OFFSET($AM$3,0,0,'Données projet'!$E$10+1,1))-AVERAGE(OFFSET($H$3,0,0,'Données projet'!$E$10+1,1))</f>
        <v>158.58786357608489</v>
      </c>
      <c r="AO71" s="59">
        <f t="shared" si="90"/>
        <v>163.20074068819849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10.7</v>
      </c>
      <c r="BD71" s="12">
        <f>IF('Données projet'!$A$88&gt;35,BD70+BC71-BL70,IF(A71&lt;'Données projet'!$A$88,$BA$205^A71,IF(A71='Données projet'!$A$88,'Données projet'!$B$88,BD70+BC71-BL70)))</f>
        <v>288.59999999999985</v>
      </c>
      <c r="BE71" s="13">
        <f>BD71*VLOOKUP('Données projet'!$B$11,Paramètres!$A$1:$I$89,3,0)*VLOOKUP('Données projet'!$B$11,Paramètres!$A$1:$I$89,5,0)</f>
        <v>247.61879999999991</v>
      </c>
      <c r="BF71" s="13">
        <f t="shared" si="91"/>
        <v>60.075759045345485</v>
      </c>
      <c r="BG71" s="20">
        <f t="shared" si="61"/>
        <v>535.90135700397661</v>
      </c>
      <c r="BH71" s="59">
        <f t="shared" si="62"/>
        <v>829.23469033730998</v>
      </c>
      <c r="BI71" s="59">
        <f ca="1">AVERAGE(OFFSET($BH$3,0,0,'Données projet'!$E$11+1,1))-AVERAGE(OFFSET($H$3,0,0,'Données projet'!$E$11+1,1))</f>
        <v>310.4018929413723</v>
      </c>
      <c r="BJ71" s="59">
        <f t="shared" si="92"/>
        <v>127.5231137583819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2.0528609693926025</v>
      </c>
      <c r="BR71" s="21">
        <f>EXP(-LN(2)/2)*BR70+(1-EXP(-LN(2)/2))/(LN(2)/2)*BL71*BO71*VLOOKUP('Données projet'!$B$11,Paramètres!$A$1:$I$89,3,0)*0.475*44/12</f>
        <v>1.7033205672156363E-5</v>
      </c>
      <c r="BS71" s="22">
        <f t="shared" si="63"/>
        <v>2.0528780025982747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13.737499999999997</v>
      </c>
      <c r="AI72" s="13">
        <f>IF('Données projet'!$A$62&gt;35,AI71+AH72-AQ71,IF(A72&lt;'Données projet'!$A$62,$AF$205^A72,IF(A72='Données projet'!$A$62,'Données projet'!$B$62,AI71+AH72-AQ71)))</f>
        <v>386.47884615384618</v>
      </c>
      <c r="AJ72" s="13">
        <f>AI72*VLOOKUP('Données projet'!$B$10,Paramètres!$A$1:$I$89,3,0)*VLOOKUP('Données projet'!$B$10,Paramètres!$A$1:$I$89,5,0)</f>
        <v>180.87209999999999</v>
      </c>
      <c r="AK72" s="13">
        <f t="shared" si="89"/>
        <v>45.516157736157588</v>
      </c>
      <c r="AL72" s="20">
        <f t="shared" si="58"/>
        <v>394.29288222380774</v>
      </c>
      <c r="AM72" s="59">
        <f t="shared" si="59"/>
        <v>687.62621555714099</v>
      </c>
      <c r="AN72" s="59">
        <f ca="1">AVERAGE(OFFSET($AM$3,0,0,'Données projet'!$E$10+1,1))-AVERAGE(OFFSET($H$3,0,0,'Données projet'!$E$10+1,1))</f>
        <v>158.58786357608489</v>
      </c>
      <c r="AO72" s="59">
        <f t="shared" si="90"/>
        <v>163.20074068819849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10.7</v>
      </c>
      <c r="BD72" s="12">
        <f>IF('Données projet'!$A$88&gt;35,BD71+BC72-BL71,IF(A72&lt;'Données projet'!$A$88,$BA$205^A72,IF(A72='Données projet'!$A$88,'Données projet'!$B$88,BD71+BC72-BL71)))</f>
        <v>299.29999999999984</v>
      </c>
      <c r="BE72" s="13">
        <f>BD72*VLOOKUP('Données projet'!$B$11,Paramètres!$A$1:$I$89,3,0)*VLOOKUP('Données projet'!$B$11,Paramètres!$A$1:$I$89,5,0)</f>
        <v>256.79939999999988</v>
      </c>
      <c r="BF72" s="13">
        <f t="shared" si="91"/>
        <v>62.039648337165382</v>
      </c>
      <c r="BG72" s="20">
        <f t="shared" si="61"/>
        <v>555.31134252056279</v>
      </c>
      <c r="BH72" s="59">
        <f t="shared" si="62"/>
        <v>848.64467585389616</v>
      </c>
      <c r="BI72" s="59">
        <f ca="1">AVERAGE(OFFSET($BH$3,0,0,'Données projet'!$E$11+1,1))-AVERAGE(OFFSET($H$3,0,0,'Données projet'!$E$11+1,1))</f>
        <v>310.4018929413723</v>
      </c>
      <c r="BJ72" s="59">
        <f t="shared" si="92"/>
        <v>127.5231137583819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1.9967253782292953</v>
      </c>
      <c r="BR72" s="21">
        <f>EXP(-LN(2)/2)*BR71+(1-EXP(-LN(2)/2))/(LN(2)/2)*BL72*BO72*VLOOKUP('Données projet'!$B$11,Paramètres!$A$1:$I$89,3,0)*0.475*44/12</f>
        <v>1.204429523612693E-5</v>
      </c>
      <c r="BS72" s="22">
        <f t="shared" si="63"/>
        <v>1.9967374225245313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13.737499999999997</v>
      </c>
      <c r="AI73" s="13">
        <f>IF('Données projet'!$A$62&gt;35,AI72+AH73-AQ72,IF(A73&lt;'Données projet'!$A$62,$AF$205^A73,IF(A73='Données projet'!$A$62,'Données projet'!$B$62,AI72+AH73-AQ72)))</f>
        <v>400.21634615384619</v>
      </c>
      <c r="AJ73" s="13">
        <f>AI73*VLOOKUP('Données projet'!$B$10,Paramètres!$A$1:$I$89,3,0)*VLOOKUP('Données projet'!$B$10,Paramètres!$A$1:$I$89,5,0)</f>
        <v>187.30125000000001</v>
      </c>
      <c r="AK73" s="13">
        <f t="shared" si="89"/>
        <v>46.942801679870392</v>
      </c>
      <c r="AL73" s="20">
        <f t="shared" si="58"/>
        <v>407.97505667577428</v>
      </c>
      <c r="AM73" s="59">
        <f t="shared" si="59"/>
        <v>701.3083900091076</v>
      </c>
      <c r="AN73" s="59">
        <f ca="1">AVERAGE(OFFSET($AM$3,0,0,'Données projet'!$E$10+1,1))-AVERAGE(OFFSET($H$3,0,0,'Données projet'!$E$10+1,1))</f>
        <v>158.58786357608489</v>
      </c>
      <c r="AO73" s="59">
        <f t="shared" si="90"/>
        <v>163.20074068819849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310</v>
      </c>
      <c r="BB73" s="12">
        <f>VLOOKUP(A73,'Données projet'!$A$87:$I$107,9,0)</f>
        <v>10.7</v>
      </c>
      <c r="BC73" s="12">
        <f t="array" ref="BC73">INDEX(BB:BB,MIN(IF(ISNUMBER(BB73:BB269),ROW(BB73:BB269),"")))</f>
        <v>10.7</v>
      </c>
      <c r="BD73" s="12">
        <f>IF('Données projet'!$A$88&gt;35,BD72+BC73-BL72,IF(A73&lt;'Données projet'!$A$88,$BA$205^A73,IF(A73='Données projet'!$A$88,'Données projet'!$B$88,BD72+BC73-BL72)))</f>
        <v>309.99999999999983</v>
      </c>
      <c r="BE73" s="13">
        <f>BD73*VLOOKUP('Données projet'!$B$11,Paramètres!$A$1:$I$89,3,0)*VLOOKUP('Données projet'!$B$11,Paramètres!$A$1:$I$89,5,0)</f>
        <v>265.9799999999999</v>
      </c>
      <c r="BF73" s="13">
        <f t="shared" si="91"/>
        <v>63.995380422211589</v>
      </c>
      <c r="BG73" s="20">
        <f t="shared" si="61"/>
        <v>574.70712090201835</v>
      </c>
      <c r="BH73" s="59">
        <f t="shared" si="62"/>
        <v>868.04045423535172</v>
      </c>
      <c r="BI73" s="59">
        <f ca="1">AVERAGE(OFFSET($BH$3,0,0,'Données projet'!$E$11+1,1))-AVERAGE(OFFSET($H$3,0,0,'Données projet'!$E$11+1,1))</f>
        <v>310.4018929413723</v>
      </c>
      <c r="BJ73" s="59">
        <f t="shared" si="92"/>
        <v>127.5231137583819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72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1.9421248177583912</v>
      </c>
      <c r="BR73" s="21">
        <f>EXP(-LN(2)/2)*BR72+(1-EXP(-LN(2)/2))/(LN(2)/2)*BL73*BO73*VLOOKUP('Données projet'!$B$11,Paramètres!$A$1:$I$89,3,0)*0.475*44/12</f>
        <v>8.5166028360781816E-6</v>
      </c>
      <c r="BS73" s="22">
        <f t="shared" si="63"/>
        <v>1.9421333343612273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13.737499999999997</v>
      </c>
      <c r="AH74" s="12">
        <f t="array" ref="AH74">INDEX(AG:AG,MIN(IF(ISNUMBER(AG74:AG270),ROW(AG74:AG270),"")))</f>
        <v>13.737499999999997</v>
      </c>
      <c r="AI74" s="13">
        <f>IF('Données projet'!$A$62&gt;35,AI73+AH74-AQ73,IF(A74&lt;'Données projet'!$A$62,$AF$205^A74,IF(A74='Données projet'!$A$62,'Données projet'!$B$62,AI73+AH74-AQ73)))</f>
        <v>413.9538461538462</v>
      </c>
      <c r="AJ74" s="13">
        <f>AI74*VLOOKUP('Données projet'!$B$10,Paramètres!$A$1:$I$89,3,0)*VLOOKUP('Données projet'!$B$10,Paramètres!$A$1:$I$89,5,0)</f>
        <v>193.73040000000003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714.98065456070026</v>
      </c>
      <c r="AN74" s="59">
        <f ca="1">AVERAGE(OFFSET($AM$3,0,0,'Données projet'!$E$10+1,1))-AVERAGE(OFFSET($H$3,0,0,'Données projet'!$E$10+1,1))</f>
        <v>158.58786357608489</v>
      </c>
      <c r="AO74" s="59">
        <f t="shared" si="90"/>
        <v>163.20074068819849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10.1</v>
      </c>
      <c r="BD74" s="12">
        <f>IF('Données projet'!$A$88&gt;35,BD73+BC74-BL73,IF(A74&lt;'Données projet'!$A$88,$BA$205^A74,IF(A74='Données projet'!$A$88,'Données projet'!$B$88,BD73+BC74-BL73)))</f>
        <v>248.09999999999985</v>
      </c>
      <c r="BE74" s="13">
        <f>BD74*VLOOKUP('Données projet'!$B$11,Paramètres!$A$1:$I$89,3,0)*VLOOKUP('Données projet'!$B$11,Paramètres!$A$1:$I$89,5,0)</f>
        <v>212.86979999999988</v>
      </c>
      <c r="BF74" s="13">
        <f t="shared" si="91"/>
        <v>52.562212940483391</v>
      </c>
      <c r="BG74" s="20">
        <f t="shared" si="61"/>
        <v>462.294089204675</v>
      </c>
      <c r="BH74" s="59">
        <f t="shared" si="62"/>
        <v>755.62742253800832</v>
      </c>
      <c r="BI74" s="59">
        <f ca="1">AVERAGE(OFFSET($BH$3,0,0,'Données projet'!$E$11+1,1))-AVERAGE(OFFSET($H$3,0,0,'Données projet'!$E$11+1,1))</f>
        <v>310.4018929413723</v>
      </c>
      <c r="BJ74" s="59">
        <f t="shared" si="92"/>
        <v>127.5231137583819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1.8890173124848826</v>
      </c>
      <c r="BR74" s="21">
        <f>EXP(-LN(2)/2)*BR73+(1-EXP(-LN(2)/2))/(LN(2)/2)*BL74*BO74*VLOOKUP('Données projet'!$B$11,Paramètres!$A$1:$I$89,3,0)*0.475*44/12</f>
        <v>6.0221476180634648E-6</v>
      </c>
      <c r="BS74" s="22">
        <f t="shared" si="63"/>
        <v>1.8890233346325007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12.913461538461533</v>
      </c>
      <c r="AI75" s="13">
        <f>IF('Données projet'!$A$62&gt;35,AI74+AH75-AQ74,IF(A75&lt;'Données projet'!$A$62,$AF$205^A75,IF(A75='Données projet'!$A$62,'Données projet'!$B$62,AI74+AH75-AQ74)))</f>
        <v>346.46730769230777</v>
      </c>
      <c r="AJ75" s="13">
        <f>AI75*VLOOKUP('Données projet'!$B$10,Paramètres!$A$1:$I$89,3,0)*VLOOKUP('Données projet'!$B$10,Paramètres!$A$1:$I$89,5,0)</f>
        <v>162.14670000000004</v>
      </c>
      <c r="AK75" s="13">
        <f t="shared" si="89"/>
        <v>41.326333369414826</v>
      </c>
      <c r="AL75" s="20">
        <f t="shared" si="58"/>
        <v>354.38219978506419</v>
      </c>
      <c r="AM75" s="59">
        <f t="shared" si="59"/>
        <v>647.7155331183975</v>
      </c>
      <c r="AN75" s="59">
        <f ca="1">AVERAGE(OFFSET($AM$3,0,0,'Données projet'!$E$10+1,1))-AVERAGE(OFFSET($H$3,0,0,'Données projet'!$E$10+1,1))</f>
        <v>158.58786357608489</v>
      </c>
      <c r="AO75" s="59">
        <f t="shared" si="90"/>
        <v>163.20074068819849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10.1</v>
      </c>
      <c r="BD75" s="12">
        <f>IF('Données projet'!$A$88&gt;35,BD74+BC75-BL74,IF(A75&lt;'Données projet'!$A$88,$BA$205^A75,IF(A75='Données projet'!$A$88,'Données projet'!$B$88,BD74+BC75-BL74)))</f>
        <v>258.19999999999987</v>
      </c>
      <c r="BE75" s="13">
        <f>BD75*VLOOKUP('Données projet'!$B$11,Paramètres!$A$1:$I$89,3,0)*VLOOKUP('Données projet'!$B$11,Paramètres!$A$1:$I$89,5,0)</f>
        <v>221.5355999999999</v>
      </c>
      <c r="BF75" s="13">
        <f t="shared" si="91"/>
        <v>54.448505561050183</v>
      </c>
      <c r="BG75" s="20">
        <f t="shared" si="61"/>
        <v>480.67231718549561</v>
      </c>
      <c r="BH75" s="59">
        <f t="shared" si="62"/>
        <v>774.00565051882893</v>
      </c>
      <c r="BI75" s="59">
        <f ca="1">AVERAGE(OFFSET($BH$3,0,0,'Données projet'!$E$11+1,1))-AVERAGE(OFFSET($H$3,0,0,'Données projet'!$E$11+1,1))</f>
        <v>310.4018929413723</v>
      </c>
      <c r="BJ75" s="59">
        <f t="shared" si="92"/>
        <v>127.5231137583819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1.8373620347358803</v>
      </c>
      <c r="BR75" s="21">
        <f>EXP(-LN(2)/2)*BR74+(1-EXP(-LN(2)/2))/(LN(2)/2)*BL75*BO75*VLOOKUP('Données projet'!$B$11,Paramètres!$A$1:$I$89,3,0)*0.475*44/12</f>
        <v>4.2583014180390908E-6</v>
      </c>
      <c r="BS75" s="22">
        <f t="shared" si="63"/>
        <v>1.8373662930372985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12.913461538461533</v>
      </c>
      <c r="AI76" s="13">
        <f>IF('Données projet'!$A$62&gt;35,AI75+AH76-AQ75,IF(A76&lt;'Données projet'!$A$62,$AF$205^A76,IF(A76='Données projet'!$A$62,'Données projet'!$B$62,AI75+AH76-AQ75)))</f>
        <v>359.38076923076932</v>
      </c>
      <c r="AJ76" s="13">
        <f>AI76*VLOOKUP('Données projet'!$B$10,Paramètres!$A$1:$I$89,3,0)*VLOOKUP('Données projet'!$B$10,Paramètres!$A$1:$I$89,5,0)</f>
        <v>168.19020000000003</v>
      </c>
      <c r="AK76" s="13">
        <f t="shared" si="89"/>
        <v>42.684436447240749</v>
      </c>
      <c r="AL76" s="20">
        <f t="shared" si="58"/>
        <v>367.27332514561107</v>
      </c>
      <c r="AM76" s="59">
        <f t="shared" si="59"/>
        <v>660.60665847894438</v>
      </c>
      <c r="AN76" s="59">
        <f ca="1">AVERAGE(OFFSET($AM$3,0,0,'Données projet'!$E$10+1,1))-AVERAGE(OFFSET($H$3,0,0,'Données projet'!$E$10+1,1))</f>
        <v>158.58786357608489</v>
      </c>
      <c r="AO76" s="59">
        <f t="shared" si="90"/>
        <v>163.20074068819849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10.1</v>
      </c>
      <c r="BD76" s="12">
        <f>IF('Données projet'!$A$88&gt;35,BD75+BC76-BL75,IF(A76&lt;'Données projet'!$A$88,$BA$205^A76,IF(A76='Données projet'!$A$88,'Données projet'!$B$88,BD75+BC76-BL75)))</f>
        <v>268.2999999999999</v>
      </c>
      <c r="BE76" s="13">
        <f>BD76*VLOOKUP('Données projet'!$B$11,Paramètres!$A$1:$I$89,3,0)*VLOOKUP('Données projet'!$B$11,Paramètres!$A$1:$I$89,5,0)</f>
        <v>230.20139999999995</v>
      </c>
      <c r="BF76" s="13">
        <f t="shared" si="91"/>
        <v>56.326226701292995</v>
      </c>
      <c r="BG76" s="20">
        <f t="shared" si="61"/>
        <v>499.03561650475189</v>
      </c>
      <c r="BH76" s="59">
        <f t="shared" si="62"/>
        <v>792.3689498380852</v>
      </c>
      <c r="BI76" s="59">
        <f ca="1">AVERAGE(OFFSET($BH$3,0,0,'Données projet'!$E$11+1,1))-AVERAGE(OFFSET($H$3,0,0,'Données projet'!$E$11+1,1))</f>
        <v>310.4018929413723</v>
      </c>
      <c r="BJ76" s="59">
        <f t="shared" si="92"/>
        <v>127.5231137583819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1.7871192732733576</v>
      </c>
      <c r="BR76" s="21">
        <f>EXP(-LN(2)/2)*BR75+(1-EXP(-LN(2)/2))/(LN(2)/2)*BL76*BO76*VLOOKUP('Données projet'!$B$11,Paramètres!$A$1:$I$89,3,0)*0.475*44/12</f>
        <v>3.0110738090317324E-6</v>
      </c>
      <c r="BS76" s="22">
        <f t="shared" si="63"/>
        <v>1.7871222843471666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12.913461538461533</v>
      </c>
      <c r="AI77" s="13">
        <f>IF('Données projet'!$A$62&gt;35,AI76+AH77-AQ76,IF(A77&lt;'Données projet'!$A$62,$AF$205^A77,IF(A77='Données projet'!$A$62,'Données projet'!$B$62,AI76+AH77-AQ76)))</f>
        <v>372.29423076923086</v>
      </c>
      <c r="AJ77" s="13">
        <f>AI77*VLOOKUP('Données projet'!$B$10,Paramètres!$A$1:$I$89,3,0)*VLOOKUP('Données projet'!$B$10,Paramètres!$A$1:$I$89,5,0)</f>
        <v>174.23370000000006</v>
      </c>
      <c r="AK77" s="13">
        <f t="shared" si="89"/>
        <v>44.036869769028705</v>
      </c>
      <c r="AL77" s="20">
        <f t="shared" si="58"/>
        <v>380.15457568105836</v>
      </c>
      <c r="AM77" s="59">
        <f t="shared" si="59"/>
        <v>673.48790901439168</v>
      </c>
      <c r="AN77" s="59">
        <f ca="1">AVERAGE(OFFSET($AM$3,0,0,'Données projet'!$E$10+1,1))-AVERAGE(OFFSET($H$3,0,0,'Données projet'!$E$10+1,1))</f>
        <v>158.58786357608489</v>
      </c>
      <c r="AO77" s="59">
        <f t="shared" si="90"/>
        <v>163.20074068819849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10.1</v>
      </c>
      <c r="BD77" s="12">
        <f>IF('Données projet'!$A$88&gt;35,BD76+BC77-BL76,IF(A77&lt;'Données projet'!$A$88,$BA$205^A77,IF(A77='Données projet'!$A$88,'Données projet'!$B$88,BD76+BC77-BL76)))</f>
        <v>278.39999999999992</v>
      </c>
      <c r="BE77" s="13">
        <f>BD77*VLOOKUP('Données projet'!$B$11,Paramètres!$A$1:$I$89,3,0)*VLOOKUP('Données projet'!$B$11,Paramètres!$A$1:$I$89,5,0)</f>
        <v>238.86719999999997</v>
      </c>
      <c r="BF77" s="13">
        <f t="shared" si="91"/>
        <v>58.195735973104156</v>
      </c>
      <c r="BG77" s="20">
        <f t="shared" si="61"/>
        <v>517.38461348648957</v>
      </c>
      <c r="BH77" s="59">
        <f t="shared" si="62"/>
        <v>810.71794681982283</v>
      </c>
      <c r="BI77" s="59">
        <f ca="1">AVERAGE(OFFSET($BH$3,0,0,'Données projet'!$E$11+1,1))-AVERAGE(OFFSET($H$3,0,0,'Données projet'!$E$11+1,1))</f>
        <v>310.4018929413723</v>
      </c>
      <c r="BJ77" s="59">
        <f t="shared" si="92"/>
        <v>127.5231137583819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1.7382504027651795</v>
      </c>
      <c r="BR77" s="21">
        <f>EXP(-LN(2)/2)*BR76+(1-EXP(-LN(2)/2))/(LN(2)/2)*BL77*BO77*VLOOKUP('Données projet'!$B$11,Paramètres!$A$1:$I$89,3,0)*0.475*44/12</f>
        <v>2.1291507090195454E-6</v>
      </c>
      <c r="BS77" s="22">
        <f t="shared" si="63"/>
        <v>1.7382525319158886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12.913461538461533</v>
      </c>
      <c r="AI78" s="13">
        <f>IF('Données projet'!$A$62&gt;35,AI77+AH78-AQ77,IF(A78&lt;'Données projet'!$A$62,$AF$205^A78,IF(A78='Données projet'!$A$62,'Données projet'!$B$62,AI77+AH78-AQ77)))</f>
        <v>385.20769230769241</v>
      </c>
      <c r="AJ78" s="13">
        <f>AI78*VLOOKUP('Données projet'!$B$10,Paramètres!$A$1:$I$89,3,0)*VLOOKUP('Données projet'!$B$10,Paramètres!$A$1:$I$89,5,0)</f>
        <v>180.27720000000005</v>
      </c>
      <c r="AK78" s="13">
        <f t="shared" si="89"/>
        <v>45.383852535093837</v>
      </c>
      <c r="AL78" s="20">
        <f t="shared" si="58"/>
        <v>393.02633316528846</v>
      </c>
      <c r="AM78" s="59">
        <f t="shared" si="59"/>
        <v>686.35966649862178</v>
      </c>
      <c r="AN78" s="59">
        <f ca="1">AVERAGE(OFFSET($AM$3,0,0,'Données projet'!$E$10+1,1))-AVERAGE(OFFSET($H$3,0,0,'Données projet'!$E$10+1,1))</f>
        <v>158.58786357608489</v>
      </c>
      <c r="AO78" s="59">
        <f t="shared" si="90"/>
        <v>163.20074068819849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10.1</v>
      </c>
      <c r="BD78" s="12">
        <f>IF('Données projet'!$A$88&gt;35,BD77+BC78-BL77,IF(A78&lt;'Données projet'!$A$88,$BA$205^A78,IF(A78='Données projet'!$A$88,'Données projet'!$B$88,BD77+BC78-BL77)))</f>
        <v>288.49999999999994</v>
      </c>
      <c r="BE78" s="13">
        <f>BD78*VLOOKUP('Données projet'!$B$11,Paramètres!$A$1:$I$89,3,0)*VLOOKUP('Données projet'!$B$11,Paramètres!$A$1:$I$89,5,0)</f>
        <v>247.53299999999999</v>
      </c>
      <c r="BF78" s="13">
        <f t="shared" si="91"/>
        <v>60.057365417030148</v>
      </c>
      <c r="BG78" s="20">
        <f t="shared" si="61"/>
        <v>535.71988643466068</v>
      </c>
      <c r="BH78" s="59">
        <f t="shared" si="62"/>
        <v>829.05321976799405</v>
      </c>
      <c r="BI78" s="59">
        <f ca="1">AVERAGE(OFFSET($BH$3,0,0,'Données projet'!$E$11+1,1))-AVERAGE(OFFSET($H$3,0,0,'Données projet'!$E$11+1,1))</f>
        <v>310.4018929413723</v>
      </c>
      <c r="BJ78" s="59">
        <f t="shared" si="92"/>
        <v>127.5231137583819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1.6907178540909498</v>
      </c>
      <c r="BR78" s="21">
        <f>EXP(-LN(2)/2)*BR77+(1-EXP(-LN(2)/2))/(LN(2)/2)*BL78*BO78*VLOOKUP('Données projet'!$B$11,Paramètres!$A$1:$I$89,3,0)*0.475*44/12</f>
        <v>1.5055369045158662E-6</v>
      </c>
      <c r="BS78" s="22">
        <f t="shared" si="63"/>
        <v>1.6907193596278542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12.913461538461533</v>
      </c>
      <c r="AI79" s="13">
        <f>IF('Données projet'!$A$62&gt;35,AI78+AH79-AQ78,IF(A79&lt;'Données projet'!$A$62,$AF$205^A79,IF(A79='Données projet'!$A$62,'Données projet'!$B$62,AI78+AH79-AQ78)))</f>
        <v>398.12115384615396</v>
      </c>
      <c r="AJ79" s="13">
        <f>AI79*VLOOKUP('Données projet'!$B$10,Paramètres!$A$1:$I$89,3,0)*VLOOKUP('Données projet'!$B$10,Paramètres!$A$1:$I$89,5,0)</f>
        <v>186.32070000000004</v>
      </c>
      <c r="AK79" s="13">
        <f t="shared" si="89"/>
        <v>46.725588415193215</v>
      </c>
      <c r="AL79" s="20">
        <f t="shared" si="58"/>
        <v>405.88895232312825</v>
      </c>
      <c r="AM79" s="59">
        <f t="shared" si="59"/>
        <v>699.22228565646151</v>
      </c>
      <c r="AN79" s="59">
        <f ca="1">AVERAGE(OFFSET($AM$3,0,0,'Données projet'!$E$10+1,1))-AVERAGE(OFFSET($H$3,0,0,'Données projet'!$E$10+1,1))</f>
        <v>158.58786357608489</v>
      </c>
      <c r="AO79" s="59">
        <f t="shared" si="90"/>
        <v>163.20074068819849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10.1</v>
      </c>
      <c r="BD79" s="12">
        <f>IF('Données projet'!$A$88&gt;35,BD78+BC79-BL78,IF(A79&lt;'Données projet'!$A$88,$BA$205^A79,IF(A79='Données projet'!$A$88,'Données projet'!$B$88,BD78+BC79-BL78)))</f>
        <v>298.59999999999997</v>
      </c>
      <c r="BE79" s="13">
        <f>BD79*VLOOKUP('Données projet'!$B$11,Paramètres!$A$1:$I$89,3,0)*VLOOKUP('Données projet'!$B$11,Paramètres!$A$1:$I$89,5,0)</f>
        <v>256.19880000000001</v>
      </c>
      <c r="BF79" s="13">
        <f t="shared" si="91"/>
        <v>61.911422506728201</v>
      </c>
      <c r="BG79" s="20">
        <f t="shared" si="61"/>
        <v>554.04197086588488</v>
      </c>
      <c r="BH79" s="59">
        <f t="shared" si="62"/>
        <v>847.37530419921814</v>
      </c>
      <c r="BI79" s="59">
        <f ca="1">AVERAGE(OFFSET($BH$3,0,0,'Données projet'!$E$11+1,1))-AVERAGE(OFFSET($H$3,0,0,'Données projet'!$E$11+1,1))</f>
        <v>310.4018929413723</v>
      </c>
      <c r="BJ79" s="59">
        <f t="shared" si="92"/>
        <v>127.5231137583819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1.644485085459845</v>
      </c>
      <c r="BR79" s="21">
        <f>EXP(-LN(2)/2)*BR78+(1-EXP(-LN(2)/2))/(LN(2)/2)*BL79*BO79*VLOOKUP('Données projet'!$B$11,Paramètres!$A$1:$I$89,3,0)*0.475*44/12</f>
        <v>1.0645753545097727E-6</v>
      </c>
      <c r="BS79" s="22">
        <f t="shared" si="63"/>
        <v>1.6444861500351995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12.913461538461533</v>
      </c>
      <c r="AI80" s="13">
        <f>IF('Données projet'!$A$62&gt;35,AI79+AH80-AQ79,IF(A80&lt;'Données projet'!$A$62,$AF$205^A80,IF(A80='Données projet'!$A$62,'Données projet'!$B$62,AI79+AH80-AQ79)))</f>
        <v>411.03461538461551</v>
      </c>
      <c r="AJ80" s="13">
        <f>AI80*VLOOKUP('Données projet'!$B$10,Paramètres!$A$1:$I$89,3,0)*VLOOKUP('Données projet'!$B$10,Paramètres!$A$1:$I$89,5,0)</f>
        <v>192.36420000000004</v>
      </c>
      <c r="AK80" s="13">
        <f t="shared" si="89"/>
        <v>48.062267116572606</v>
      </c>
      <c r="AL80" s="20">
        <f t="shared" si="58"/>
        <v>418.74276356136397</v>
      </c>
      <c r="AM80" s="59">
        <f t="shared" si="59"/>
        <v>712.07609689469723</v>
      </c>
      <c r="AN80" s="59">
        <f ca="1">AVERAGE(OFFSET($AM$3,0,0,'Données projet'!$E$10+1,1))-AVERAGE(OFFSET($H$3,0,0,'Données projet'!$E$10+1,1))</f>
        <v>158.58786357608489</v>
      </c>
      <c r="AO80" s="59">
        <f t="shared" si="90"/>
        <v>163.20074068819849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10.1</v>
      </c>
      <c r="BD80" s="12">
        <f>IF('Données projet'!$A$88&gt;35,BD79+BC80-BL79,IF(A80&lt;'Données projet'!$A$88,$BA$205^A80,IF(A80='Données projet'!$A$88,'Données projet'!$B$88,BD79+BC80-BL79)))</f>
        <v>308.7</v>
      </c>
      <c r="BE80" s="13">
        <f>BD80*VLOOKUP('Données projet'!$B$11,Paramètres!$A$1:$I$89,3,0)*VLOOKUP('Données projet'!$B$11,Paramètres!$A$1:$I$89,5,0)</f>
        <v>264.8646</v>
      </c>
      <c r="BF80" s="13">
        <f t="shared" si="91"/>
        <v>63.758192735505993</v>
      </c>
      <c r="BG80" s="20">
        <f t="shared" si="61"/>
        <v>572.35136401433954</v>
      </c>
      <c r="BH80" s="59">
        <f t="shared" si="62"/>
        <v>865.68469734767291</v>
      </c>
      <c r="BI80" s="59">
        <f ca="1">AVERAGE(OFFSET($BH$3,0,0,'Données projet'!$E$11+1,1))-AVERAGE(OFFSET($H$3,0,0,'Données projet'!$E$11+1,1))</f>
        <v>310.4018929413723</v>
      </c>
      <c r="BJ80" s="59">
        <f t="shared" si="92"/>
        <v>127.5231137583819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1.5995165543182335</v>
      </c>
      <c r="BR80" s="21">
        <f>EXP(-LN(2)/2)*BR79+(1-EXP(-LN(2)/2))/(LN(2)/2)*BL80*BO80*VLOOKUP('Données projet'!$B$11,Paramètres!$A$1:$I$89,3,0)*0.475*44/12</f>
        <v>7.5276845225793311E-7</v>
      </c>
      <c r="BS80" s="22">
        <f t="shared" si="63"/>
        <v>1.5995173070866857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12.913461538461533</v>
      </c>
      <c r="AI81" s="13">
        <f>IF('Données projet'!$A$62&gt;35,AI80+AH81-AQ80,IF(A81&lt;'Données projet'!$A$62,$AF$205^A81,IF(A81='Données projet'!$A$62,'Données projet'!$B$62,AI80+AH81-AQ80)))</f>
        <v>423.94807692307705</v>
      </c>
      <c r="AJ81" s="13">
        <f>AI81*VLOOKUP('Données projet'!$B$10,Paramètres!$A$1:$I$89,3,0)*VLOOKUP('Données projet'!$B$10,Paramètres!$A$1:$I$89,5,0)</f>
        <v>198.40770000000006</v>
      </c>
      <c r="AK81" s="13">
        <f t="shared" si="89"/>
        <v>49.394065749424826</v>
      </c>
      <c r="AL81" s="20">
        <f t="shared" si="58"/>
        <v>431.58807534691499</v>
      </c>
      <c r="AM81" s="59">
        <f t="shared" si="59"/>
        <v>724.92140868024831</v>
      </c>
      <c r="AN81" s="59">
        <f ca="1">AVERAGE(OFFSET($AM$3,0,0,'Données projet'!$E$10+1,1))-AVERAGE(OFFSET($H$3,0,0,'Données projet'!$E$10+1,1))</f>
        <v>158.58786357608489</v>
      </c>
      <c r="AO81" s="59">
        <f t="shared" si="90"/>
        <v>163.20074068819849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10.1</v>
      </c>
      <c r="BD81" s="12">
        <f>IF('Données projet'!$A$88&gt;35,BD80+BC81-BL80,IF(A81&lt;'Données projet'!$A$88,$BA$205^A81,IF(A81='Données projet'!$A$88,'Données projet'!$B$88,BD80+BC81-BL80)))</f>
        <v>318.8</v>
      </c>
      <c r="BE81" s="13">
        <f>BD81*VLOOKUP('Données projet'!$B$11,Paramètres!$A$1:$I$89,3,0)*VLOOKUP('Données projet'!$B$11,Paramètres!$A$1:$I$89,5,0)</f>
        <v>273.53040000000004</v>
      </c>
      <c r="BF81" s="13">
        <f t="shared" si="91"/>
        <v>65.597941854849111</v>
      </c>
      <c r="BG81" s="20">
        <f t="shared" si="61"/>
        <v>590.64852873052894</v>
      </c>
      <c r="BH81" s="59">
        <f t="shared" si="62"/>
        <v>883.98186206386231</v>
      </c>
      <c r="BI81" s="59">
        <f ca="1">AVERAGE(OFFSET($BH$3,0,0,'Données projet'!$E$11+1,1))-AVERAGE(OFFSET($H$3,0,0,'Données projet'!$E$11+1,1))</f>
        <v>310.4018929413723</v>
      </c>
      <c r="BJ81" s="59">
        <f t="shared" si="92"/>
        <v>127.5231137583819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1.5557776900254816</v>
      </c>
      <c r="BR81" s="21">
        <f>EXP(-LN(2)/2)*BR80+(1-EXP(-LN(2)/2))/(LN(2)/2)*BL81*BO81*VLOOKUP('Données projet'!$B$11,Paramètres!$A$1:$I$89,3,0)*0.475*44/12</f>
        <v>5.3228767725488635E-7</v>
      </c>
      <c r="BS81" s="22">
        <f t="shared" si="63"/>
        <v>1.5557782223131589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12.913461538461533</v>
      </c>
      <c r="AH82" s="12">
        <f t="array" ref="AH82">INDEX(AG:AG,MIN(IF(ISNUMBER(AG82:AG278),ROW(AG82:AG278),"")))</f>
        <v>12.913461538461533</v>
      </c>
      <c r="AI82" s="13">
        <f>IF('Données projet'!$A$62&gt;35,AI81+AH82-AQ81,IF(A82&lt;'Données projet'!$A$62,$AF$205^A82,IF(A82='Données projet'!$A$62,'Données projet'!$B$62,AI81+AH82-AQ81)))</f>
        <v>436.8615384615386</v>
      </c>
      <c r="AJ82" s="13">
        <f>AI82*VLOOKUP('Données projet'!$B$10,Paramètres!$A$1:$I$89,3,0)*VLOOKUP('Données projet'!$B$10,Paramètres!$A$1:$I$89,5,0)</f>
        <v>204.45120000000009</v>
      </c>
      <c r="AK82" s="13">
        <f t="shared" si="89"/>
        <v>50.721150021305952</v>
      </c>
      <c r="AL82" s="20">
        <f t="shared" si="58"/>
        <v>444.42517628710794</v>
      </c>
      <c r="AM82" s="59">
        <f t="shared" si="59"/>
        <v>737.75850962044126</v>
      </c>
      <c r="AN82" s="59">
        <f ca="1">AVERAGE(OFFSET($AM$3,0,0,'Données projet'!$E$10+1,1))-AVERAGE(OFFSET($H$3,0,0,'Données projet'!$E$10+1,1))</f>
        <v>158.58786357608489</v>
      </c>
      <c r="AO82" s="59">
        <f t="shared" si="90"/>
        <v>163.20074068819849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10.1</v>
      </c>
      <c r="BD82" s="12">
        <f>IF('Données projet'!$A$88&gt;35,BD81+BC82-BL81,IF(A82&lt;'Données projet'!$A$88,$BA$205^A82,IF(A82='Données projet'!$A$88,'Données projet'!$B$88,BD81+BC82-BL81)))</f>
        <v>328.90000000000003</v>
      </c>
      <c r="BE82" s="13">
        <f>BD82*VLOOKUP('Données projet'!$B$11,Paramètres!$A$1:$I$89,3,0)*VLOOKUP('Données projet'!$B$11,Paramètres!$A$1:$I$89,5,0)</f>
        <v>282.19620000000009</v>
      </c>
      <c r="BF82" s="13">
        <f t="shared" si="91"/>
        <v>67.430917821301051</v>
      </c>
      <c r="BG82" s="20">
        <f t="shared" si="61"/>
        <v>608.93389687209947</v>
      </c>
      <c r="BH82" s="59">
        <f t="shared" si="62"/>
        <v>902.26723020543272</v>
      </c>
      <c r="BI82" s="59">
        <f ca="1">AVERAGE(OFFSET($BH$3,0,0,'Données projet'!$E$11+1,1))-AVERAGE(OFFSET($H$3,0,0,'Données projet'!$E$11+1,1))</f>
        <v>310.4018929413723</v>
      </c>
      <c r="BJ82" s="59">
        <f t="shared" si="92"/>
        <v>127.5231137583819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1.5132348672769418</v>
      </c>
      <c r="BR82" s="21">
        <f>EXP(-LN(2)/2)*BR81+(1-EXP(-LN(2)/2))/(LN(2)/2)*BL82*BO82*VLOOKUP('Données projet'!$B$11,Paramètres!$A$1:$I$89,3,0)*0.475*44/12</f>
        <v>3.7638422612896655E-7</v>
      </c>
      <c r="BS82" s="22">
        <f t="shared" si="63"/>
        <v>1.513235243661168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12.124038461538468</v>
      </c>
      <c r="AI83" s="13">
        <f>IF('Données projet'!$A$62&gt;35,AI82+AH83-AQ82,IF(A83&lt;'Données projet'!$A$62,$AF$205^A83,IF(A83='Données projet'!$A$62,'Données projet'!$B$62,AI82+AH83-AQ82)))</f>
        <v>371.64711538461552</v>
      </c>
      <c r="AJ83" s="13">
        <f>AI83*VLOOKUP('Données projet'!$B$10,Paramètres!$A$1:$I$89,3,0)*VLOOKUP('Données projet'!$B$10,Paramètres!$A$1:$I$89,5,0)</f>
        <v>173.93085000000008</v>
      </c>
      <c r="AK83" s="13">
        <f t="shared" si="89"/>
        <v>43.969228534222836</v>
      </c>
      <c r="AL83" s="20">
        <f t="shared" si="58"/>
        <v>379.50930344710491</v>
      </c>
      <c r="AM83" s="59">
        <f t="shared" si="59"/>
        <v>672.84263678043817</v>
      </c>
      <c r="AN83" s="59">
        <f ca="1">AVERAGE(OFFSET($AM$3,0,0,'Données projet'!$E$10+1,1))-AVERAGE(OFFSET($H$3,0,0,'Données projet'!$E$10+1,1))</f>
        <v>158.58786357608489</v>
      </c>
      <c r="AO83" s="59">
        <f t="shared" si="90"/>
        <v>163.20074068819849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339</v>
      </c>
      <c r="BB83" s="12">
        <f>VLOOKUP(A83,'Données projet'!$A$87:$I$107,9,0)</f>
        <v>10.1</v>
      </c>
      <c r="BC83" s="12">
        <f t="array" ref="BC83">INDEX(BB:BB,MIN(IF(ISNUMBER(BB83:BB279),ROW(BB83:BB279),"")))</f>
        <v>10.1</v>
      </c>
      <c r="BD83" s="12">
        <f>IF('Données projet'!$A$88&gt;35,BD82+BC83-BL82,IF(A83&lt;'Données projet'!$A$88,$BA$205^A83,IF(A83='Données projet'!$A$88,'Données projet'!$B$88,BD82+BC83-BL82)))</f>
        <v>339.00000000000006</v>
      </c>
      <c r="BE83" s="13">
        <f>BD83*VLOOKUP('Données projet'!$B$11,Paramètres!$A$1:$I$89,3,0)*VLOOKUP('Données projet'!$B$11,Paramètres!$A$1:$I$89,5,0)</f>
        <v>290.86200000000008</v>
      </c>
      <c r="BF83" s="13">
        <f t="shared" si="91"/>
        <v>69.257352497482572</v>
      </c>
      <c r="BG83" s="20">
        <f t="shared" si="61"/>
        <v>627.20787226644893</v>
      </c>
      <c r="BH83" s="59">
        <f t="shared" si="62"/>
        <v>920.54120559978219</v>
      </c>
      <c r="BI83" s="59">
        <f ca="1">AVERAGE(OFFSET($BH$3,0,0,'Données projet'!$E$11+1,1))-AVERAGE(OFFSET($H$3,0,0,'Données projet'!$E$11+1,1))</f>
        <v>310.4018929413723</v>
      </c>
      <c r="BJ83" s="59">
        <f t="shared" si="92"/>
        <v>127.5231137583819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69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1.4718553802536907</v>
      </c>
      <c r="BR83" s="21">
        <f>EXP(-LN(2)/2)*BR82+(1-EXP(-LN(2)/2))/(LN(2)/2)*BL83*BO83*VLOOKUP('Données projet'!$B$11,Paramètres!$A$1:$I$89,3,0)*0.475*44/12</f>
        <v>2.6614383862744317E-7</v>
      </c>
      <c r="BS83" s="22">
        <f t="shared" si="63"/>
        <v>1.4718556463975292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12.124038461538468</v>
      </c>
      <c r="AI84" s="13">
        <f>IF('Données projet'!$A$62&gt;35,AI83+AH84-AQ83,IF(A84&lt;'Données projet'!$A$62,$AF$205^A84,IF(A84='Données projet'!$A$62,'Données projet'!$B$62,AI83+AH84-AQ83)))</f>
        <v>383.77115384615399</v>
      </c>
      <c r="AJ84" s="13">
        <f>AI84*VLOOKUP('Données projet'!$B$10,Paramètres!$A$1:$I$89,3,0)*VLOOKUP('Données projet'!$B$10,Paramètres!$A$1:$I$89,5,0)</f>
        <v>179.60490000000007</v>
      </c>
      <c r="AK84" s="13">
        <f t="shared" si="89"/>
        <v>45.234272457213635</v>
      </c>
      <c r="AL84" s="20">
        <f t="shared" si="58"/>
        <v>391.59489202964716</v>
      </c>
      <c r="AM84" s="59">
        <f t="shared" si="59"/>
        <v>684.92822536298047</v>
      </c>
      <c r="AN84" s="59">
        <f ca="1">AVERAGE(OFFSET($AM$3,0,0,'Données projet'!$E$10+1,1))-AVERAGE(OFFSET($H$3,0,0,'Données projet'!$E$10+1,1))</f>
        <v>158.58786357608489</v>
      </c>
      <c r="AO84" s="59">
        <f t="shared" si="90"/>
        <v>163.20074068819849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9.1</v>
      </c>
      <c r="BD84" s="12">
        <f>IF('Données projet'!$A$88&gt;35,BD83+BC84-BL83,IF(A84&lt;'Données projet'!$A$88,$BA$205^A84,IF(A84='Données projet'!$A$88,'Données projet'!$B$88,BD83+BC84-BL83)))</f>
        <v>279.10000000000008</v>
      </c>
      <c r="BE84" s="13">
        <f>BD84*VLOOKUP('Données projet'!$B$11,Paramètres!$A$1:$I$89,3,0)*VLOOKUP('Données projet'!$B$11,Paramètres!$A$1:$I$89,5,0)</f>
        <v>239.4678000000001</v>
      </c>
      <c r="BF84" s="13">
        <f t="shared" si="91"/>
        <v>58.325010269552514</v>
      </c>
      <c r="BG84" s="20">
        <f t="shared" si="61"/>
        <v>518.65581121947082</v>
      </c>
      <c r="BH84" s="59">
        <f t="shared" si="62"/>
        <v>811.98914455280419</v>
      </c>
      <c r="BI84" s="59">
        <f ca="1">AVERAGE(OFFSET($BH$3,0,0,'Données projet'!$E$11+1,1))-AVERAGE(OFFSET($H$3,0,0,'Données projet'!$E$11+1,1))</f>
        <v>310.4018929413723</v>
      </c>
      <c r="BJ84" s="59">
        <f t="shared" si="92"/>
        <v>127.5231137583819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1.4316074174791431</v>
      </c>
      <c r="BR84" s="21">
        <f>EXP(-LN(2)/2)*BR83+(1-EXP(-LN(2)/2))/(LN(2)/2)*BL84*BO84*VLOOKUP('Données projet'!$B$11,Paramètres!$A$1:$I$89,3,0)*0.475*44/12</f>
        <v>1.8819211306448328E-7</v>
      </c>
      <c r="BS84" s="22">
        <f t="shared" si="63"/>
        <v>1.4316076056712561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12.124038461538468</v>
      </c>
      <c r="AI85" s="13">
        <f>IF('Données projet'!$A$62&gt;35,AI84+AH85-AQ84,IF(A85&lt;'Données projet'!$A$62,$AF$205^A85,IF(A85='Données projet'!$A$62,'Données projet'!$B$62,AI84+AH85-AQ84)))</f>
        <v>395.89519230769247</v>
      </c>
      <c r="AJ85" s="13">
        <f>AI85*VLOOKUP('Données projet'!$B$10,Paramètres!$A$1:$I$89,3,0)*VLOOKUP('Données projet'!$B$10,Paramètres!$A$1:$I$89,5,0)</f>
        <v>185.27895000000009</v>
      </c>
      <c r="AK85" s="13">
        <f t="shared" si="89"/>
        <v>46.494672172616063</v>
      </c>
      <c r="AL85" s="20">
        <f t="shared" si="58"/>
        <v>403.67239195063979</v>
      </c>
      <c r="AM85" s="59">
        <f t="shared" si="59"/>
        <v>697.00572528397311</v>
      </c>
      <c r="AN85" s="59">
        <f ca="1">AVERAGE(OFFSET($AM$3,0,0,'Données projet'!$E$10+1,1))-AVERAGE(OFFSET($H$3,0,0,'Données projet'!$E$10+1,1))</f>
        <v>158.58786357608489</v>
      </c>
      <c r="AO85" s="59">
        <f t="shared" si="90"/>
        <v>163.20074068819849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9.1</v>
      </c>
      <c r="BD85" s="12">
        <f>IF('Données projet'!$A$88&gt;35,BD84+BC85-BL84,IF(A85&lt;'Données projet'!$A$88,$BA$205^A85,IF(A85='Données projet'!$A$88,'Données projet'!$B$88,BD84+BC85-BL84)))</f>
        <v>288.2000000000001</v>
      </c>
      <c r="BE85" s="13">
        <f>BD85*VLOOKUP('Données projet'!$B$11,Paramètres!$A$1:$I$89,3,0)*VLOOKUP('Données projet'!$B$11,Paramètres!$A$1:$I$89,5,0)</f>
        <v>247.27560000000014</v>
      </c>
      <c r="BF85" s="13">
        <f t="shared" si="91"/>
        <v>60.002180078120453</v>
      </c>
      <c r="BG85" s="20">
        <f t="shared" si="61"/>
        <v>535.17546696939337</v>
      </c>
      <c r="BH85" s="59">
        <f t="shared" si="62"/>
        <v>828.50880030272674</v>
      </c>
      <c r="BI85" s="59">
        <f ca="1">AVERAGE(OFFSET($BH$3,0,0,'Données projet'!$E$11+1,1))-AVERAGE(OFFSET($H$3,0,0,'Données projet'!$E$11+1,1))</f>
        <v>310.4018929413723</v>
      </c>
      <c r="BJ85" s="59">
        <f t="shared" si="92"/>
        <v>127.5231137583819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1.3924600373632139</v>
      </c>
      <c r="BR85" s="21">
        <f>EXP(-LN(2)/2)*BR84+(1-EXP(-LN(2)/2))/(LN(2)/2)*BL85*BO85*VLOOKUP('Données projet'!$B$11,Paramètres!$A$1:$I$89,3,0)*0.475*44/12</f>
        <v>1.3307191931372159E-7</v>
      </c>
      <c r="BS85" s="22">
        <f t="shared" si="63"/>
        <v>1.3924601704351331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12.124038461538468</v>
      </c>
      <c r="AI86" s="13">
        <f>IF('Données projet'!$A$62&gt;35,AI85+AH86-AQ85,IF(A86&lt;'Données projet'!$A$62,$AF$205^A86,IF(A86='Données projet'!$A$62,'Données projet'!$B$62,AI85+AH86-AQ85)))</f>
        <v>408.01923076923094</v>
      </c>
      <c r="AJ86" s="13">
        <f>AI86*VLOOKUP('Données projet'!$B$10,Paramètres!$A$1:$I$89,3,0)*VLOOKUP('Données projet'!$B$10,Paramètres!$A$1:$I$89,5,0)</f>
        <v>190.95300000000006</v>
      </c>
      <c r="AK86" s="13">
        <f t="shared" si="89"/>
        <v>47.750586229034354</v>
      </c>
      <c r="AL86" s="20">
        <f t="shared" si="58"/>
        <v>415.7420793489016</v>
      </c>
      <c r="AM86" s="59">
        <f t="shared" si="59"/>
        <v>709.07541268223486</v>
      </c>
      <c r="AN86" s="59">
        <f ca="1">AVERAGE(OFFSET($AM$3,0,0,'Données projet'!$E$10+1,1))-AVERAGE(OFFSET($H$3,0,0,'Données projet'!$E$10+1,1))</f>
        <v>158.58786357608489</v>
      </c>
      <c r="AO86" s="59">
        <f t="shared" si="90"/>
        <v>163.20074068819849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9.1</v>
      </c>
      <c r="BD86" s="12">
        <f>IF('Données projet'!$A$88&gt;35,BD85+BC86-BL85,IF(A86&lt;'Données projet'!$A$88,$BA$205^A86,IF(A86='Données projet'!$A$88,'Données projet'!$B$88,BD85+BC86-BL85)))</f>
        <v>297.30000000000013</v>
      </c>
      <c r="BE86" s="13">
        <f>BD86*VLOOKUP('Données projet'!$B$11,Paramètres!$A$1:$I$89,3,0)*VLOOKUP('Données projet'!$B$11,Paramètres!$A$1:$I$89,5,0)</f>
        <v>255.08340000000013</v>
      </c>
      <c r="BF86" s="13">
        <f t="shared" si="91"/>
        <v>61.673195910218489</v>
      </c>
      <c r="BG86" s="20">
        <f t="shared" si="61"/>
        <v>551.68440454363065</v>
      </c>
      <c r="BH86" s="59">
        <f t="shared" si="62"/>
        <v>845.01773787696402</v>
      </c>
      <c r="BI86" s="59">
        <f ca="1">AVERAGE(OFFSET($BH$3,0,0,'Données projet'!$E$11+1,1))-AVERAGE(OFFSET($H$3,0,0,'Données projet'!$E$11+1,1))</f>
        <v>310.4018929413723</v>
      </c>
      <c r="BJ86" s="59">
        <f t="shared" si="92"/>
        <v>127.5231137583819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1.3543831444152259</v>
      </c>
      <c r="BR86" s="21">
        <f>EXP(-LN(2)/2)*BR85+(1-EXP(-LN(2)/2))/(LN(2)/2)*BL86*BO86*VLOOKUP('Données projet'!$B$11,Paramètres!$A$1:$I$89,3,0)*0.475*44/12</f>
        <v>9.4096056532241638E-8</v>
      </c>
      <c r="BS86" s="22">
        <f t="shared" si="63"/>
        <v>1.3543832385112824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12.124038461538468</v>
      </c>
      <c r="AI87" s="13">
        <f>IF('Données projet'!$A$62&gt;35,AI86+AH87-AQ86,IF(A87&lt;'Données projet'!$A$62,$AF$205^A87,IF(A87='Données projet'!$A$62,'Données projet'!$B$62,AI86+AH87-AQ86)))</f>
        <v>420.14326923076942</v>
      </c>
      <c r="AJ87" s="13">
        <f>AI87*VLOOKUP('Données projet'!$B$10,Paramètres!$A$1:$I$89,3,0)*VLOOKUP('Données projet'!$B$10,Paramètres!$A$1:$I$89,5,0)</f>
        <v>196.62705000000008</v>
      </c>
      <c r="AK87" s="13">
        <f t="shared" si="89"/>
        <v>49.002163217129386</v>
      </c>
      <c r="AL87" s="20">
        <f t="shared" si="58"/>
        <v>427.80421301983375</v>
      </c>
      <c r="AM87" s="59">
        <f t="shared" si="59"/>
        <v>721.13754635316707</v>
      </c>
      <c r="AN87" s="59">
        <f ca="1">AVERAGE(OFFSET($AM$3,0,0,'Données projet'!$E$10+1,1))-AVERAGE(OFFSET($H$3,0,0,'Données projet'!$E$10+1,1))</f>
        <v>158.58786357608489</v>
      </c>
      <c r="AO87" s="59">
        <f t="shared" si="90"/>
        <v>163.20074068819849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9.1</v>
      </c>
      <c r="BD87" s="12">
        <f>IF('Données projet'!$A$88&gt;35,BD86+BC87-BL86,IF(A87&lt;'Données projet'!$A$88,$BA$205^A87,IF(A87='Données projet'!$A$88,'Données projet'!$B$88,BD86+BC87-BL86)))</f>
        <v>306.40000000000015</v>
      </c>
      <c r="BE87" s="13">
        <f>BD87*VLOOKUP('Données projet'!$B$11,Paramètres!$A$1:$I$89,3,0)*VLOOKUP('Données projet'!$B$11,Paramètres!$A$1:$I$89,5,0)</f>
        <v>262.89120000000014</v>
      </c>
      <c r="BF87" s="13">
        <f t="shared" si="91"/>
        <v>63.338267749887194</v>
      </c>
      <c r="BG87" s="20">
        <f t="shared" si="61"/>
        <v>568.18298966438704</v>
      </c>
      <c r="BH87" s="59">
        <f t="shared" si="62"/>
        <v>861.51632299772041</v>
      </c>
      <c r="BI87" s="59">
        <f ca="1">AVERAGE(OFFSET($BH$3,0,0,'Données projet'!$E$11+1,1))-AVERAGE(OFFSET($H$3,0,0,'Données projet'!$E$11+1,1))</f>
        <v>310.4018929413723</v>
      </c>
      <c r="BJ87" s="59">
        <f t="shared" si="92"/>
        <v>127.5231137583819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1.3173474661072775</v>
      </c>
      <c r="BR87" s="21">
        <f>EXP(-LN(2)/2)*BR86+(1-EXP(-LN(2)/2))/(LN(2)/2)*BL87*BO87*VLOOKUP('Données projet'!$B$11,Paramètres!$A$1:$I$89,3,0)*0.475*44/12</f>
        <v>6.6535959656860794E-8</v>
      </c>
      <c r="BS87" s="22">
        <f t="shared" si="63"/>
        <v>1.3173475326432371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12.124038461538468</v>
      </c>
      <c r="AI88" s="13">
        <f>IF('Données projet'!$A$62&gt;35,AI87+AH88-AQ87,IF(A88&lt;'Données projet'!$A$62,$AF$205^A88,IF(A88='Données projet'!$A$62,'Données projet'!$B$62,AI87+AH88-AQ87)))</f>
        <v>432.2673076923079</v>
      </c>
      <c r="AJ88" s="13">
        <f>AI88*VLOOKUP('Données projet'!$B$10,Paramètres!$A$1:$I$89,3,0)*VLOOKUP('Données projet'!$B$10,Paramètres!$A$1:$I$89,5,0)</f>
        <v>202.3011000000001</v>
      </c>
      <c r="AK88" s="13">
        <f t="shared" si="89"/>
        <v>50.249542664134772</v>
      </c>
      <c r="AL88" s="20">
        <f t="shared" si="58"/>
        <v>439.85903597336824</v>
      </c>
      <c r="AM88" s="59">
        <f t="shared" si="59"/>
        <v>733.19236930670149</v>
      </c>
      <c r="AN88" s="59">
        <f ca="1">AVERAGE(OFFSET($AM$3,0,0,'Données projet'!$E$10+1,1))-AVERAGE(OFFSET($H$3,0,0,'Données projet'!$E$10+1,1))</f>
        <v>158.58786357608489</v>
      </c>
      <c r="AO88" s="59">
        <f t="shared" si="90"/>
        <v>163.20074068819849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</v>
      </c>
      <c r="BD88" s="12">
        <f>IF('Données projet'!$A$88&gt;35,BD87+BC88-BL87,IF(A88&lt;'Données projet'!$A$88,$BA$205^A88,IF(A88='Données projet'!$A$88,'Données projet'!$B$88,BD87+BC88-BL87)))</f>
        <v>315.50000000000017</v>
      </c>
      <c r="BE88" s="13">
        <f>BD88*VLOOKUP('Données projet'!$B$11,Paramètres!$A$1:$I$89,3,0)*VLOOKUP('Données projet'!$B$11,Paramètres!$A$1:$I$89,5,0)</f>
        <v>270.69900000000018</v>
      </c>
      <c r="BF88" s="13">
        <f t="shared" si="91"/>
        <v>64.99759239921724</v>
      </c>
      <c r="BG88" s="20">
        <f t="shared" si="61"/>
        <v>584.67156509530366</v>
      </c>
      <c r="BH88" s="59">
        <f t="shared" si="62"/>
        <v>878.00489842863703</v>
      </c>
      <c r="BI88" s="59">
        <f ca="1">AVERAGE(OFFSET($BH$3,0,0,'Données projet'!$E$11+1,1))-AVERAGE(OFFSET($H$3,0,0,'Données projet'!$E$11+1,1))</f>
        <v>310.4018929413723</v>
      </c>
      <c r="BJ88" s="59">
        <f t="shared" si="92"/>
        <v>127.5231137583819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1.2813245303702816</v>
      </c>
      <c r="BR88" s="21">
        <f>EXP(-LN(2)/2)*BR87+(1-EXP(-LN(2)/2))/(LN(2)/2)*BL88*BO88*VLOOKUP('Données projet'!$B$11,Paramètres!$A$1:$I$89,3,0)*0.475*44/12</f>
        <v>4.7048028266120819E-8</v>
      </c>
      <c r="BS88" s="22">
        <f t="shared" si="63"/>
        <v>1.28132457741831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12.124038461538468</v>
      </c>
      <c r="AI89" s="13">
        <f>IF('Données projet'!$A$62&gt;35,AI88+AH89-AQ88,IF(A89&lt;'Données projet'!$A$62,$AF$205^A89,IF(A89='Données projet'!$A$62,'Données projet'!$B$62,AI88+AH89-AQ88)))</f>
        <v>444.39134615384637</v>
      </c>
      <c r="AJ89" s="13">
        <f>AI89*VLOOKUP('Données projet'!$B$10,Paramètres!$A$1:$I$89,3,0)*VLOOKUP('Données projet'!$B$10,Paramètres!$A$1:$I$89,5,0)</f>
        <v>207.9751500000001</v>
      </c>
      <c r="AK89" s="13">
        <f t="shared" si="89"/>
        <v>51.492855825196166</v>
      </c>
      <c r="AL89" s="20">
        <f t="shared" si="58"/>
        <v>451.90677681221678</v>
      </c>
      <c r="AM89" s="59">
        <f t="shared" si="59"/>
        <v>745.24011014555003</v>
      </c>
      <c r="AN89" s="59">
        <f ca="1">AVERAGE(OFFSET($AM$3,0,0,'Données projet'!$E$10+1,1))-AVERAGE(OFFSET($H$3,0,0,'Données projet'!$E$10+1,1))</f>
        <v>158.58786357608489</v>
      </c>
      <c r="AO89" s="59">
        <f t="shared" si="90"/>
        <v>163.20074068819849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</v>
      </c>
      <c r="BD89" s="12">
        <f>IF('Données projet'!$A$88&gt;35,BD88+BC89-BL88,IF(A89&lt;'Données projet'!$A$88,$BA$205^A89,IF(A89='Données projet'!$A$88,'Données projet'!$B$88,BD88+BC89-BL88)))</f>
        <v>324.60000000000019</v>
      </c>
      <c r="BE89" s="13">
        <f>BD89*VLOOKUP('Données projet'!$B$11,Paramètres!$A$1:$I$89,3,0)*VLOOKUP('Données projet'!$B$11,Paramètres!$A$1:$I$89,5,0)</f>
        <v>278.50680000000017</v>
      </c>
      <c r="BF89" s="13">
        <f t="shared" si="91"/>
        <v>66.65135466191002</v>
      </c>
      <c r="BG89" s="20">
        <f t="shared" si="61"/>
        <v>601.1504527028269</v>
      </c>
      <c r="BH89" s="59">
        <f t="shared" si="62"/>
        <v>894.48378603616015</v>
      </c>
      <c r="BI89" s="59">
        <f ca="1">AVERAGE(OFFSET($BH$3,0,0,'Données projet'!$E$11+1,1))-AVERAGE(OFFSET($H$3,0,0,'Données projet'!$E$11+1,1))</f>
        <v>310.4018929413723</v>
      </c>
      <c r="BJ89" s="59">
        <f t="shared" si="92"/>
        <v>127.5231137583819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1.2462866437053777</v>
      </c>
      <c r="BR89" s="21">
        <f>EXP(-LN(2)/2)*BR88+(1-EXP(-LN(2)/2))/(LN(2)/2)*BL89*BO89*VLOOKUP('Données projet'!$B$11,Paramètres!$A$1:$I$89,3,0)*0.475*44/12</f>
        <v>3.3267979828430397E-8</v>
      </c>
      <c r="BS89" s="22">
        <f t="shared" si="63"/>
        <v>1.2462866769733576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12.124038461538468</v>
      </c>
      <c r="AH90" s="12">
        <f t="array" ref="AH90">INDEX(AG:AG,MIN(IF(ISNUMBER(AG90:AG286),ROW(AG90:AG286),"")))</f>
        <v>12.124038461538468</v>
      </c>
      <c r="AI90" s="13">
        <f>IF('Données projet'!$A$62&gt;35,AI89+AH90-AQ89,IF(A90&lt;'Données projet'!$A$62,$AF$205^A90,IF(A90='Données projet'!$A$62,'Données projet'!$B$62,AI89+AH90-AQ89)))</f>
        <v>456.51538461538485</v>
      </c>
      <c r="AJ90" s="13">
        <f>AI90*VLOOKUP('Données projet'!$B$10,Paramètres!$A$1:$I$89,3,0)*VLOOKUP('Données projet'!$B$10,Paramètres!$A$1:$I$89,5,0)</f>
        <v>213.64920000000012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757.28098428881731</v>
      </c>
      <c r="AN90" s="59">
        <f ca="1">AVERAGE(OFFSET($AM$3,0,0,'Données projet'!$E$10+1,1))-AVERAGE(OFFSET($H$3,0,0,'Données projet'!$E$10+1,1))</f>
        <v>158.58786357608489</v>
      </c>
      <c r="AO90" s="59">
        <f t="shared" si="90"/>
        <v>163.20074068819849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</v>
      </c>
      <c r="BD90" s="12">
        <f>IF('Données projet'!$A$88&gt;35,BD89+BC90-BL89,IF(A90&lt;'Données projet'!$A$88,$BA$205^A90,IF(A90='Données projet'!$A$88,'Données projet'!$B$88,BD89+BC90-BL89)))</f>
        <v>333.70000000000022</v>
      </c>
      <c r="BE90" s="13">
        <f>BD90*VLOOKUP('Données projet'!$B$11,Paramètres!$A$1:$I$89,3,0)*VLOOKUP('Données projet'!$B$11,Paramètres!$A$1:$I$89,5,0)</f>
        <v>286.31460000000021</v>
      </c>
      <c r="BF90" s="13">
        <f t="shared" si="91"/>
        <v>68.29972839038507</v>
      </c>
      <c r="BG90" s="20">
        <f t="shared" si="61"/>
        <v>617.61995527992087</v>
      </c>
      <c r="BH90" s="59">
        <f t="shared" si="62"/>
        <v>910.95328861325424</v>
      </c>
      <c r="BI90" s="59">
        <f ca="1">AVERAGE(OFFSET($BH$3,0,0,'Données projet'!$E$11+1,1))-AVERAGE(OFFSET($H$3,0,0,'Données projet'!$E$11+1,1))</f>
        <v>310.4018929413723</v>
      </c>
      <c r="BJ90" s="59">
        <f t="shared" si="92"/>
        <v>127.5231137583819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1.2122068698938879</v>
      </c>
      <c r="BR90" s="21">
        <f>EXP(-LN(2)/2)*BR89+(1-EXP(-LN(2)/2))/(LN(2)/2)*BL90*BO90*VLOOKUP('Données projet'!$B$11,Paramètres!$A$1:$I$89,3,0)*0.475*44/12</f>
        <v>2.352401413306041E-8</v>
      </c>
      <c r="BS90" s="22">
        <f t="shared" si="63"/>
        <v>1.212206893417902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11.242307692307691</v>
      </c>
      <c r="AI91" s="13">
        <f>IF('Données projet'!$A$62&gt;35,AI90+AH91-AQ90,IF(A91&lt;'Données projet'!$A$62,$AF$205^A91,IF(A91='Données projet'!$A$62,'Données projet'!$B$62,AI90+AH91-AQ90)))</f>
        <v>390.42692307692329</v>
      </c>
      <c r="AJ91" s="13">
        <f>AI91*VLOOKUP('Données projet'!$B$10,Paramètres!$A$1:$I$89,3,0)*VLOOKUP('Données projet'!$B$10,Paramètres!$A$1:$I$89,5,0)</f>
        <v>182.71980000000011</v>
      </c>
      <c r="AK91" s="13">
        <f t="shared" si="89"/>
        <v>45.926762394770535</v>
      </c>
      <c r="AL91" s="20">
        <f t="shared" si="58"/>
        <v>398.22609617089216</v>
      </c>
      <c r="AM91" s="59">
        <f t="shared" si="59"/>
        <v>691.55942950422548</v>
      </c>
      <c r="AN91" s="59">
        <f ca="1">AVERAGE(OFFSET($AM$3,0,0,'Données projet'!$E$10+1,1))-AVERAGE(OFFSET($H$3,0,0,'Données projet'!$E$10+1,1))</f>
        <v>158.58786357608489</v>
      </c>
      <c r="AO91" s="59">
        <f t="shared" si="90"/>
        <v>163.20074068819849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</v>
      </c>
      <c r="BD91" s="12">
        <f>IF('Données projet'!$A$88&gt;35,BD90+BC91-BL90,IF(A91&lt;'Données projet'!$A$88,$BA$205^A91,IF(A91='Données projet'!$A$88,'Données projet'!$B$88,BD90+BC91-BL90)))</f>
        <v>342.80000000000024</v>
      </c>
      <c r="BE91" s="13">
        <f>BD91*VLOOKUP('Données projet'!$B$11,Paramètres!$A$1:$I$89,3,0)*VLOOKUP('Données projet'!$B$11,Paramètres!$A$1:$I$89,5,0)</f>
        <v>294.1224000000002</v>
      </c>
      <c r="BF91" s="13">
        <f t="shared" si="91"/>
        <v>69.942877415457289</v>
      </c>
      <c r="BG91" s="20">
        <f t="shared" si="61"/>
        <v>634.08035816525512</v>
      </c>
      <c r="BH91" s="59">
        <f t="shared" si="62"/>
        <v>927.41369149858838</v>
      </c>
      <c r="BI91" s="59">
        <f ca="1">AVERAGE(OFFSET($BH$3,0,0,'Données projet'!$E$11+1,1))-AVERAGE(OFFSET($H$3,0,0,'Données projet'!$E$11+1,1))</f>
        <v>310.4018929413723</v>
      </c>
      <c r="BJ91" s="59">
        <f t="shared" si="92"/>
        <v>127.5231137583819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1.1790590092894508</v>
      </c>
      <c r="BR91" s="21">
        <f>EXP(-LN(2)/2)*BR90+(1-EXP(-LN(2)/2))/(LN(2)/2)*BL91*BO91*VLOOKUP('Données projet'!$B$11,Paramètres!$A$1:$I$89,3,0)*0.475*44/12</f>
        <v>1.6633989914215198E-8</v>
      </c>
      <c r="BS91" s="22">
        <f t="shared" si="63"/>
        <v>1.1790590259234408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11.242307692307691</v>
      </c>
      <c r="AI92" s="13">
        <f>IF('Données projet'!$A$62&gt;35,AI91+AH92-AQ91,IF(A92&lt;'Données projet'!$A$62,$AF$205^A92,IF(A92='Données projet'!$A$62,'Données projet'!$B$62,AI91+AH92-AQ91)))</f>
        <v>401.66923076923098</v>
      </c>
      <c r="AJ92" s="13">
        <f>AI92*VLOOKUP('Données projet'!$B$10,Paramètres!$A$1:$I$89,3,0)*VLOOKUP('Données projet'!$B$10,Paramètres!$A$1:$I$89,5,0)</f>
        <v>187.98120000000011</v>
      </c>
      <c r="AK92" s="13">
        <f t="shared" si="89"/>
        <v>47.093347732155607</v>
      </c>
      <c r="AL92" s="20">
        <f t="shared" si="58"/>
        <v>409.42150396683786</v>
      </c>
      <c r="AM92" s="59">
        <f t="shared" si="59"/>
        <v>702.75483730017118</v>
      </c>
      <c r="AN92" s="59">
        <f ca="1">AVERAGE(OFFSET($AM$3,0,0,'Données projet'!$E$10+1,1))-AVERAGE(OFFSET($H$3,0,0,'Données projet'!$E$10+1,1))</f>
        <v>158.58786357608489</v>
      </c>
      <c r="AO92" s="59">
        <f t="shared" si="90"/>
        <v>163.20074068819849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</v>
      </c>
      <c r="BD92" s="12">
        <f>IF('Données projet'!$A$88&gt;35,BD91+BC92-BL91,IF(A92&lt;'Données projet'!$A$88,$BA$205^A92,IF(A92='Données projet'!$A$88,'Données projet'!$B$88,BD91+BC92-BL91)))</f>
        <v>351.90000000000026</v>
      </c>
      <c r="BE92" s="13">
        <f>BD92*VLOOKUP('Données projet'!$B$11,Paramètres!$A$1:$I$89,3,0)*VLOOKUP('Données projet'!$B$11,Paramètres!$A$1:$I$89,5,0)</f>
        <v>301.93020000000024</v>
      </c>
      <c r="BF92" s="13">
        <f t="shared" si="91"/>
        <v>71.580956374520341</v>
      </c>
      <c r="BG92" s="20">
        <f t="shared" si="61"/>
        <v>650.53193068562337</v>
      </c>
      <c r="BH92" s="59">
        <f t="shared" si="62"/>
        <v>943.86526401895662</v>
      </c>
      <c r="BI92" s="59">
        <f ca="1">AVERAGE(OFFSET($BH$3,0,0,'Données projet'!$E$11+1,1))-AVERAGE(OFFSET($H$3,0,0,'Données projet'!$E$11+1,1))</f>
        <v>310.4018929413723</v>
      </c>
      <c r="BJ92" s="59">
        <f t="shared" si="92"/>
        <v>127.5231137583819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1.1468175786764123</v>
      </c>
      <c r="BR92" s="21">
        <f>EXP(-LN(2)/2)*BR91+(1-EXP(-LN(2)/2))/(LN(2)/2)*BL92*BO92*VLOOKUP('Données projet'!$B$11,Paramètres!$A$1:$I$89,3,0)*0.475*44/12</f>
        <v>1.1762007066530205E-8</v>
      </c>
      <c r="BS92" s="22">
        <f t="shared" si="63"/>
        <v>1.1468175904384195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11.242307692307691</v>
      </c>
      <c r="AI93" s="13">
        <f>IF('Données projet'!$A$62&gt;35,AI92+AH93-AQ92,IF(A93&lt;'Données projet'!$A$62,$AF$205^A93,IF(A93='Données projet'!$A$62,'Données projet'!$B$62,AI92+AH93-AQ92)))</f>
        <v>412.91153846153867</v>
      </c>
      <c r="AJ93" s="13">
        <f>AI93*VLOOKUP('Données projet'!$B$10,Paramètres!$A$1:$I$89,3,0)*VLOOKUP('Données projet'!$B$10,Paramètres!$A$1:$I$89,5,0)</f>
        <v>193.2426000000001</v>
      </c>
      <c r="AK93" s="13">
        <f t="shared" si="89"/>
        <v>48.256138093290417</v>
      </c>
      <c r="AL93" s="20">
        <f t="shared" si="58"/>
        <v>420.6103021791476</v>
      </c>
      <c r="AM93" s="59">
        <f t="shared" si="59"/>
        <v>713.94363551248091</v>
      </c>
      <c r="AN93" s="59">
        <f ca="1">AVERAGE(OFFSET($AM$3,0,0,'Données projet'!$E$10+1,1))-AVERAGE(OFFSET($H$3,0,0,'Données projet'!$E$10+1,1))</f>
        <v>158.58786357608489</v>
      </c>
      <c r="AO93" s="59">
        <f t="shared" si="90"/>
        <v>163.20074068819849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361</v>
      </c>
      <c r="BB93" s="12">
        <f>VLOOKUP(A93,'Données projet'!$A$87:$I$107,9,0)</f>
        <v>9.1</v>
      </c>
      <c r="BC93" s="12">
        <f t="array" ref="BC93">INDEX(BB:BB,MIN(IF(ISNUMBER(BB93:BB289),ROW(BB93:BB289),"")))</f>
        <v>9.1</v>
      </c>
      <c r="BD93" s="12">
        <f>IF('Données projet'!$A$88&gt;35,BD92+BC93-BL92,IF(A93&lt;'Données projet'!$A$88,$BA$205^A93,IF(A93='Données projet'!$A$88,'Données projet'!$B$88,BD92+BC93-BL92)))</f>
        <v>361.00000000000028</v>
      </c>
      <c r="BE93" s="13">
        <f>BD93*VLOOKUP('Données projet'!$B$11,Paramètres!$A$1:$I$89,3,0)*VLOOKUP('Données projet'!$B$11,Paramètres!$A$1:$I$89,5,0)</f>
        <v>309.73800000000028</v>
      </c>
      <c r="BF93" s="13">
        <f t="shared" si="91"/>
        <v>73.214111451653608</v>
      </c>
      <c r="BG93" s="20">
        <f t="shared" si="61"/>
        <v>666.97492744496378</v>
      </c>
      <c r="BH93" s="59">
        <f t="shared" si="62"/>
        <v>960.30826077829715</v>
      </c>
      <c r="BI93" s="59">
        <f ca="1">AVERAGE(OFFSET($BH$3,0,0,'Données projet'!$E$11+1,1))-AVERAGE(OFFSET($H$3,0,0,'Données projet'!$E$11+1,1))</f>
        <v>310.4018929413723</v>
      </c>
      <c r="BJ93" s="59">
        <f t="shared" si="92"/>
        <v>127.5231137583819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67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1.1154577916789905</v>
      </c>
      <c r="BR93" s="21">
        <f>EXP(-LN(2)/2)*BR92+(1-EXP(-LN(2)/2))/(LN(2)/2)*BL93*BO93*VLOOKUP('Données projet'!$B$11,Paramètres!$A$1:$I$89,3,0)*0.475*44/12</f>
        <v>8.3169949571075992E-9</v>
      </c>
      <c r="BS93" s="22">
        <f t="shared" si="63"/>
        <v>1.1154577999959854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11.242307692307691</v>
      </c>
      <c r="AI94" s="13">
        <f>IF('Données projet'!$A$62&gt;35,AI93+AH94-AQ93,IF(A94&lt;'Données projet'!$A$62,$AF$205^A94,IF(A94='Données projet'!$A$62,'Données projet'!$B$62,AI93+AH94-AQ93)))</f>
        <v>424.15384615384636</v>
      </c>
      <c r="AJ94" s="13">
        <f>AI94*VLOOKUP('Données projet'!$B$10,Paramètres!$A$1:$I$89,3,0)*VLOOKUP('Données projet'!$B$10,Paramètres!$A$1:$I$89,5,0)</f>
        <v>198.5040000000001</v>
      </c>
      <c r="AK94" s="13">
        <f t="shared" si="89"/>
        <v>49.415248676990458</v>
      </c>
      <c r="AL94" s="20">
        <f t="shared" si="58"/>
        <v>431.79269144575846</v>
      </c>
      <c r="AM94" s="59">
        <f t="shared" si="59"/>
        <v>725.12602477909172</v>
      </c>
      <c r="AN94" s="59">
        <f ca="1">AVERAGE(OFFSET($AM$3,0,0,'Données projet'!$E$10+1,1))-AVERAGE(OFFSET($H$3,0,0,'Données projet'!$E$10+1,1))</f>
        <v>158.58786357608489</v>
      </c>
      <c r="AO94" s="59">
        <f t="shared" si="90"/>
        <v>163.20074068819849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8.4</v>
      </c>
      <c r="BD94" s="12">
        <f>IF('Données projet'!$A$88&gt;35,BD93+BC94-BL93,IF(A94&lt;'Données projet'!$A$88,$BA$205^A94,IF(A94='Données projet'!$A$88,'Données projet'!$B$88,BD93+BC94-BL93)))</f>
        <v>302.40000000000026</v>
      </c>
      <c r="BE94" s="13">
        <f>BD94*VLOOKUP('Données projet'!$B$11,Paramètres!$A$1:$I$89,3,0)*VLOOKUP('Données projet'!$B$11,Paramètres!$A$1:$I$89,5,0)</f>
        <v>259.45920000000024</v>
      </c>
      <c r="BF94" s="13">
        <f t="shared" si="91"/>
        <v>62.607087284635185</v>
      </c>
      <c r="BG94" s="20">
        <f t="shared" si="61"/>
        <v>560.93211702074007</v>
      </c>
      <c r="BH94" s="59">
        <f t="shared" si="62"/>
        <v>854.26545035407344</v>
      </c>
      <c r="BI94" s="59">
        <f ca="1">AVERAGE(OFFSET($BH$3,0,0,'Données projet'!$E$11+1,1))-AVERAGE(OFFSET($H$3,0,0,'Données projet'!$E$11+1,1))</f>
        <v>310.4018929413723</v>
      </c>
      <c r="BJ94" s="59">
        <f t="shared" si="92"/>
        <v>127.5231137583819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1.0849555397061525</v>
      </c>
      <c r="BR94" s="21">
        <f>EXP(-LN(2)/2)*BR93+(1-EXP(-LN(2)/2))/(LN(2)/2)*BL94*BO94*VLOOKUP('Données projet'!$B$11,Paramètres!$A$1:$I$89,3,0)*0.475*44/12</f>
        <v>5.8810035332651024E-9</v>
      </c>
      <c r="BS94" s="22">
        <f t="shared" si="63"/>
        <v>1.084955545587156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11.242307692307691</v>
      </c>
      <c r="AI95" s="13">
        <f>IF('Données projet'!$A$62&gt;35,AI94+AH95-AQ94,IF(A95&lt;'Données projet'!$A$62,$AF$205^A95,IF(A95='Données projet'!$A$62,'Données projet'!$B$62,AI94+AH95-AQ94)))</f>
        <v>435.39615384615405</v>
      </c>
      <c r="AJ95" s="13">
        <f>AI95*VLOOKUP('Données projet'!$B$10,Paramètres!$A$1:$I$89,3,0)*VLOOKUP('Données projet'!$B$10,Paramètres!$A$1:$I$89,5,0)</f>
        <v>203.76540000000008</v>
      </c>
      <c r="AK95" s="13">
        <f t="shared" si="89"/>
        <v>50.570788227585879</v>
      </c>
      <c r="AL95" s="20">
        <f t="shared" si="58"/>
        <v>442.96886116304557</v>
      </c>
      <c r="AM95" s="59">
        <f t="shared" si="59"/>
        <v>736.30219449637889</v>
      </c>
      <c r="AN95" s="59">
        <f ca="1">AVERAGE(OFFSET($AM$3,0,0,'Données projet'!$E$10+1,1))-AVERAGE(OFFSET($H$3,0,0,'Données projet'!$E$10+1,1))</f>
        <v>158.58786357608489</v>
      </c>
      <c r="AO95" s="59">
        <f t="shared" si="90"/>
        <v>163.20074068819849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8.4</v>
      </c>
      <c r="BD95" s="12">
        <f>IF('Données projet'!$A$88&gt;35,BD94+BC95-BL94,IF(A95&lt;'Données projet'!$A$88,$BA$205^A95,IF(A95='Données projet'!$A$88,'Données projet'!$B$88,BD94+BC95-BL94)))</f>
        <v>310.80000000000024</v>
      </c>
      <c r="BE95" s="13">
        <f>BD95*VLOOKUP('Données projet'!$B$11,Paramètres!$A$1:$I$89,3,0)*VLOOKUP('Données projet'!$B$11,Paramètres!$A$1:$I$89,5,0)</f>
        <v>266.66640000000024</v>
      </c>
      <c r="BF95" s="13">
        <f t="shared" si="91"/>
        <v>64.141284508389418</v>
      </c>
      <c r="BG95" s="20">
        <f t="shared" si="61"/>
        <v>576.15671718544536</v>
      </c>
      <c r="BH95" s="59">
        <f t="shared" si="62"/>
        <v>869.49005051877862</v>
      </c>
      <c r="BI95" s="59">
        <f ca="1">AVERAGE(OFFSET($BH$3,0,0,'Données projet'!$E$11+1,1))-AVERAGE(OFFSET($H$3,0,0,'Données projet'!$E$11+1,1))</f>
        <v>310.4018929413723</v>
      </c>
      <c r="BJ95" s="59">
        <f t="shared" si="92"/>
        <v>127.5231137583819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1.0552873734175556</v>
      </c>
      <c r="BR95" s="21">
        <f>EXP(-LN(2)/2)*BR94+(1-EXP(-LN(2)/2))/(LN(2)/2)*BL95*BO95*VLOOKUP('Données projet'!$B$11,Paramètres!$A$1:$I$89,3,0)*0.475*44/12</f>
        <v>4.1584974785537996E-9</v>
      </c>
      <c r="BS95" s="22">
        <f t="shared" si="63"/>
        <v>1.0552873775760532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11.242307692307691</v>
      </c>
      <c r="AI96" s="13">
        <f>IF('Données projet'!$A$62&gt;35,AI95+AH96-AQ95,IF(A96&lt;'Données projet'!$A$62,$AF$205^A96,IF(A96='Données projet'!$A$62,'Données projet'!$B$62,AI95+AH96-AQ95)))</f>
        <v>446.63846153846174</v>
      </c>
      <c r="AJ96" s="13">
        <f>AI96*VLOOKUP('Données projet'!$B$10,Paramètres!$A$1:$I$89,3,0)*VLOOKUP('Données projet'!$B$10,Paramètres!$A$1:$I$89,5,0)</f>
        <v>209.02680000000009</v>
      </c>
      <c r="AK96" s="13">
        <f t="shared" si="89"/>
        <v>51.722859553755349</v>
      </c>
      <c r="AL96" s="20">
        <f t="shared" si="58"/>
        <v>454.13899038945743</v>
      </c>
      <c r="AM96" s="59">
        <f t="shared" si="59"/>
        <v>747.47232372279075</v>
      </c>
      <c r="AN96" s="59">
        <f ca="1">AVERAGE(OFFSET($AM$3,0,0,'Données projet'!$E$10+1,1))-AVERAGE(OFFSET($H$3,0,0,'Données projet'!$E$10+1,1))</f>
        <v>158.58786357608489</v>
      </c>
      <c r="AO96" s="59">
        <f t="shared" si="90"/>
        <v>163.20074068819849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8.4</v>
      </c>
      <c r="BD96" s="12">
        <f>IF('Données projet'!$A$88&gt;35,BD95+BC96-BL95,IF(A96&lt;'Données projet'!$A$88,$BA$205^A96,IF(A96='Données projet'!$A$88,'Données projet'!$B$88,BD95+BC96-BL95)))</f>
        <v>319.20000000000022</v>
      </c>
      <c r="BE96" s="13">
        <f>BD96*VLOOKUP('Données projet'!$B$11,Paramètres!$A$1:$I$89,3,0)*VLOOKUP('Données projet'!$B$11,Paramètres!$A$1:$I$89,5,0)</f>
        <v>273.87360000000024</v>
      </c>
      <c r="BF96" s="13">
        <f t="shared" si="91"/>
        <v>65.670662194579606</v>
      </c>
      <c r="BG96" s="20">
        <f t="shared" si="61"/>
        <v>591.3729233222266</v>
      </c>
      <c r="BH96" s="59">
        <f t="shared" si="62"/>
        <v>884.70625665555986</v>
      </c>
      <c r="BI96" s="59">
        <f ca="1">AVERAGE(OFFSET($BH$3,0,0,'Données projet'!$E$11+1,1))-AVERAGE(OFFSET($H$3,0,0,'Données projet'!$E$11+1,1))</f>
        <v>310.4018929413723</v>
      </c>
      <c r="BJ96" s="59">
        <f t="shared" si="92"/>
        <v>127.5231137583819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1.0264304846963015</v>
      </c>
      <c r="BR96" s="21">
        <f>EXP(-LN(2)/2)*BR95+(1-EXP(-LN(2)/2))/(LN(2)/2)*BL96*BO96*VLOOKUP('Données projet'!$B$11,Paramètres!$A$1:$I$89,3,0)*0.475*44/12</f>
        <v>2.9405017666325512E-9</v>
      </c>
      <c r="BS96" s="22">
        <f t="shared" si="63"/>
        <v>1.0264304876368033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11.242307692307691</v>
      </c>
      <c r="AI97" s="13">
        <f>IF('Données projet'!$A$62&gt;35,AI96+AH97-AQ96,IF(A97&lt;'Données projet'!$A$62,$AF$205^A97,IF(A97='Données projet'!$A$62,'Données projet'!$B$62,AI96+AH97-AQ96)))</f>
        <v>457.88076923076943</v>
      </c>
      <c r="AJ97" s="13">
        <f>AI97*VLOOKUP('Données projet'!$B$10,Paramètres!$A$1:$I$89,3,0)*VLOOKUP('Données projet'!$B$10,Paramètres!$A$1:$I$89,5,0)</f>
        <v>214.28820000000007</v>
      </c>
      <c r="AK97" s="13">
        <f t="shared" si="89"/>
        <v>52.871559993650941</v>
      </c>
      <c r="AL97" s="20">
        <f t="shared" si="58"/>
        <v>465.3032486556088</v>
      </c>
      <c r="AM97" s="59">
        <f t="shared" si="59"/>
        <v>758.63658198894211</v>
      </c>
      <c r="AN97" s="59">
        <f ca="1">AVERAGE(OFFSET($AM$3,0,0,'Données projet'!$E$10+1,1))-AVERAGE(OFFSET($H$3,0,0,'Données projet'!$E$10+1,1))</f>
        <v>158.58786357608489</v>
      </c>
      <c r="AO97" s="59">
        <f t="shared" si="90"/>
        <v>163.20074068819849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8.4</v>
      </c>
      <c r="BD97" s="12">
        <f>IF('Données projet'!$A$88&gt;35,BD96+BC97-BL96,IF(A97&lt;'Données projet'!$A$88,$BA$205^A97,IF(A97='Données projet'!$A$88,'Données projet'!$B$88,BD96+BC97-BL96)))</f>
        <v>327.60000000000019</v>
      </c>
      <c r="BE97" s="13">
        <f>BD97*VLOOKUP('Données projet'!$B$11,Paramètres!$A$1:$I$89,3,0)*VLOOKUP('Données projet'!$B$11,Paramètres!$A$1:$I$89,5,0)</f>
        <v>281.08080000000018</v>
      </c>
      <c r="BF97" s="13">
        <f t="shared" si="91"/>
        <v>67.195361752546177</v>
      </c>
      <c r="BG97" s="20">
        <f t="shared" si="61"/>
        <v>606.58098171901827</v>
      </c>
      <c r="BH97" s="59">
        <f t="shared" si="62"/>
        <v>899.91431505235164</v>
      </c>
      <c r="BI97" s="59">
        <f ca="1">AVERAGE(OFFSET($BH$3,0,0,'Données projet'!$E$11+1,1))-AVERAGE(OFFSET($H$3,0,0,'Données projet'!$E$11+1,1))</f>
        <v>310.4018929413723</v>
      </c>
      <c r="BJ97" s="59">
        <f t="shared" si="92"/>
        <v>127.5231137583819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0.99836268911464787</v>
      </c>
      <c r="BR97" s="21">
        <f>EXP(-LN(2)/2)*BR96+(1-EXP(-LN(2)/2))/(LN(2)/2)*BL97*BO97*VLOOKUP('Données projet'!$B$11,Paramètres!$A$1:$I$89,3,0)*0.475*44/12</f>
        <v>2.0792487392768998E-9</v>
      </c>
      <c r="BS97" s="22">
        <f t="shared" si="63"/>
        <v>0.99836269119389665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11.242307692307691</v>
      </c>
      <c r="AH98" s="12">
        <f t="array" ref="AH98">INDEX(AG:AG,MIN(IF(ISNUMBER(AG98:AG294),ROW(AG98:AG294),"")))</f>
        <v>11.242307692307691</v>
      </c>
      <c r="AI98" s="13">
        <f>IF('Données projet'!$A$62&gt;35,AI97+AH98-AQ97,IF(A98&lt;'Données projet'!$A$62,$AF$205^A98,IF(A98='Données projet'!$A$62,'Données projet'!$B$62,AI97+AH98-AQ97)))</f>
        <v>469.12307692307712</v>
      </c>
      <c r="AJ98" s="13">
        <f>AI98*VLOOKUP('Données projet'!$B$10,Paramètres!$A$1:$I$89,3,0)*VLOOKUP('Données projet'!$B$10,Paramètres!$A$1:$I$89,5,0)</f>
        <v>219.54960000000008</v>
      </c>
      <c r="AK98" s="13">
        <f t="shared" si="89"/>
        <v>54.016981833057052</v>
      </c>
      <c r="AL98" s="20">
        <f t="shared" si="58"/>
        <v>476.46179669257441</v>
      </c>
      <c r="AM98" s="59">
        <f t="shared" si="59"/>
        <v>769.79513002590772</v>
      </c>
      <c r="AN98" s="59">
        <f ca="1">AVERAGE(OFFSET($AM$3,0,0,'Données projet'!$E$10+1,1))-AVERAGE(OFFSET($H$3,0,0,'Données projet'!$E$10+1,1))</f>
        <v>158.58786357608489</v>
      </c>
      <c r="AO98" s="59">
        <f t="shared" si="90"/>
        <v>163.20074068819849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8.4</v>
      </c>
      <c r="BD98" s="12">
        <f>IF('Données projet'!$A$88&gt;35,BD97+BC98-BL97,IF(A98&lt;'Données projet'!$A$88,$BA$205^A98,IF(A98='Données projet'!$A$88,'Données projet'!$B$88,BD97+BC98-BL97)))</f>
        <v>336.00000000000017</v>
      </c>
      <c r="BE98" s="13">
        <f>BD98*VLOOKUP('Données projet'!$B$11,Paramètres!$A$1:$I$89,3,0)*VLOOKUP('Données projet'!$B$11,Paramètres!$A$1:$I$89,5,0)</f>
        <v>288.28800000000018</v>
      </c>
      <c r="BF98" s="13">
        <f t="shared" si="91"/>
        <v>68.715516926722444</v>
      </c>
      <c r="BG98" s="20">
        <f t="shared" si="61"/>
        <v>621.7811253140419</v>
      </c>
      <c r="BH98" s="59">
        <f t="shared" si="62"/>
        <v>915.11445864737516</v>
      </c>
      <c r="BI98" s="59">
        <f ca="1">AVERAGE(OFFSET($BH$3,0,0,'Données projet'!$E$11+1,1))-AVERAGE(OFFSET($H$3,0,0,'Données projet'!$E$11+1,1))</f>
        <v>310.4018929413723</v>
      </c>
      <c r="BJ98" s="59">
        <f t="shared" si="92"/>
        <v>127.5231137583819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0.97106240887919582</v>
      </c>
      <c r="BR98" s="21">
        <f>EXP(-LN(2)/2)*BR97+(1-EXP(-LN(2)/2))/(LN(2)/2)*BL98*BO98*VLOOKUP('Données projet'!$B$11,Paramètres!$A$1:$I$89,3,0)*0.475*44/12</f>
        <v>1.4702508833162756E-9</v>
      </c>
      <c r="BS98" s="22">
        <f t="shared" si="63"/>
        <v>0.97106241034944674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7.5015384615384617</v>
      </c>
      <c r="AI99" s="13">
        <f>IF('Données projet'!$A$62&gt;35,AI98+AH99-AQ98,IF(A99&lt;'Données projet'!$A$62,$AF$205^A99,IF(A99='Données projet'!$A$62,'Données projet'!$B$62,AI98+AH99-AQ98)))</f>
        <v>242.20153846153869</v>
      </c>
      <c r="AJ99" s="13">
        <f>AI99*VLOOKUP('Données projet'!$B$10,Paramètres!$A$1:$I$89,3,0)*VLOOKUP('Données projet'!$B$10,Paramètres!$A$1:$I$89,5,0)</f>
        <v>113.35032000000011</v>
      </c>
      <c r="AK99" s="13">
        <f t="shared" si="89"/>
        <v>30.118962463528121</v>
      </c>
      <c r="AL99" s="20">
        <f t="shared" si="58"/>
        <v>249.87566695731167</v>
      </c>
      <c r="AM99" s="59">
        <f t="shared" si="59"/>
        <v>543.20900029064501</v>
      </c>
      <c r="AN99" s="59">
        <f ca="1">AVERAGE(OFFSET($AM$3,0,0,'Données projet'!$E$10+1,1))-AVERAGE(OFFSET($H$3,0,0,'Données projet'!$E$10+1,1))</f>
        <v>158.58786357608489</v>
      </c>
      <c r="AO99" s="59">
        <f t="shared" si="90"/>
        <v>163.20074068819849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8.4</v>
      </c>
      <c r="BD99" s="12">
        <f>IF('Données projet'!$A$88&gt;35,BD98+BC99-BL98,IF(A99&lt;'Données projet'!$A$88,$BA$205^A99,IF(A99='Données projet'!$A$88,'Données projet'!$B$88,BD98+BC99-BL98)))</f>
        <v>344.40000000000015</v>
      </c>
      <c r="BE99" s="13">
        <f>BD99*VLOOKUP('Données projet'!$B$11,Paramètres!$A$1:$I$89,3,0)*VLOOKUP('Données projet'!$B$11,Paramètres!$A$1:$I$89,5,0)</f>
        <v>295.49520000000018</v>
      </c>
      <c r="BF99" s="13">
        <f t="shared" si="91"/>
        <v>70.23125439319044</v>
      </c>
      <c r="BG99" s="20">
        <f t="shared" si="61"/>
        <v>636.97357473480702</v>
      </c>
      <c r="BH99" s="59">
        <f t="shared" si="62"/>
        <v>930.30690806814027</v>
      </c>
      <c r="BI99" s="59">
        <f ca="1">AVERAGE(OFFSET($BH$3,0,0,'Données projet'!$E$11+1,1))-AVERAGE(OFFSET($H$3,0,0,'Données projet'!$E$11+1,1))</f>
        <v>310.4018929413723</v>
      </c>
      <c r="BJ99" s="59">
        <f t="shared" si="92"/>
        <v>127.5231137583819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0.94450865624244151</v>
      </c>
      <c r="BR99" s="21">
        <f>EXP(-LN(2)/2)*BR98+(1-EXP(-LN(2)/2))/(LN(2)/2)*BL99*BO99*VLOOKUP('Données projet'!$B$11,Paramètres!$A$1:$I$89,3,0)*0.475*44/12</f>
        <v>1.0396243696384499E-9</v>
      </c>
      <c r="BS99" s="22">
        <f t="shared" si="63"/>
        <v>0.9445086572820659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7.5015384615384617</v>
      </c>
      <c r="AI100" s="13">
        <f>IF('Données projet'!$A$62&gt;35,AI99+AH100-AQ99,IF(A100&lt;'Données projet'!$A$62,$AF$205^A100,IF(A100='Données projet'!$A$62,'Données projet'!$B$62,AI99+AH100-AQ99)))</f>
        <v>249.70307692307716</v>
      </c>
      <c r="AJ100" s="13">
        <f>AI100*VLOOKUP('Données projet'!$B$10,Paramètres!$A$1:$I$89,3,0)*VLOOKUP('Données projet'!$B$10,Paramètres!$A$1:$I$89,5,0)</f>
        <v>116.86104000000012</v>
      </c>
      <c r="AK100" s="13">
        <f t="shared" si="89"/>
        <v>30.941762857231797</v>
      </c>
      <c r="AL100" s="20">
        <f t="shared" si="58"/>
        <v>257.42321497634555</v>
      </c>
      <c r="AM100" s="59">
        <f t="shared" si="59"/>
        <v>550.75654830967892</v>
      </c>
      <c r="AN100" s="59">
        <f ca="1">AVERAGE(OFFSET($AM$3,0,0,'Données projet'!$E$10+1,1))-AVERAGE(OFFSET($H$3,0,0,'Données projet'!$E$10+1,1))</f>
        <v>158.58786357608489</v>
      </c>
      <c r="AO100" s="59">
        <f t="shared" si="90"/>
        <v>163.20074068819849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8.4</v>
      </c>
      <c r="BD100" s="12">
        <f>IF('Données projet'!$A$88&gt;35,BD99+BC100-BL99,IF(A100&lt;'Données projet'!$A$88,$BA$205^A100,IF(A100='Données projet'!$A$88,'Données projet'!$B$88,BD99+BC100-BL99)))</f>
        <v>352.80000000000013</v>
      </c>
      <c r="BE100" s="13">
        <f>BD100*VLOOKUP('Données projet'!$B$11,Paramètres!$A$1:$I$89,3,0)*VLOOKUP('Données projet'!$B$11,Paramètres!$A$1:$I$89,5,0)</f>
        <v>302.70240000000013</v>
      </c>
      <c r="BF100" s="13">
        <f t="shared" si="91"/>
        <v>71.742694296396621</v>
      </c>
      <c r="BG100" s="20">
        <f t="shared" si="61"/>
        <v>652.15853923289103</v>
      </c>
      <c r="BH100" s="59">
        <f t="shared" si="62"/>
        <v>945.4918725662244</v>
      </c>
      <c r="BI100" s="59">
        <f ca="1">AVERAGE(OFFSET($BH$3,0,0,'Données projet'!$E$11+1,1))-AVERAGE(OFFSET($H$3,0,0,'Données projet'!$E$11+1,1))</f>
        <v>310.4018929413723</v>
      </c>
      <c r="BJ100" s="59">
        <f t="shared" si="92"/>
        <v>127.5231137583819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0.91868101736794039</v>
      </c>
      <c r="BR100" s="21">
        <f>EXP(-LN(2)/2)*BR99+(1-EXP(-LN(2)/2))/(LN(2)/2)*BL100*BO100*VLOOKUP('Données projet'!$B$11,Paramètres!$A$1:$I$89,3,0)*0.475*44/12</f>
        <v>7.351254416581378E-10</v>
      </c>
      <c r="BS100" s="22">
        <f t="shared" si="63"/>
        <v>0.91868101810306579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7.5015384615384617</v>
      </c>
      <c r="AI101" s="13">
        <f>IF('Données projet'!$A$62&gt;35,AI100+AH101-AQ100,IF(A101&lt;'Données projet'!$A$62,$AF$205^A101,IF(A101='Données projet'!$A$62,'Données projet'!$B$62,AI100+AH101-AQ100)))</f>
        <v>257.20461538461564</v>
      </c>
      <c r="AJ101" s="13">
        <f>AI101*VLOOKUP('Données projet'!$B$10,Paramètres!$A$1:$I$89,3,0)*VLOOKUP('Données projet'!$B$10,Paramètres!$A$1:$I$89,5,0)</f>
        <v>120.37176000000012</v>
      </c>
      <c r="AK101" s="13">
        <f t="shared" si="89"/>
        <v>31.761690593555869</v>
      </c>
      <c r="AL101" s="20">
        <f t="shared" si="58"/>
        <v>264.96575978377672</v>
      </c>
      <c r="AM101" s="59">
        <f t="shared" si="59"/>
        <v>558.29909311711003</v>
      </c>
      <c r="AN101" s="59">
        <f ca="1">AVERAGE(OFFSET($AM$3,0,0,'Données projet'!$E$10+1,1))-AVERAGE(OFFSET($H$3,0,0,'Données projet'!$E$10+1,1))</f>
        <v>158.58786357608489</v>
      </c>
      <c r="AO101" s="59">
        <f t="shared" si="90"/>
        <v>163.20074068819849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8.4</v>
      </c>
      <c r="BD101" s="12">
        <f>IF('Données projet'!$A$88&gt;35,BD100+BC101-BL100,IF(A101&lt;'Données projet'!$A$88,$BA$205^A101,IF(A101='Données projet'!$A$88,'Données projet'!$B$88,BD100+BC101-BL100)))</f>
        <v>361.2000000000001</v>
      </c>
      <c r="BE101" s="13">
        <f>BD101*VLOOKUP('Données projet'!$B$11,Paramètres!$A$1:$I$89,3,0)*VLOOKUP('Données projet'!$B$11,Paramètres!$A$1:$I$89,5,0)</f>
        <v>309.90960000000013</v>
      </c>
      <c r="BF101" s="13">
        <f t="shared" si="91"/>
        <v>73.249950733312943</v>
      </c>
      <c r="BG101" s="20">
        <f t="shared" si="61"/>
        <v>667.33621752718682</v>
      </c>
      <c r="BH101" s="59">
        <f t="shared" si="62"/>
        <v>960.66955086052008</v>
      </c>
      <c r="BI101" s="59">
        <f ca="1">AVERAGE(OFFSET($BH$3,0,0,'Données projet'!$E$11+1,1))-AVERAGE(OFFSET($H$3,0,0,'Données projet'!$E$11+1,1))</f>
        <v>310.4018929413723</v>
      </c>
      <c r="BJ101" s="59">
        <f t="shared" si="92"/>
        <v>127.5231137583819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0.89355963663667903</v>
      </c>
      <c r="BR101" s="21">
        <f>EXP(-LN(2)/2)*BR100+(1-EXP(-LN(2)/2))/(LN(2)/2)*BL101*BO101*VLOOKUP('Données projet'!$B$11,Paramètres!$A$1:$I$89,3,0)*0.475*44/12</f>
        <v>5.1981218481922495E-10</v>
      </c>
      <c r="BS101" s="22">
        <f t="shared" si="63"/>
        <v>0.89355963715649123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7.5015384615384617</v>
      </c>
      <c r="AI102" s="13">
        <f>IF('Données projet'!$A$62&gt;35,AI101+AH102-AQ101,IF(A102&lt;'Données projet'!$A$62,$AF$205^A102,IF(A102='Données projet'!$A$62,'Données projet'!$B$62,AI101+AH102-AQ101)))</f>
        <v>264.70615384615411</v>
      </c>
      <c r="AJ102" s="13">
        <f>AI102*VLOOKUP('Données projet'!$B$10,Paramètres!$A$1:$I$89,3,0)*VLOOKUP('Données projet'!$B$10,Paramètres!$A$1:$I$89,5,0)</f>
        <v>123.88248000000011</v>
      </c>
      <c r="AK102" s="13">
        <f t="shared" si="89"/>
        <v>32.578839075986679</v>
      </c>
      <c r="AL102" s="20">
        <f t="shared" si="58"/>
        <v>272.50346405734365</v>
      </c>
      <c r="AM102" s="59">
        <f t="shared" si="59"/>
        <v>565.83679739067702</v>
      </c>
      <c r="AN102" s="59">
        <f ca="1">AVERAGE(OFFSET($AM$3,0,0,'Données projet'!$E$10+1,1))-AVERAGE(OFFSET($H$3,0,0,'Données projet'!$E$10+1,1))</f>
        <v>158.58786357608489</v>
      </c>
      <c r="AO102" s="59">
        <f t="shared" si="90"/>
        <v>163.20074068819849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8.4</v>
      </c>
      <c r="BD102" s="12">
        <f>IF('Données projet'!$A$88&gt;35,BD101+BC102-BL101,IF(A102&lt;'Données projet'!$A$88,$BA$205^A102,IF(A102='Données projet'!$A$88,'Données projet'!$B$88,BD101+BC102-BL101)))</f>
        <v>369.60000000000008</v>
      </c>
      <c r="BE102" s="13">
        <f>BD102*VLOOKUP('Données projet'!$B$11,Paramètres!$A$1:$I$89,3,0)*VLOOKUP('Données projet'!$B$11,Paramètres!$A$1:$I$89,5,0)</f>
        <v>317.11680000000013</v>
      </c>
      <c r="BF102" s="13">
        <f t="shared" si="91"/>
        <v>74.753132191289879</v>
      </c>
      <c r="BG102" s="20">
        <f t="shared" si="61"/>
        <v>682.50679856649674</v>
      </c>
      <c r="BH102" s="59">
        <f t="shared" si="62"/>
        <v>975.84013189983011</v>
      </c>
      <c r="BI102" s="59">
        <f ca="1">AVERAGE(OFFSET($BH$3,0,0,'Données projet'!$E$11+1,1))-AVERAGE(OFFSET($H$3,0,0,'Données projet'!$E$11+1,1))</f>
        <v>310.4018929413723</v>
      </c>
      <c r="BJ102" s="59">
        <f t="shared" si="92"/>
        <v>127.5231137583819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0.86912520138258997</v>
      </c>
      <c r="BR102" s="21">
        <f>EXP(-LN(2)/2)*BR101+(1-EXP(-LN(2)/2))/(LN(2)/2)*BL102*BO102*VLOOKUP('Données projet'!$B$11,Paramètres!$A$1:$I$89,3,0)*0.475*44/12</f>
        <v>3.675627208290689E-10</v>
      </c>
      <c r="BS102" s="22">
        <f t="shared" si="63"/>
        <v>0.86912520175015273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7.5015384615384617</v>
      </c>
      <c r="AI103" s="13">
        <f>IF('Données projet'!$A$62&gt;35,AI102+AH103-AQ102,IF(A103&lt;'Données projet'!$A$62,$AF$205^A103,IF(A103='Données projet'!$A$62,'Données projet'!$B$62,AI102+AH103-AQ102)))</f>
        <v>272.20769230769258</v>
      </c>
      <c r="AJ103" s="13">
        <f>AI103*VLOOKUP('Données projet'!$B$10,Paramètres!$A$1:$I$89,3,0)*VLOOKUP('Données projet'!$B$10,Paramètres!$A$1:$I$89,5,0)</f>
        <v>127.39320000000012</v>
      </c>
      <c r="AK103" s="13">
        <f t="shared" si="89"/>
        <v>33.393296112922592</v>
      </c>
      <c r="AL103" s="20">
        <f t="shared" si="58"/>
        <v>280.03648073000704</v>
      </c>
      <c r="AM103" s="59">
        <f t="shared" si="59"/>
        <v>573.3698140633403</v>
      </c>
      <c r="AN103" s="59">
        <f ca="1">AVERAGE(OFFSET($AM$3,0,0,'Données projet'!$E$10+1,1))-AVERAGE(OFFSET($H$3,0,0,'Données projet'!$E$10+1,1))</f>
        <v>158.58786357608489</v>
      </c>
      <c r="AO103" s="59">
        <f t="shared" si="90"/>
        <v>163.20074068819849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378</v>
      </c>
      <c r="BB103" s="12">
        <f>VLOOKUP(A103,'Données projet'!$A$87:$I$107,9,0)</f>
        <v>8.4</v>
      </c>
      <c r="BC103" s="12">
        <f t="array" ref="BC103">INDEX(BB:BB,MIN(IF(ISNUMBER(BB103:BB299),ROW(BB103:BB299),"")))</f>
        <v>8.4</v>
      </c>
      <c r="BD103" s="12">
        <f>IF('Données projet'!$A$88&gt;35,BD102+BC103-BL102,IF(A103&lt;'Données projet'!$A$88,$BA$205^A103,IF(A103='Données projet'!$A$88,'Données projet'!$B$88,BD102+BC103-BL102)))</f>
        <v>378.00000000000006</v>
      </c>
      <c r="BE103" s="13">
        <f>BD103*VLOOKUP('Données projet'!$B$11,Paramètres!$A$1:$I$89,3,0)*VLOOKUP('Données projet'!$B$11,Paramètres!$A$1:$I$89,5,0)</f>
        <v>324.32400000000007</v>
      </c>
      <c r="BF103" s="13">
        <f t="shared" si="91"/>
        <v>76.25234194498276</v>
      </c>
      <c r="BG103" s="20">
        <f t="shared" si="61"/>
        <v>697.67046222084502</v>
      </c>
      <c r="BH103" s="59">
        <f t="shared" si="62"/>
        <v>991.0037955541784</v>
      </c>
      <c r="BI103" s="59">
        <f ca="1">AVERAGE(OFFSET($BH$3,0,0,'Données projet'!$E$11+1,1))-AVERAGE(OFFSET($H$3,0,0,'Données projet'!$E$11+1,1))</f>
        <v>310.4018929413723</v>
      </c>
      <c r="BJ103" s="59">
        <f t="shared" si="92"/>
        <v>127.5231137583819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0.84535892704547511</v>
      </c>
      <c r="BR103" s="21">
        <f>EXP(-LN(2)/2)*BR102+(1-EXP(-LN(2)/2))/(LN(2)/2)*BL103*BO103*VLOOKUP('Données projet'!$B$11,Paramètres!$A$1:$I$89,3,0)*0.475*44/12</f>
        <v>2.5990609240961248E-10</v>
      </c>
      <c r="BS103" s="22">
        <f t="shared" si="63"/>
        <v>0.8453589273053812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7.5015384615384617</v>
      </c>
      <c r="AI104" s="13">
        <f>IF('Données projet'!$A$62&gt;35,AI103+AH104-AQ103,IF(A104&lt;'Données projet'!$A$62,$AF$205^A104,IF(A104='Données projet'!$A$62,'Données projet'!$B$62,AI103+AH104-AQ103)))</f>
        <v>279.70923076923106</v>
      </c>
      <c r="AJ104" s="13">
        <f>AI104*VLOOKUP('Données projet'!$B$10,Paramètres!$A$1:$I$89,3,0)*VLOOKUP('Données projet'!$B$10,Paramètres!$A$1:$I$89,5,0)</f>
        <v>130.90392000000014</v>
      </c>
      <c r="AK104" s="13">
        <f t="shared" si="89"/>
        <v>34.205144397668505</v>
      </c>
      <c r="AL104" s="20">
        <f t="shared" si="58"/>
        <v>287.56495382593954</v>
      </c>
      <c r="AM104" s="59">
        <f t="shared" si="59"/>
        <v>580.89828715927285</v>
      </c>
      <c r="AN104" s="59">
        <f ca="1">AVERAGE(OFFSET($AM$3,0,0,'Données projet'!$E$10+1,1))-AVERAGE(OFFSET($H$3,0,0,'Données projet'!$E$10+1,1))</f>
        <v>158.58786357608489</v>
      </c>
      <c r="AO104" s="59">
        <f t="shared" si="90"/>
        <v>163.20074068819849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7.6</v>
      </c>
      <c r="BD104" s="12">
        <f>IF('Données projet'!$A$88&gt;35,BD103+BC104-BL103,IF(A104&lt;'Données projet'!$A$88,$BA$205^A104,IF(A104='Données projet'!$A$88,'Données projet'!$B$88,BD103+BC104-BL103)))</f>
        <v>322.60000000000008</v>
      </c>
      <c r="BE104" s="13">
        <f>BD104*VLOOKUP('Données projet'!$B$11,Paramètres!$A$1:$I$89,3,0)*VLOOKUP('Données projet'!$B$11,Paramètres!$A$1:$I$89,5,0)</f>
        <v>276.7908000000001</v>
      </c>
      <c r="BF104" s="13">
        <f t="shared" si="91"/>
        <v>66.288358331926389</v>
      </c>
      <c r="BG104" s="20">
        <f t="shared" si="61"/>
        <v>597.52953409477198</v>
      </c>
      <c r="BH104" s="59">
        <f t="shared" si="62"/>
        <v>890.86286742810535</v>
      </c>
      <c r="BI104" s="59">
        <f ca="1">AVERAGE(OFFSET($BH$3,0,0,'Données projet'!$E$11+1,1))-AVERAGE(OFFSET($H$3,0,0,'Données projet'!$E$11+1,1))</f>
        <v>310.4018929413723</v>
      </c>
      <c r="BJ104" s="59">
        <f t="shared" si="92"/>
        <v>127.5231137583819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0.8222425427299227</v>
      </c>
      <c r="BR104" s="21">
        <f>EXP(-LN(2)/2)*BR103+(1-EXP(-LN(2)/2))/(LN(2)/2)*BL104*BO104*VLOOKUP('Données projet'!$B$11,Paramètres!$A$1:$I$89,3,0)*0.475*44/12</f>
        <v>1.8378136041453445E-10</v>
      </c>
      <c r="BS104" s="22">
        <f t="shared" si="63"/>
        <v>0.82224254291370402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7.5015384615384617</v>
      </c>
      <c r="AI105" s="13">
        <f>IF('Données projet'!$A$62&gt;35,AI104+AH105-AQ104,IF(A105&lt;'Données projet'!$A$62,$AF$205^A105,IF(A105='Données projet'!$A$62,'Données projet'!$B$62,AI104+AH105-AQ104)))</f>
        <v>287.21076923076953</v>
      </c>
      <c r="AJ105" s="13">
        <f>AI105*VLOOKUP('Données projet'!$B$10,Paramètres!$A$1:$I$89,3,0)*VLOOKUP('Données projet'!$B$10,Paramètres!$A$1:$I$89,5,0)</f>
        <v>134.41464000000013</v>
      </c>
      <c r="AK105" s="13">
        <f t="shared" si="89"/>
        <v>35.014461935490388</v>
      </c>
      <c r="AL105" s="20">
        <f t="shared" si="58"/>
        <v>295.08901920431265</v>
      </c>
      <c r="AM105" s="59">
        <f t="shared" si="59"/>
        <v>588.42235253764602</v>
      </c>
      <c r="AN105" s="59">
        <f ca="1">AVERAGE(OFFSET($AM$3,0,0,'Données projet'!$E$10+1,1))-AVERAGE(OFFSET($H$3,0,0,'Données projet'!$E$10+1,1))</f>
        <v>158.58786357608489</v>
      </c>
      <c r="AO105" s="59">
        <f t="shared" si="90"/>
        <v>163.20074068819849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7.6</v>
      </c>
      <c r="BD105" s="12">
        <f>IF('Données projet'!$A$88&gt;35,BD104+BC105-BL104,IF(A105&lt;'Données projet'!$A$88,$BA$205^A105,IF(A105='Données projet'!$A$88,'Données projet'!$B$88,BD104+BC105-BL104)))</f>
        <v>330.2000000000001</v>
      </c>
      <c r="BE105" s="13">
        <f>BD105*VLOOKUP('Données projet'!$B$11,Paramètres!$A$1:$I$89,3,0)*VLOOKUP('Données projet'!$B$11,Paramètres!$A$1:$I$89,5,0)</f>
        <v>283.31160000000011</v>
      </c>
      <c r="BF105" s="13">
        <f t="shared" si="91"/>
        <v>67.666365540271329</v>
      </c>
      <c r="BG105" s="20">
        <f t="shared" si="61"/>
        <v>611.28662331597275</v>
      </c>
      <c r="BH105" s="59">
        <f t="shared" si="62"/>
        <v>904.619956649306</v>
      </c>
      <c r="BI105" s="59">
        <f ca="1">AVERAGE(OFFSET($BH$3,0,0,'Données projet'!$E$11+1,1))-AVERAGE(OFFSET($H$3,0,0,'Données projet'!$E$11+1,1))</f>
        <v>310.4018929413723</v>
      </c>
      <c r="BJ105" s="59">
        <f t="shared" si="92"/>
        <v>127.5231137583819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0.79975827715911685</v>
      </c>
      <c r="BR105" s="21">
        <f>EXP(-LN(2)/2)*BR104+(1-EXP(-LN(2)/2))/(LN(2)/2)*BL105*BO105*VLOOKUP('Données projet'!$B$11,Paramètres!$A$1:$I$89,3,0)*0.475*44/12</f>
        <v>1.2995304620480624E-10</v>
      </c>
      <c r="BS105" s="22">
        <f t="shared" si="63"/>
        <v>0.7997582772890699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7.5015384615384617</v>
      </c>
      <c r="AI106" s="13">
        <f>IF('Données projet'!$A$62&gt;35,AI105+AH106-AQ105,IF(A106&lt;'Données projet'!$A$62,$AF$205^A106,IF(A106='Données projet'!$A$62,'Données projet'!$B$62,AI105+AH106-AQ105)))</f>
        <v>294.712307692308</v>
      </c>
      <c r="AJ106" s="13">
        <f>AI106*VLOOKUP('Données projet'!$B$10,Paramètres!$A$1:$I$89,3,0)*VLOOKUP('Données projet'!$B$10,Paramètres!$A$1:$I$89,5,0)</f>
        <v>137.92536000000015</v>
      </c>
      <c r="AK106" s="13">
        <f t="shared" si="89"/>
        <v>35.82132242479814</v>
      </c>
      <c r="AL106" s="20">
        <f t="shared" si="58"/>
        <v>302.6088052231903</v>
      </c>
      <c r="AM106" s="59">
        <f t="shared" si="59"/>
        <v>595.94213855652356</v>
      </c>
      <c r="AN106" s="59">
        <f ca="1">AVERAGE(OFFSET($AM$3,0,0,'Données projet'!$E$10+1,1))-AVERAGE(OFFSET($H$3,0,0,'Données projet'!$E$10+1,1))</f>
        <v>158.58786357608489</v>
      </c>
      <c r="AO106" s="59">
        <f t="shared" si="90"/>
        <v>163.20074068819849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7.6</v>
      </c>
      <c r="BD106" s="12">
        <f>IF('Données projet'!$A$88&gt;35,BD105+BC106-BL105,IF(A106&lt;'Données projet'!$A$88,$BA$205^A106,IF(A106='Données projet'!$A$88,'Données projet'!$B$88,BD105+BC106-BL105)))</f>
        <v>337.80000000000013</v>
      </c>
      <c r="BE106" s="13">
        <f>BD106*VLOOKUP('Données projet'!$B$11,Paramètres!$A$1:$I$89,3,0)*VLOOKUP('Données projet'!$B$11,Paramètres!$A$1:$I$89,5,0)</f>
        <v>289.83240000000012</v>
      </c>
      <c r="BF106" s="13">
        <f t="shared" si="91"/>
        <v>69.040685521472909</v>
      </c>
      <c r="BG106" s="20">
        <f t="shared" si="61"/>
        <v>625.03729061656554</v>
      </c>
      <c r="BH106" s="59">
        <f t="shared" si="62"/>
        <v>918.3706239498988</v>
      </c>
      <c r="BI106" s="59">
        <f ca="1">AVERAGE(OFFSET($BH$3,0,0,'Données projet'!$E$11+1,1))-AVERAGE(OFFSET($H$3,0,0,'Données projet'!$E$11+1,1))</f>
        <v>310.4018929413723</v>
      </c>
      <c r="BJ106" s="59">
        <f t="shared" si="92"/>
        <v>127.5231137583819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0.77788884501274091</v>
      </c>
      <c r="BR106" s="21">
        <f>EXP(-LN(2)/2)*BR105+(1-EXP(-LN(2)/2))/(LN(2)/2)*BL106*BO106*VLOOKUP('Données projet'!$B$11,Paramètres!$A$1:$I$89,3,0)*0.475*44/12</f>
        <v>9.1890680207267225E-11</v>
      </c>
      <c r="BS106" s="22">
        <f t="shared" si="63"/>
        <v>0.77788884510463163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7.5015384615384617</v>
      </c>
      <c r="AI107" s="13">
        <f>IF('Données projet'!$A$62&gt;35,AI106+AH107-AQ106,IF(A107&lt;'Données projet'!$A$62,$AF$205^A107,IF(A107='Données projet'!$A$62,'Données projet'!$B$62,AI106+AH107-AQ106)))</f>
        <v>302.21384615384648</v>
      </c>
      <c r="AJ107" s="13">
        <f>AI107*VLOOKUP('Données projet'!$B$10,Paramètres!$A$1:$I$89,3,0)*VLOOKUP('Données projet'!$B$10,Paramètres!$A$1:$I$89,5,0)</f>
        <v>141.43608000000015</v>
      </c>
      <c r="AK107" s="13">
        <f t="shared" si="89"/>
        <v>36.625795598426585</v>
      </c>
      <c r="AL107" s="20">
        <f t="shared" si="58"/>
        <v>310.12443333392656</v>
      </c>
      <c r="AM107" s="59">
        <f t="shared" si="59"/>
        <v>603.45776666725988</v>
      </c>
      <c r="AN107" s="59">
        <f ca="1">AVERAGE(OFFSET($AM$3,0,0,'Données projet'!$E$10+1,1))-AVERAGE(OFFSET($H$3,0,0,'Données projet'!$E$10+1,1))</f>
        <v>158.58786357608489</v>
      </c>
      <c r="AO107" s="59">
        <f t="shared" si="90"/>
        <v>163.20074068819849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7.6</v>
      </c>
      <c r="BD107" s="12">
        <f>IF('Données projet'!$A$88&gt;35,BD106+BC107-BL106,IF(A107&lt;'Données projet'!$A$88,$BA$205^A107,IF(A107='Données projet'!$A$88,'Données projet'!$B$88,BD106+BC107-BL106)))</f>
        <v>345.40000000000015</v>
      </c>
      <c r="BE107" s="13">
        <f>BD107*VLOOKUP('Données projet'!$B$11,Paramètres!$A$1:$I$89,3,0)*VLOOKUP('Données projet'!$B$11,Paramètres!$A$1:$I$89,5,0)</f>
        <v>296.35320000000013</v>
      </c>
      <c r="BF107" s="13">
        <f t="shared" si="91"/>
        <v>70.411410783502902</v>
      </c>
      <c r="BG107" s="20">
        <f t="shared" si="61"/>
        <v>638.78169711460112</v>
      </c>
      <c r="BH107" s="59">
        <f t="shared" si="62"/>
        <v>932.11503044793449</v>
      </c>
      <c r="BI107" s="59">
        <f ca="1">AVERAGE(OFFSET($BH$3,0,0,'Données projet'!$E$11+1,1))-AVERAGE(OFFSET($H$3,0,0,'Données projet'!$E$11+1,1))</f>
        <v>310.4018929413723</v>
      </c>
      <c r="BJ107" s="59">
        <f t="shared" si="92"/>
        <v>127.5231137583819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0.756617433638471</v>
      </c>
      <c r="BR107" s="21">
        <f>EXP(-LN(2)/2)*BR106+(1-EXP(-LN(2)/2))/(LN(2)/2)*BL107*BO107*VLOOKUP('Données projet'!$B$11,Paramètres!$A$1:$I$89,3,0)*0.475*44/12</f>
        <v>6.4976523102403119E-11</v>
      </c>
      <c r="BS107" s="22">
        <f t="shared" si="63"/>
        <v>0.75661743370344747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7.5015384615384617</v>
      </c>
      <c r="AH108" s="12">
        <f t="array" ref="AH108">INDEX(AG:AG,MIN(IF(ISNUMBER(AG108:AG304),ROW(AG108:AG304),"")))</f>
        <v>7.5015384615384617</v>
      </c>
      <c r="AI108" s="13">
        <f>IF('Données projet'!$A$62&gt;35,AI107+AH108-AQ107,IF(A108&lt;'Données projet'!$A$62,$AF$205^A108,IF(A108='Données projet'!$A$62,'Données projet'!$B$62,AI107+AH108-AQ107)))</f>
        <v>309.71538461538495</v>
      </c>
      <c r="AJ108" s="13">
        <f>AI108*VLOOKUP('Données projet'!$B$10,Paramètres!$A$1:$I$89,3,0)*VLOOKUP('Données projet'!$B$10,Paramètres!$A$1:$I$89,5,0)</f>
        <v>144.94680000000017</v>
      </c>
      <c r="AK108" s="13">
        <f t="shared" si="89"/>
        <v>37.427947530076956</v>
      </c>
      <c r="AL108" s="20">
        <f t="shared" si="58"/>
        <v>317.63601861488428</v>
      </c>
      <c r="AM108" s="59">
        <f t="shared" si="59"/>
        <v>610.96935194821754</v>
      </c>
      <c r="AN108" s="59">
        <f ca="1">AVERAGE(OFFSET($AM$3,0,0,'Données projet'!$E$10+1,1))-AVERAGE(OFFSET($H$3,0,0,'Données projet'!$E$10+1,1))</f>
        <v>158.58786357608489</v>
      </c>
      <c r="AO108" s="59">
        <f t="shared" si="90"/>
        <v>163.20074068819849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7.6</v>
      </c>
      <c r="BD108" s="12">
        <f>IF('Données projet'!$A$88&gt;35,BD107+BC108-BL107,IF(A108&lt;'Données projet'!$A$88,$BA$205^A108,IF(A108='Données projet'!$A$88,'Données projet'!$B$88,BD107+BC108-BL107)))</f>
        <v>353.00000000000017</v>
      </c>
      <c r="BE108" s="13">
        <f>BD108*VLOOKUP('Données projet'!$B$11,Paramètres!$A$1:$I$89,3,0)*VLOOKUP('Données projet'!$B$11,Paramètres!$A$1:$I$89,5,0)</f>
        <v>302.87400000000019</v>
      </c>
      <c r="BF108" s="13">
        <f t="shared" si="91"/>
        <v>71.778629530876074</v>
      </c>
      <c r="BG108" s="20">
        <f t="shared" si="61"/>
        <v>652.51999643294278</v>
      </c>
      <c r="BH108" s="59">
        <f t="shared" si="62"/>
        <v>945.85332976627615</v>
      </c>
      <c r="BI108" s="59">
        <f ca="1">AVERAGE(OFFSET($BH$3,0,0,'Données projet'!$E$11+1,1))-AVERAGE(OFFSET($H$3,0,0,'Données projet'!$E$11+1,1))</f>
        <v>310.4018929413723</v>
      </c>
      <c r="BJ108" s="59">
        <f t="shared" si="92"/>
        <v>127.5231137583819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0.73592769012684545</v>
      </c>
      <c r="BR108" s="21">
        <f>EXP(-LN(2)/2)*BR107+(1-EXP(-LN(2)/2))/(LN(2)/2)*BL108*BO108*VLOOKUP('Données projet'!$B$11,Paramètres!$A$1:$I$89,3,0)*0.475*44/12</f>
        <v>4.5945340103633612E-11</v>
      </c>
      <c r="BS108" s="22">
        <f t="shared" si="63"/>
        <v>0.7359276901727908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1.5961632016114892E-13</v>
      </c>
      <c r="AK109" s="13">
        <f t="shared" si="89"/>
        <v>2.2708641912150958E-12</v>
      </c>
      <c r="AL109" s="20">
        <f t="shared" si="58"/>
        <v>4.2330868906469593E-12</v>
      </c>
      <c r="AM109" s="59">
        <f t="shared" si="59"/>
        <v>293.33333333333752</v>
      </c>
      <c r="AN109" s="59">
        <f ca="1">AVERAGE(OFFSET($AM$3,0,0,'Données projet'!$E$10+1,1))-AVERAGE(OFFSET($H$3,0,0,'Données projet'!$E$10+1,1))</f>
        <v>158.58786357608489</v>
      </c>
      <c r="AO109" s="59">
        <f t="shared" si="90"/>
        <v>163.20074068819849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7.6</v>
      </c>
      <c r="BD109" s="12">
        <f>IF('Données projet'!$A$88&gt;35,BD108+BC109-BL108,IF(A109&lt;'Données projet'!$A$88,$BA$205^A109,IF(A109='Données projet'!$A$88,'Données projet'!$B$88,BD108+BC109-BL108)))</f>
        <v>360.60000000000019</v>
      </c>
      <c r="BE109" s="13">
        <f>BD109*VLOOKUP('Données projet'!$B$11,Paramètres!$A$1:$I$89,3,0)*VLOOKUP('Données projet'!$B$11,Paramètres!$A$1:$I$89,5,0)</f>
        <v>309.3948000000002</v>
      </c>
      <c r="BF109" s="13">
        <f t="shared" si="91"/>
        <v>73.142425953119783</v>
      </c>
      <c r="BG109" s="20">
        <f t="shared" si="61"/>
        <v>666.25233520168399</v>
      </c>
      <c r="BH109" s="59">
        <f t="shared" si="62"/>
        <v>959.58566853501725</v>
      </c>
      <c r="BI109" s="59">
        <f ca="1">AVERAGE(OFFSET($BH$3,0,0,'Données projet'!$E$11+1,1))-AVERAGE(OFFSET($H$3,0,0,'Données projet'!$E$11+1,1))</f>
        <v>310.4018929413723</v>
      </c>
      <c r="BJ109" s="59">
        <f t="shared" si="92"/>
        <v>127.5231137583819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0.71580370873957166</v>
      </c>
      <c r="BR109" s="21">
        <f>EXP(-LN(2)/2)*BR108+(1-EXP(-LN(2)/2))/(LN(2)/2)*BL109*BO109*VLOOKUP('Données projet'!$B$11,Paramètres!$A$1:$I$89,3,0)*0.475*44/12</f>
        <v>3.2488261551201559E-11</v>
      </c>
      <c r="BS109" s="22">
        <f t="shared" si="63"/>
        <v>0.7158037087720599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1.5961632016114892E-13</v>
      </c>
      <c r="AK110" s="13">
        <f t="shared" si="89"/>
        <v>2.2708641912150958E-12</v>
      </c>
      <c r="AL110" s="20">
        <f t="shared" si="58"/>
        <v>4.2330868906469593E-12</v>
      </c>
      <c r="AM110" s="59">
        <f t="shared" si="59"/>
        <v>293.33333333333752</v>
      </c>
      <c r="AN110" s="59">
        <f ca="1">AVERAGE(OFFSET($AM$3,0,0,'Données projet'!$E$10+1,1))-AVERAGE(OFFSET($H$3,0,0,'Données projet'!$E$10+1,1))</f>
        <v>158.58786357608489</v>
      </c>
      <c r="AO110" s="59">
        <f t="shared" si="90"/>
        <v>163.20074068819849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7.6</v>
      </c>
      <c r="BD110" s="12">
        <f>IF('Données projet'!$A$88&gt;35,BD109+BC110-BL109,IF(A110&lt;'Données projet'!$A$88,$BA$205^A110,IF(A110='Données projet'!$A$88,'Données projet'!$B$88,BD109+BC110-BL109)))</f>
        <v>368.20000000000022</v>
      </c>
      <c r="BE110" s="13">
        <f>BD110*VLOOKUP('Données projet'!$B$11,Paramètres!$A$1:$I$89,3,0)*VLOOKUP('Données projet'!$B$11,Paramètres!$A$1:$I$89,5,0)</f>
        <v>315.91560000000021</v>
      </c>
      <c r="BF110" s="13">
        <f t="shared" si="91"/>
        <v>74.502880488238247</v>
      </c>
      <c r="BG110" s="20">
        <f t="shared" si="61"/>
        <v>679.97885351701518</v>
      </c>
      <c r="BH110" s="59">
        <f t="shared" si="62"/>
        <v>973.31218685034855</v>
      </c>
      <c r="BI110" s="59">
        <f ca="1">AVERAGE(OFFSET($BH$3,0,0,'Données projet'!$E$11+1,1))-AVERAGE(OFFSET($H$3,0,0,'Données projet'!$E$11+1,1))</f>
        <v>310.4018929413723</v>
      </c>
      <c r="BJ110" s="59">
        <f t="shared" si="92"/>
        <v>127.5231137583819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0.69623001868160705</v>
      </c>
      <c r="BR110" s="21">
        <f>EXP(-LN(2)/2)*BR109+(1-EXP(-LN(2)/2))/(LN(2)/2)*BL110*BO110*VLOOKUP('Données projet'!$B$11,Paramètres!$A$1:$I$89,3,0)*0.475*44/12</f>
        <v>2.2972670051816806E-11</v>
      </c>
      <c r="BS110" s="22">
        <f t="shared" si="63"/>
        <v>0.69623001870457968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1.5961632016114892E-13</v>
      </c>
      <c r="AK111" s="13">
        <f t="shared" si="89"/>
        <v>2.2708641912150958E-12</v>
      </c>
      <c r="AL111" s="20">
        <f t="shared" si="58"/>
        <v>4.2330868906469593E-12</v>
      </c>
      <c r="AM111" s="59">
        <f t="shared" si="59"/>
        <v>293.33333333333752</v>
      </c>
      <c r="AN111" s="59">
        <f ca="1">AVERAGE(OFFSET($AM$3,0,0,'Données projet'!$E$10+1,1))-AVERAGE(OFFSET($H$3,0,0,'Données projet'!$E$10+1,1))</f>
        <v>158.58786357608489</v>
      </c>
      <c r="AO111" s="59">
        <f t="shared" si="90"/>
        <v>163.20074068819849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7.6</v>
      </c>
      <c r="BD111" s="12">
        <f>IF('Données projet'!$A$88&gt;35,BD110+BC111-BL110,IF(A111&lt;'Données projet'!$A$88,$BA$205^A111,IF(A111='Données projet'!$A$88,'Données projet'!$B$88,BD110+BC111-BL110)))</f>
        <v>375.80000000000024</v>
      </c>
      <c r="BE111" s="13">
        <f>BD111*VLOOKUP('Données projet'!$B$11,Paramètres!$A$1:$I$89,3,0)*VLOOKUP('Données projet'!$B$11,Paramètres!$A$1:$I$89,5,0)</f>
        <v>322.43640000000022</v>
      </c>
      <c r="BF111" s="13">
        <f t="shared" si="91"/>
        <v>75.860070063809587</v>
      </c>
      <c r="BG111" s="20">
        <f t="shared" si="61"/>
        <v>693.69968536113538</v>
      </c>
      <c r="BH111" s="59">
        <f t="shared" si="62"/>
        <v>987.03301869446864</v>
      </c>
      <c r="BI111" s="59">
        <f ca="1">AVERAGE(OFFSET($BH$3,0,0,'Données projet'!$E$11+1,1))-AVERAGE(OFFSET($H$3,0,0,'Données projet'!$E$11+1,1))</f>
        <v>310.4018929413723</v>
      </c>
      <c r="BJ111" s="59">
        <f t="shared" si="92"/>
        <v>127.5231137583819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0.67719157220761306</v>
      </c>
      <c r="BR111" s="21">
        <f>EXP(-LN(2)/2)*BR110+(1-EXP(-LN(2)/2))/(LN(2)/2)*BL111*BO111*VLOOKUP('Données projet'!$B$11,Paramètres!$A$1:$I$89,3,0)*0.475*44/12</f>
        <v>1.624413077560078E-11</v>
      </c>
      <c r="BS111" s="22">
        <f t="shared" si="63"/>
        <v>0.67719157222385717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1.5961632016114892E-13</v>
      </c>
      <c r="AK112" s="13">
        <f t="shared" si="89"/>
        <v>2.2708641912150958E-12</v>
      </c>
      <c r="AL112" s="20">
        <f t="shared" si="58"/>
        <v>4.2330868906469593E-12</v>
      </c>
      <c r="AM112" s="59">
        <f t="shared" si="59"/>
        <v>293.33333333333752</v>
      </c>
      <c r="AN112" s="59">
        <f ca="1">AVERAGE(OFFSET($AM$3,0,0,'Données projet'!$E$10+1,1))-AVERAGE(OFFSET($H$3,0,0,'Données projet'!$E$10+1,1))</f>
        <v>158.58786357608489</v>
      </c>
      <c r="AO112" s="59">
        <f t="shared" si="90"/>
        <v>163.20074068819849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7.6</v>
      </c>
      <c r="BD112" s="12">
        <f>IF('Données projet'!$A$88&gt;35,BD111+BC112-BL111,IF(A112&lt;'Données projet'!$A$88,$BA$205^A112,IF(A112='Données projet'!$A$88,'Données projet'!$B$88,BD111+BC112-BL111)))</f>
        <v>383.40000000000026</v>
      </c>
      <c r="BE112" s="13">
        <f>BD112*VLOOKUP('Données projet'!$B$11,Paramètres!$A$1:$I$89,3,0)*VLOOKUP('Données projet'!$B$11,Paramètres!$A$1:$I$89,5,0)</f>
        <v>328.95720000000023</v>
      </c>
      <c r="BF112" s="13">
        <f t="shared" si="91"/>
        <v>77.214068318029646</v>
      </c>
      <c r="BG112" s="20">
        <f t="shared" si="61"/>
        <v>707.41495898723531</v>
      </c>
      <c r="BH112" s="59">
        <f t="shared" si="62"/>
        <v>1000.7482923205687</v>
      </c>
      <c r="BI112" s="59">
        <f ca="1">AVERAGE(OFFSET($BH$3,0,0,'Données projet'!$E$11+1,1))-AVERAGE(OFFSET($H$3,0,0,'Données projet'!$E$11+1,1))</f>
        <v>310.4018929413723</v>
      </c>
      <c r="BJ112" s="59">
        <f t="shared" si="92"/>
        <v>127.5231137583819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0.65867373305363885</v>
      </c>
      <c r="BR112" s="21">
        <f>EXP(-LN(2)/2)*BR111+(1-EXP(-LN(2)/2))/(LN(2)/2)*BL112*BO112*VLOOKUP('Données projet'!$B$11,Paramètres!$A$1:$I$89,3,0)*0.475*44/12</f>
        <v>1.1486335025908403E-11</v>
      </c>
      <c r="BS112" s="22">
        <f t="shared" si="63"/>
        <v>0.65867373306512522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158.58786357608489</v>
      </c>
      <c r="AO113" s="59">
        <f t="shared" si="90"/>
        <v>163.20074068819849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391</v>
      </c>
      <c r="BB113" s="12">
        <f>VLOOKUP(A113,'Données projet'!$A$87:$I$107,9,0)</f>
        <v>7.6</v>
      </c>
      <c r="BC113" s="12">
        <f t="array" ref="BC113">INDEX(BB:BB,MIN(IF(ISNUMBER(BB113:BB309),ROW(BB113:BB309),"")))</f>
        <v>7.6</v>
      </c>
      <c r="BD113" s="12">
        <f>IF('Données projet'!$A$88&gt;35,BD112+BC113-BL112,IF(A113&lt;'Données projet'!$A$88,$BA$205^A113,IF(A113='Données projet'!$A$88,'Données projet'!$B$88,BD112+BC113-BL112)))</f>
        <v>391.00000000000028</v>
      </c>
      <c r="BE113" s="13">
        <f>BD113*VLOOKUP('Données projet'!$B$11,Paramètres!$A$1:$I$89,3,0)*VLOOKUP('Données projet'!$B$11,Paramètres!$A$1:$I$89,5,0)</f>
        <v>335.47800000000029</v>
      </c>
      <c r="BF113" s="13">
        <f t="shared" si="91"/>
        <v>78.564945802733007</v>
      </c>
      <c r="BG113" s="20">
        <f t="shared" si="61"/>
        <v>721.1247972730938</v>
      </c>
      <c r="BH113" s="59">
        <f t="shared" si="62"/>
        <v>1014.4581306064272</v>
      </c>
      <c r="BI113" s="59">
        <f ca="1">AVERAGE(OFFSET($BH$3,0,0,'Données projet'!$E$11+1,1))-AVERAGE(OFFSET($H$3,0,0,'Données projet'!$E$11+1,1))</f>
        <v>310.4018929413723</v>
      </c>
      <c r="BJ113" s="59">
        <f t="shared" si="92"/>
        <v>127.5231137583819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58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0.64066226518514091</v>
      </c>
      <c r="BR113" s="21">
        <f>EXP(-LN(2)/2)*BR112+(1-EXP(-LN(2)/2))/(LN(2)/2)*BL113*BO113*VLOOKUP('Données projet'!$B$11,Paramètres!$A$1:$I$89,3,0)*0.475*44/12</f>
        <v>8.1220653878003899E-12</v>
      </c>
      <c r="BS113" s="22">
        <f t="shared" si="63"/>
        <v>0.64066226519326297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158.58786357608489</v>
      </c>
      <c r="AO114" s="59">
        <f t="shared" si="90"/>
        <v>163.20074068819849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</v>
      </c>
      <c r="BD114" s="12">
        <f>IF('Données projet'!$A$88&gt;35,BD113+BC114-BL113,IF(A114&lt;'Données projet'!$A$88,$BA$205^A114,IF(A114='Données projet'!$A$88,'Données projet'!$B$88,BD113+BC114-BL113)))</f>
        <v>339.8000000000003</v>
      </c>
      <c r="BE114" s="13">
        <f>BD114*VLOOKUP('Données projet'!$B$11,Paramètres!$A$1:$I$89,3,0)*VLOOKUP('Données projet'!$B$11,Paramètres!$A$1:$I$89,5,0)</f>
        <v>291.5484000000003</v>
      </c>
      <c r="BF114" s="13">
        <f t="shared" si="91"/>
        <v>69.40174753959208</v>
      </c>
      <c r="BG114" s="20">
        <f t="shared" si="61"/>
        <v>628.6548402981233</v>
      </c>
      <c r="BH114" s="59">
        <f t="shared" si="62"/>
        <v>921.98817363145668</v>
      </c>
      <c r="BI114" s="59">
        <f ca="1">AVERAGE(OFFSET($BH$3,0,0,'Données projet'!$E$11+1,1))-AVERAGE(OFFSET($H$3,0,0,'Données projet'!$E$11+1,1))</f>
        <v>310.4018929413723</v>
      </c>
      <c r="BJ114" s="59">
        <f t="shared" si="92"/>
        <v>127.5231137583819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0.62314332185268895</v>
      </c>
      <c r="BR114" s="21">
        <f>EXP(-LN(2)/2)*BR113+(1-EXP(-LN(2)/2))/(LN(2)/2)*BL114*BO114*VLOOKUP('Données projet'!$B$11,Paramètres!$A$1:$I$89,3,0)*0.475*44/12</f>
        <v>5.7431675129542016E-12</v>
      </c>
      <c r="BS114" s="22">
        <f t="shared" si="63"/>
        <v>0.62314332185843213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158.58786357608489</v>
      </c>
      <c r="AO115" s="59">
        <f t="shared" si="90"/>
        <v>163.20074068819849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</v>
      </c>
      <c r="BD115" s="12">
        <f>IF('Données projet'!$A$88&gt;35,BD114+BC115-BL114,IF(A115&lt;'Données projet'!$A$88,$BA$205^A115,IF(A115='Données projet'!$A$88,'Données projet'!$B$88,BD114+BC115-BL114)))</f>
        <v>346.60000000000031</v>
      </c>
      <c r="BE115" s="13">
        <f>BD115*VLOOKUP('Données projet'!$B$11,Paramètres!$A$1:$I$89,3,0)*VLOOKUP('Données projet'!$B$11,Paramètres!$A$1:$I$89,5,0)</f>
        <v>297.38280000000032</v>
      </c>
      <c r="BF115" s="13">
        <f t="shared" si="91"/>
        <v>70.627518341589479</v>
      </c>
      <c r="BG115" s="20">
        <f t="shared" si="61"/>
        <v>640.95130444493554</v>
      </c>
      <c r="BH115" s="59">
        <f t="shared" si="62"/>
        <v>934.28463777826892</v>
      </c>
      <c r="BI115" s="59">
        <f ca="1">AVERAGE(OFFSET($BH$3,0,0,'Données projet'!$E$11+1,1))-AVERAGE(OFFSET($H$3,0,0,'Données projet'!$E$11+1,1))</f>
        <v>310.4018929413723</v>
      </c>
      <c r="BJ115" s="59">
        <f t="shared" si="92"/>
        <v>127.5231137583819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0.60610343494694408</v>
      </c>
      <c r="BR115" s="21">
        <f>EXP(-LN(2)/2)*BR114+(1-EXP(-LN(2)/2))/(LN(2)/2)*BL115*BO115*VLOOKUP('Données projet'!$B$11,Paramètres!$A$1:$I$89,3,0)*0.475*44/12</f>
        <v>4.0610326939001949E-12</v>
      </c>
      <c r="BS115" s="22">
        <f t="shared" si="63"/>
        <v>0.60610343495100516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158.58786357608489</v>
      </c>
      <c r="AO116" s="59">
        <f t="shared" si="90"/>
        <v>163.20074068819849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6.8</v>
      </c>
      <c r="BD116" s="12">
        <f>IF('Données projet'!$A$88&gt;35,BD115+BC116-BL115,IF(A116&lt;'Données projet'!$A$88,$BA$205^A116,IF(A116='Données projet'!$A$88,'Données projet'!$B$88,BD115+BC116-BL115)))</f>
        <v>353.40000000000032</v>
      </c>
      <c r="BE116" s="13">
        <f>BD116*VLOOKUP('Données projet'!$B$11,Paramètres!$A$1:$I$89,3,0)*VLOOKUP('Données projet'!$B$11,Paramètres!$A$1:$I$89,5,0)</f>
        <v>303.21720000000033</v>
      </c>
      <c r="BF116" s="13">
        <f t="shared" si="91"/>
        <v>71.850492891887853</v>
      </c>
      <c r="BG116" s="20">
        <f t="shared" si="61"/>
        <v>653.24289845337205</v>
      </c>
      <c r="BH116" s="59">
        <f t="shared" si="62"/>
        <v>946.57623178670542</v>
      </c>
      <c r="BI116" s="59">
        <f ca="1">AVERAGE(OFFSET($BH$3,0,0,'Données projet'!$E$11+1,1))-AVERAGE(OFFSET($H$3,0,0,'Données projet'!$E$11+1,1))</f>
        <v>310.4018929413723</v>
      </c>
      <c r="BJ116" s="59">
        <f t="shared" si="92"/>
        <v>127.5231137583819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0.58952950464472553</v>
      </c>
      <c r="BR116" s="21">
        <f>EXP(-LN(2)/2)*BR115+(1-EXP(-LN(2)/2))/(LN(2)/2)*BL116*BO116*VLOOKUP('Données projet'!$B$11,Paramètres!$A$1:$I$89,3,0)*0.475*44/12</f>
        <v>2.8715837564771008E-12</v>
      </c>
      <c r="BS116" s="22">
        <f t="shared" si="63"/>
        <v>0.58952950464759712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158.58786357608489</v>
      </c>
      <c r="AO117" s="59">
        <f t="shared" si="90"/>
        <v>163.20074068819849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6.8</v>
      </c>
      <c r="BD117" s="12">
        <f>IF('Données projet'!$A$88&gt;35,BD116+BC117-BL116,IF(A117&lt;'Données projet'!$A$88,$BA$205^A117,IF(A117='Données projet'!$A$88,'Données projet'!$B$88,BD116+BC117-BL116)))</f>
        <v>360.20000000000033</v>
      </c>
      <c r="BE117" s="13">
        <f>BD117*VLOOKUP('Données projet'!$B$11,Paramètres!$A$1:$I$89,3,0)*VLOOKUP('Données projet'!$B$11,Paramètres!$A$1:$I$89,5,0)</f>
        <v>309.05160000000029</v>
      </c>
      <c r="BF117" s="13">
        <f t="shared" si="91"/>
        <v>73.070731198088453</v>
      </c>
      <c r="BG117" s="20">
        <f t="shared" si="61"/>
        <v>665.52972683667122</v>
      </c>
      <c r="BH117" s="59">
        <f t="shared" si="62"/>
        <v>958.86306017000447</v>
      </c>
      <c r="BI117" s="59">
        <f ca="1">AVERAGE(OFFSET($BH$3,0,0,'Données projet'!$E$11+1,1))-AVERAGE(OFFSET($H$3,0,0,'Données projet'!$E$11+1,1))</f>
        <v>310.4018929413723</v>
      </c>
      <c r="BJ117" s="59">
        <f t="shared" si="92"/>
        <v>127.5231137583819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0.57340878933820627</v>
      </c>
      <c r="BR117" s="21">
        <f>EXP(-LN(2)/2)*BR116+(1-EXP(-LN(2)/2))/(LN(2)/2)*BL117*BO117*VLOOKUP('Données projet'!$B$11,Paramètres!$A$1:$I$89,3,0)*0.475*44/12</f>
        <v>2.0305163469500975E-12</v>
      </c>
      <c r="BS117" s="22">
        <f t="shared" si="63"/>
        <v>0.57340878934023676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158.58786357608489</v>
      </c>
      <c r="AO118" s="59">
        <f t="shared" si="90"/>
        <v>163.20074068819849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6.8</v>
      </c>
      <c r="BD118" s="12">
        <f>IF('Données projet'!$A$88&gt;35,BD117+BC118-BL117,IF(A118&lt;'Données projet'!$A$88,$BA$205^A118,IF(A118='Données projet'!$A$88,'Données projet'!$B$88,BD117+BC118-BL117)))</f>
        <v>367.00000000000034</v>
      </c>
      <c r="BE118" s="13">
        <f>BD118*VLOOKUP('Données projet'!$B$11,Paramètres!$A$1:$I$89,3,0)*VLOOKUP('Données projet'!$B$11,Paramètres!$A$1:$I$89,5,0)</f>
        <v>314.88600000000031</v>
      </c>
      <c r="BF118" s="13">
        <f t="shared" si="91"/>
        <v>74.288290872440228</v>
      </c>
      <c r="BG118" s="20">
        <f t="shared" si="61"/>
        <v>677.8118899361674</v>
      </c>
      <c r="BH118" s="59">
        <f t="shared" si="62"/>
        <v>971.14522326950078</v>
      </c>
      <c r="BI118" s="59">
        <f ca="1">AVERAGE(OFFSET($BH$3,0,0,'Données projet'!$E$11+1,1))-AVERAGE(OFFSET($H$3,0,0,'Données projet'!$E$11+1,1))</f>
        <v>310.4018929413723</v>
      </c>
      <c r="BJ118" s="59">
        <f t="shared" si="92"/>
        <v>127.5231137583819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0.55772889583949536</v>
      </c>
      <c r="BR118" s="21">
        <f>EXP(-LN(2)/2)*BR117+(1-EXP(-LN(2)/2))/(LN(2)/2)*BL118*BO118*VLOOKUP('Données projet'!$B$11,Paramètres!$A$1:$I$89,3,0)*0.475*44/12</f>
        <v>1.4357918782385504E-12</v>
      </c>
      <c r="BS118" s="22">
        <f t="shared" si="63"/>
        <v>0.5577288958409311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158.58786357608489</v>
      </c>
      <c r="AO119" s="59">
        <f t="shared" si="90"/>
        <v>163.20074068819849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6.8</v>
      </c>
      <c r="BD119" s="12">
        <f>IF('Données projet'!$A$88&gt;35,BD118+BC119-BL118,IF(A119&lt;'Données projet'!$A$88,$BA$205^A119,IF(A119='Données projet'!$A$88,'Données projet'!$B$88,BD118+BC119-BL118)))</f>
        <v>373.80000000000035</v>
      </c>
      <c r="BE119" s="13">
        <f>BD119*VLOOKUP('Données projet'!$B$11,Paramètres!$A$1:$I$89,3,0)*VLOOKUP('Données projet'!$B$11,Paramètres!$A$1:$I$89,5,0)</f>
        <v>320.72040000000032</v>
      </c>
      <c r="BF119" s="13">
        <f t="shared" si="91"/>
        <v>75.503227270035836</v>
      </c>
      <c r="BG119" s="20">
        <f t="shared" si="61"/>
        <v>690.08948416197961</v>
      </c>
      <c r="BH119" s="59">
        <f t="shared" si="62"/>
        <v>983.42281749531298</v>
      </c>
      <c r="BI119" s="59">
        <f ca="1">AVERAGE(OFFSET($BH$3,0,0,'Données projet'!$E$11+1,1))-AVERAGE(OFFSET($H$3,0,0,'Données projet'!$E$11+1,1))</f>
        <v>310.4018929413723</v>
      </c>
      <c r="BJ119" s="59">
        <f t="shared" si="92"/>
        <v>127.5231137583819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0.54247776985307639</v>
      </c>
      <c r="BR119" s="21">
        <f>EXP(-LN(2)/2)*BR118+(1-EXP(-LN(2)/2))/(LN(2)/2)*BL119*BO119*VLOOKUP('Données projet'!$B$11,Paramètres!$A$1:$I$89,3,0)*0.475*44/12</f>
        <v>1.0152581734750487E-12</v>
      </c>
      <c r="BS119" s="22">
        <f t="shared" si="63"/>
        <v>0.54247776985409168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158.58786357608489</v>
      </c>
      <c r="AO120" s="59">
        <f t="shared" si="90"/>
        <v>163.20074068819849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6.8</v>
      </c>
      <c r="BD120" s="12">
        <f>IF('Données projet'!$A$88&gt;35,BD119+BC120-BL119,IF(A120&lt;'Données projet'!$A$88,$BA$205^A120,IF(A120='Données projet'!$A$88,'Données projet'!$B$88,BD119+BC120-BL119)))</f>
        <v>380.60000000000036</v>
      </c>
      <c r="BE120" s="13">
        <f>BD120*VLOOKUP('Données projet'!$B$11,Paramètres!$A$1:$I$89,3,0)*VLOOKUP('Données projet'!$B$11,Paramètres!$A$1:$I$89,5,0)</f>
        <v>326.55480000000034</v>
      </c>
      <c r="BF120" s="13">
        <f t="shared" si="91"/>
        <v>76.715593616667263</v>
      </c>
      <c r="BG120" s="20">
        <f t="shared" si="61"/>
        <v>702.36260221569603</v>
      </c>
      <c r="BH120" s="59">
        <f t="shared" si="62"/>
        <v>995.6959355490294</v>
      </c>
      <c r="BI120" s="59">
        <f ca="1">AVERAGE(OFFSET($BH$3,0,0,'Données projet'!$E$11+1,1))-AVERAGE(OFFSET($H$3,0,0,'Données projet'!$E$11+1,1))</f>
        <v>310.4018929413723</v>
      </c>
      <c r="BJ120" s="59">
        <f t="shared" si="92"/>
        <v>127.5231137583819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0.52764368670877793</v>
      </c>
      <c r="BR120" s="21">
        <f>EXP(-LN(2)/2)*BR119+(1-EXP(-LN(2)/2))/(LN(2)/2)*BL120*BO120*VLOOKUP('Données projet'!$B$11,Paramètres!$A$1:$I$89,3,0)*0.475*44/12</f>
        <v>7.1789593911927519E-13</v>
      </c>
      <c r="BS120" s="22">
        <f t="shared" si="63"/>
        <v>0.5276436867094958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158.58786357608489</v>
      </c>
      <c r="AO121" s="59">
        <f t="shared" si="90"/>
        <v>163.20074068819849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6.8</v>
      </c>
      <c r="BD121" s="12">
        <f>IF('Données projet'!$A$88&gt;35,BD120+BC121-BL120,IF(A121&lt;'Données projet'!$A$88,$BA$205^A121,IF(A121='Données projet'!$A$88,'Données projet'!$B$88,BD120+BC121-BL120)))</f>
        <v>387.40000000000038</v>
      </c>
      <c r="BE121" s="13">
        <f>BD121*VLOOKUP('Données projet'!$B$11,Paramètres!$A$1:$I$89,3,0)*VLOOKUP('Données projet'!$B$11,Paramètres!$A$1:$I$89,5,0)</f>
        <v>332.38920000000036</v>
      </c>
      <c r="BF121" s="13">
        <f t="shared" si="91"/>
        <v>77.925441127286135</v>
      </c>
      <c r="BG121" s="20">
        <f t="shared" si="61"/>
        <v>714.63133329669063</v>
      </c>
      <c r="BH121" s="59">
        <f t="shared" si="62"/>
        <v>1007.9646666300239</v>
      </c>
      <c r="BI121" s="59">
        <f ca="1">AVERAGE(OFFSET($BH$3,0,0,'Données projet'!$E$11+1,1))-AVERAGE(OFFSET($H$3,0,0,'Données projet'!$E$11+1,1))</f>
        <v>310.4018929413723</v>
      </c>
      <c r="BJ121" s="59">
        <f t="shared" si="92"/>
        <v>127.5231137583819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0.51321524234815086</v>
      </c>
      <c r="BR121" s="21">
        <f>EXP(-LN(2)/2)*BR120+(1-EXP(-LN(2)/2))/(LN(2)/2)*BL121*BO121*VLOOKUP('Données projet'!$B$11,Paramètres!$A$1:$I$89,3,0)*0.475*44/12</f>
        <v>5.0762908673752437E-13</v>
      </c>
      <c r="BS121" s="22">
        <f t="shared" si="63"/>
        <v>0.51321524234865845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158.58786357608489</v>
      </c>
      <c r="AO122" s="59">
        <f t="shared" si="90"/>
        <v>163.20074068819849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6.8</v>
      </c>
      <c r="BD122" s="12">
        <f>IF('Données projet'!$A$88&gt;35,BD121+BC122-BL121,IF(A122&lt;'Données projet'!$A$88,$BA$205^A122,IF(A122='Données projet'!$A$88,'Données projet'!$B$88,BD121+BC122-BL121)))</f>
        <v>394.20000000000039</v>
      </c>
      <c r="BE122" s="13">
        <f>BD122*VLOOKUP('Données projet'!$B$11,Paramètres!$A$1:$I$89,3,0)*VLOOKUP('Données projet'!$B$11,Paramètres!$A$1:$I$89,5,0)</f>
        <v>338.22360000000037</v>
      </c>
      <c r="BF122" s="13">
        <f t="shared" si="91"/>
        <v>79.132819115910223</v>
      </c>
      <c r="BG122" s="20">
        <f t="shared" si="61"/>
        <v>726.89576329354441</v>
      </c>
      <c r="BH122" s="59">
        <f t="shared" si="62"/>
        <v>1020.2290966268777</v>
      </c>
      <c r="BI122" s="59">
        <f ca="1">AVERAGE(OFFSET($BH$3,0,0,'Données projet'!$E$11+1,1))-AVERAGE(OFFSET($H$3,0,0,'Données projet'!$E$11+1,1))</f>
        <v>310.4018929413723</v>
      </c>
      <c r="BJ122" s="59">
        <f t="shared" si="92"/>
        <v>127.5231137583819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0.49918134455732405</v>
      </c>
      <c r="BR122" s="21">
        <f>EXP(-LN(2)/2)*BR121+(1-EXP(-LN(2)/2))/(LN(2)/2)*BL122*BO122*VLOOKUP('Données projet'!$B$11,Paramètres!$A$1:$I$89,3,0)*0.475*44/12</f>
        <v>3.589479695596376E-13</v>
      </c>
      <c r="BS122" s="22">
        <f t="shared" si="63"/>
        <v>0.49918134455768298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158.58786357608489</v>
      </c>
      <c r="AO123" s="59">
        <f t="shared" si="90"/>
        <v>163.20074068819849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401</v>
      </c>
      <c r="BB123" s="12">
        <f>VLOOKUP(A123,'Données projet'!$A$87:$I$107,9,0)</f>
        <v>6.8</v>
      </c>
      <c r="BC123" s="12">
        <f t="array" ref="BC123">INDEX(BB:BB,MIN(IF(ISNUMBER(BB123:BB319),ROW(BB123:BB319),"")))</f>
        <v>6.8</v>
      </c>
      <c r="BD123" s="12">
        <f>IF('Données projet'!$A$88&gt;35,BD122+BC123-BL122,IF(A123&lt;'Données projet'!$A$88,$BA$205^A123,IF(A123='Données projet'!$A$88,'Données projet'!$B$88,BD122+BC123-BL122)))</f>
        <v>401.0000000000004</v>
      </c>
      <c r="BE123" s="13">
        <f>BD123*VLOOKUP('Données projet'!$B$11,Paramètres!$A$1:$I$89,3,0)*VLOOKUP('Données projet'!$B$11,Paramètres!$A$1:$I$89,5,0)</f>
        <v>344.05800000000039</v>
      </c>
      <c r="BF123" s="13">
        <f t="shared" si="91"/>
        <v>80.337775097732305</v>
      </c>
      <c r="BG123" s="20">
        <f t="shared" si="61"/>
        <v>739.15597496188423</v>
      </c>
      <c r="BH123" s="59">
        <f t="shared" si="62"/>
        <v>1032.4893082952176</v>
      </c>
      <c r="BI123" s="59">
        <f ca="1">AVERAGE(OFFSET($BH$3,0,0,'Données projet'!$E$11+1,1))-AVERAGE(OFFSET($H$3,0,0,'Données projet'!$E$11+1,1))</f>
        <v>310.4018929413723</v>
      </c>
      <c r="BJ123" s="59">
        <f t="shared" si="92"/>
        <v>127.5231137583819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53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0.48553120443959802</v>
      </c>
      <c r="BR123" s="21">
        <f>EXP(-LN(2)/2)*BR122+(1-EXP(-LN(2)/2))/(LN(2)/2)*BL123*BO123*VLOOKUP('Données projet'!$B$11,Paramètres!$A$1:$I$89,3,0)*0.475*44/12</f>
        <v>2.5381454336876218E-13</v>
      </c>
      <c r="BS123" s="22">
        <f t="shared" si="63"/>
        <v>0.48553120443985182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158.58786357608489</v>
      </c>
      <c r="AO124" s="59">
        <f t="shared" si="90"/>
        <v>163.20074068819849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5.9</v>
      </c>
      <c r="BD124" s="12">
        <f>IF('Données projet'!$A$88&gt;35,BD123+BC124-BL123,IF(A124&lt;'Données projet'!$A$88,$BA$205^A124,IF(A124='Données projet'!$A$88,'Données projet'!$B$88,BD123+BC124-BL123)))</f>
        <v>353.90000000000038</v>
      </c>
      <c r="BE124" s="13">
        <f>BD124*VLOOKUP('Données projet'!$B$11,Paramètres!$A$1:$I$89,3,0)*VLOOKUP('Données projet'!$B$11,Paramètres!$A$1:$I$89,5,0)</f>
        <v>303.64620000000036</v>
      </c>
      <c r="BF124" s="13">
        <f t="shared" si="91"/>
        <v>71.940308781184143</v>
      </c>
      <c r="BG124" s="20">
        <f t="shared" si="61"/>
        <v>654.14650279389639</v>
      </c>
      <c r="BH124" s="59">
        <f t="shared" si="62"/>
        <v>947.47983612722965</v>
      </c>
      <c r="BI124" s="59">
        <f ca="1">AVERAGE(OFFSET($BH$3,0,0,'Données projet'!$E$11+1,1))-AVERAGE(OFFSET($H$3,0,0,'Données projet'!$E$11+1,1))</f>
        <v>310.4018929413723</v>
      </c>
      <c r="BJ124" s="59">
        <f t="shared" si="92"/>
        <v>127.5231137583819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0.47225432812122087</v>
      </c>
      <c r="BR124" s="21">
        <f>EXP(-LN(2)/2)*BR123+(1-EXP(-LN(2)/2))/(LN(2)/2)*BL124*BO124*VLOOKUP('Données projet'!$B$11,Paramètres!$A$1:$I$89,3,0)*0.475*44/12</f>
        <v>1.794739847798188E-13</v>
      </c>
      <c r="BS124" s="22">
        <f t="shared" si="63"/>
        <v>0.47225432812140034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158.58786357608489</v>
      </c>
      <c r="AO125" s="59">
        <f t="shared" si="90"/>
        <v>163.20074068819849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5.9</v>
      </c>
      <c r="BD125" s="12">
        <f>IF('Données projet'!$A$88&gt;35,BD124+BC125-BL124,IF(A125&lt;'Données projet'!$A$88,$BA$205^A125,IF(A125='Données projet'!$A$88,'Données projet'!$B$88,BD124+BC125-BL124)))</f>
        <v>359.80000000000035</v>
      </c>
      <c r="BE125" s="13">
        <f>BD125*VLOOKUP('Données projet'!$B$11,Paramètres!$A$1:$I$89,3,0)*VLOOKUP('Données projet'!$B$11,Paramètres!$A$1:$I$89,5,0)</f>
        <v>308.70840000000032</v>
      </c>
      <c r="BF125" s="13">
        <f t="shared" si="91"/>
        <v>72.999027175082958</v>
      </c>
      <c r="BG125" s="20">
        <f t="shared" si="61"/>
        <v>664.8071023299367</v>
      </c>
      <c r="BH125" s="59">
        <f t="shared" si="62"/>
        <v>958.14043566326995</v>
      </c>
      <c r="BI125" s="59">
        <f ca="1">AVERAGE(OFFSET($BH$3,0,0,'Données projet'!$E$11+1,1))-AVERAGE(OFFSET($H$3,0,0,'Données projet'!$E$11+1,1))</f>
        <v>310.4018929413723</v>
      </c>
      <c r="BJ125" s="59">
        <f t="shared" si="92"/>
        <v>127.5231137583819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0.45934050868397031</v>
      </c>
      <c r="BR125" s="21">
        <f>EXP(-LN(2)/2)*BR124+(1-EXP(-LN(2)/2))/(LN(2)/2)*BL125*BO125*VLOOKUP('Données projet'!$B$11,Paramètres!$A$1:$I$89,3,0)*0.475*44/12</f>
        <v>1.2690727168438109E-13</v>
      </c>
      <c r="BS125" s="22">
        <f t="shared" si="63"/>
        <v>0.4593405086840972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158.58786357608489</v>
      </c>
      <c r="AO126" s="59">
        <f t="shared" si="90"/>
        <v>163.20074068819849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5.9</v>
      </c>
      <c r="BD126" s="12">
        <f>IF('Données projet'!$A$88&gt;35,BD125+BC126-BL125,IF(A126&lt;'Données projet'!$A$88,$BA$205^A126,IF(A126='Données projet'!$A$88,'Données projet'!$B$88,BD125+BC126-BL125)))</f>
        <v>365.70000000000033</v>
      </c>
      <c r="BE126" s="13">
        <f>BD126*VLOOKUP('Données projet'!$B$11,Paramètres!$A$1:$I$89,3,0)*VLOOKUP('Données projet'!$B$11,Paramètres!$A$1:$I$89,5,0)</f>
        <v>313.77060000000029</v>
      </c>
      <c r="BF126" s="13">
        <f t="shared" si="91"/>
        <v>74.055726596216218</v>
      </c>
      <c r="BG126" s="20">
        <f t="shared" si="61"/>
        <v>675.46418548841041</v>
      </c>
      <c r="BH126" s="59">
        <f t="shared" si="62"/>
        <v>968.79751882174378</v>
      </c>
      <c r="BI126" s="59">
        <f ca="1">AVERAGE(OFFSET($BH$3,0,0,'Données projet'!$E$11+1,1))-AVERAGE(OFFSET($H$3,0,0,'Données projet'!$E$11+1,1))</f>
        <v>310.4018929413723</v>
      </c>
      <c r="BJ126" s="59">
        <f t="shared" si="92"/>
        <v>127.5231137583819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0.44677981831833963</v>
      </c>
      <c r="BR126" s="21">
        <f>EXP(-LN(2)/2)*BR125+(1-EXP(-LN(2)/2))/(LN(2)/2)*BL126*BO126*VLOOKUP('Données projet'!$B$11,Paramètres!$A$1:$I$89,3,0)*0.475*44/12</f>
        <v>8.9736992389909399E-14</v>
      </c>
      <c r="BS126" s="22">
        <f t="shared" si="63"/>
        <v>0.44677981831842939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158.58786357608489</v>
      </c>
      <c r="AO127" s="59">
        <f t="shared" si="90"/>
        <v>163.20074068819849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5.9</v>
      </c>
      <c r="BD127" s="12">
        <f>IF('Données projet'!$A$88&gt;35,BD126+BC127-BL126,IF(A127&lt;'Données projet'!$A$88,$BA$205^A127,IF(A127='Données projet'!$A$88,'Données projet'!$B$88,BD126+BC127-BL126)))</f>
        <v>371.60000000000031</v>
      </c>
      <c r="BE127" s="13">
        <f>BD127*VLOOKUP('Données projet'!$B$11,Paramètres!$A$1:$I$89,3,0)*VLOOKUP('Données projet'!$B$11,Paramètres!$A$1:$I$89,5,0)</f>
        <v>318.8328000000003</v>
      </c>
      <c r="BF127" s="13">
        <f t="shared" si="91"/>
        <v>75.110443378112123</v>
      </c>
      <c r="BG127" s="20">
        <f t="shared" si="61"/>
        <v>686.11781555021241</v>
      </c>
      <c r="BH127" s="59">
        <f t="shared" si="62"/>
        <v>979.45114888354578</v>
      </c>
      <c r="BI127" s="59">
        <f ca="1">AVERAGE(OFFSET($BH$3,0,0,'Données projet'!$E$11+1,1))-AVERAGE(OFFSET($H$3,0,0,'Données projet'!$E$11+1,1))</f>
        <v>310.4018929413723</v>
      </c>
      <c r="BJ127" s="59">
        <f t="shared" si="92"/>
        <v>127.5231137583819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0.4345626006912951</v>
      </c>
      <c r="BR127" s="21">
        <f>EXP(-LN(2)/2)*BR126+(1-EXP(-LN(2)/2))/(LN(2)/2)*BL127*BO127*VLOOKUP('Données projet'!$B$11,Paramètres!$A$1:$I$89,3,0)*0.475*44/12</f>
        <v>6.3453635842190546E-14</v>
      </c>
      <c r="BS127" s="22">
        <f t="shared" si="63"/>
        <v>0.43456260069135855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158.58786357608489</v>
      </c>
      <c r="AO128" s="59">
        <f t="shared" si="90"/>
        <v>163.20074068819849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5.9</v>
      </c>
      <c r="BD128" s="12">
        <f>IF('Données projet'!$A$88&gt;35,BD127+BC128-BL127,IF(A128&lt;'Données projet'!$A$88,$BA$205^A128,IF(A128='Données projet'!$A$88,'Données projet'!$B$88,BD127+BC128-BL127)))</f>
        <v>377.50000000000028</v>
      </c>
      <c r="BE128" s="13">
        <f>BD128*VLOOKUP('Données projet'!$B$11,Paramètres!$A$1:$I$89,3,0)*VLOOKUP('Données projet'!$B$11,Paramètres!$A$1:$I$89,5,0)</f>
        <v>323.89500000000027</v>
      </c>
      <c r="BF128" s="13">
        <f t="shared" si="91"/>
        <v>76.163212634369074</v>
      </c>
      <c r="BG128" s="20">
        <f t="shared" si="61"/>
        <v>696.76805367152656</v>
      </c>
      <c r="BH128" s="59">
        <f t="shared" si="62"/>
        <v>990.10138700485982</v>
      </c>
      <c r="BI128" s="59">
        <f ca="1">AVERAGE(OFFSET($BH$3,0,0,'Données projet'!$E$11+1,1))-AVERAGE(OFFSET($H$3,0,0,'Données projet'!$E$11+1,1))</f>
        <v>310.4018929413723</v>
      </c>
      <c r="BJ128" s="59">
        <f t="shared" si="92"/>
        <v>127.5231137583819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0.42267946352273766</v>
      </c>
      <c r="BR128" s="21">
        <f>EXP(-LN(2)/2)*BR127+(1-EXP(-LN(2)/2))/(LN(2)/2)*BL128*BO128*VLOOKUP('Données projet'!$B$11,Paramètres!$A$1:$I$89,3,0)*0.475*44/12</f>
        <v>4.48684961949547E-14</v>
      </c>
      <c r="BS128" s="22">
        <f t="shared" si="63"/>
        <v>0.42267946352278252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158.58786357608489</v>
      </c>
      <c r="AO129" s="59">
        <f t="shared" si="90"/>
        <v>163.20074068819849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5.9</v>
      </c>
      <c r="BD129" s="12">
        <f>IF('Données projet'!$A$88&gt;35,BD128+BC129-BL128,IF(A129&lt;'Données projet'!$A$88,$BA$205^A129,IF(A129='Données projet'!$A$88,'Données projet'!$B$88,BD128+BC129-BL128)))</f>
        <v>383.40000000000026</v>
      </c>
      <c r="BE129" s="13">
        <f>BD129*VLOOKUP('Données projet'!$B$11,Paramètres!$A$1:$I$89,3,0)*VLOOKUP('Données projet'!$B$11,Paramètres!$A$1:$I$89,5,0)</f>
        <v>328.95720000000023</v>
      </c>
      <c r="BF129" s="13">
        <f t="shared" si="91"/>
        <v>77.214068318029646</v>
      </c>
      <c r="BG129" s="20">
        <f t="shared" si="61"/>
        <v>707.41495898723531</v>
      </c>
      <c r="BH129" s="59">
        <f t="shared" si="62"/>
        <v>1000.7482923205687</v>
      </c>
      <c r="BI129" s="59">
        <f ca="1">AVERAGE(OFFSET($BH$3,0,0,'Données projet'!$E$11+1,1))-AVERAGE(OFFSET($H$3,0,0,'Données projet'!$E$11+1,1))</f>
        <v>310.4018929413723</v>
      </c>
      <c r="BJ129" s="59">
        <f t="shared" si="92"/>
        <v>127.5231137583819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0.41112127136496146</v>
      </c>
      <c r="BR129" s="21">
        <f>EXP(-LN(2)/2)*BR128+(1-EXP(-LN(2)/2))/(LN(2)/2)*BL129*BO129*VLOOKUP('Données projet'!$B$11,Paramètres!$A$1:$I$89,3,0)*0.475*44/12</f>
        <v>3.1726817921095273E-14</v>
      </c>
      <c r="BS129" s="22">
        <f t="shared" si="63"/>
        <v>0.41112127136499321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158.58786357608489</v>
      </c>
      <c r="AO130" s="59">
        <f t="shared" si="90"/>
        <v>163.20074068819849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5.9</v>
      </c>
      <c r="BD130" s="12">
        <f>IF('Données projet'!$A$88&gt;35,BD129+BC130-BL129,IF(A130&lt;'Données projet'!$A$88,$BA$205^A130,IF(A130='Données projet'!$A$88,'Données projet'!$B$88,BD129+BC130-BL129)))</f>
        <v>389.30000000000024</v>
      </c>
      <c r="BE130" s="13">
        <f>BD130*VLOOKUP('Données projet'!$B$11,Paramètres!$A$1:$I$89,3,0)*VLOOKUP('Données projet'!$B$11,Paramètres!$A$1:$I$89,5,0)</f>
        <v>334.01940000000025</v>
      </c>
      <c r="BF130" s="13">
        <f t="shared" si="91"/>
        <v>78.263043277196772</v>
      </c>
      <c r="BG130" s="20">
        <f t="shared" si="61"/>
        <v>718.05858870778468</v>
      </c>
      <c r="BH130" s="59">
        <f t="shared" si="62"/>
        <v>1011.3919220411181</v>
      </c>
      <c r="BI130" s="59">
        <f ca="1">AVERAGE(OFFSET($BH$3,0,0,'Données projet'!$E$11+1,1))-AVERAGE(OFFSET($H$3,0,0,'Données projet'!$E$11+1,1))</f>
        <v>310.4018929413723</v>
      </c>
      <c r="BJ130" s="59">
        <f t="shared" si="92"/>
        <v>127.5231137583819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0.39987913857955854</v>
      </c>
      <c r="BR130" s="21">
        <f>EXP(-LN(2)/2)*BR129+(1-EXP(-LN(2)/2))/(LN(2)/2)*BL130*BO130*VLOOKUP('Données projet'!$B$11,Paramètres!$A$1:$I$89,3,0)*0.475*44/12</f>
        <v>2.243424809747735E-14</v>
      </c>
      <c r="BS130" s="22">
        <f t="shared" si="63"/>
        <v>0.39987913857958096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158.58786357608489</v>
      </c>
      <c r="AO131" s="59">
        <f t="shared" si="90"/>
        <v>163.20074068819849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5.9</v>
      </c>
      <c r="BD131" s="12">
        <f>IF('Données projet'!$A$88&gt;35,BD130+BC131-BL130,IF(A131&lt;'Données projet'!$A$88,$BA$205^A131,IF(A131='Données projet'!$A$88,'Données projet'!$B$88,BD130+BC131-BL130)))</f>
        <v>395.20000000000022</v>
      </c>
      <c r="BE131" s="13">
        <f>BD131*VLOOKUP('Données projet'!$B$11,Paramètres!$A$1:$I$89,3,0)*VLOOKUP('Données projet'!$B$11,Paramètres!$A$1:$I$89,5,0)</f>
        <v>339.08160000000021</v>
      </c>
      <c r="BF131" s="13">
        <f t="shared" si="91"/>
        <v>79.310169307181994</v>
      </c>
      <c r="BG131" s="20">
        <f t="shared" si="61"/>
        <v>728.69899821000888</v>
      </c>
      <c r="BH131" s="59">
        <f t="shared" si="62"/>
        <v>1022.0323315433423</v>
      </c>
      <c r="BI131" s="59">
        <f ca="1">AVERAGE(OFFSET($BH$3,0,0,'Données projet'!$E$11+1,1))-AVERAGE(OFFSET($H$3,0,0,'Données projet'!$E$11+1,1))</f>
        <v>310.4018929413723</v>
      </c>
      <c r="BJ131" s="59">
        <f t="shared" si="92"/>
        <v>127.5231137583819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0.38894442250637057</v>
      </c>
      <c r="BR131" s="21">
        <f>EXP(-LN(2)/2)*BR130+(1-EXP(-LN(2)/2))/(LN(2)/2)*BL131*BO131*VLOOKUP('Données projet'!$B$11,Paramètres!$A$1:$I$89,3,0)*0.475*44/12</f>
        <v>1.5863408960547636E-14</v>
      </c>
      <c r="BS131" s="22">
        <f t="shared" si="63"/>
        <v>0.38894442250638644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158.58786357608489</v>
      </c>
      <c r="AO132" s="59">
        <f t="shared" si="90"/>
        <v>163.20074068819849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5.9</v>
      </c>
      <c r="BD132" s="12">
        <f>IF('Données projet'!$A$88&gt;35,BD131+BC132-BL131,IF(A132&lt;'Données projet'!$A$88,$BA$205^A132,IF(A132='Données projet'!$A$88,'Données projet'!$B$88,BD131+BC132-BL131)))</f>
        <v>401.10000000000019</v>
      </c>
      <c r="BE132" s="13">
        <f>BD132*VLOOKUP('Données projet'!$B$11,Paramètres!$A$1:$I$89,3,0)*VLOOKUP('Données projet'!$B$11,Paramètres!$A$1:$I$89,5,0)</f>
        <v>344.14380000000023</v>
      </c>
      <c r="BF132" s="13">
        <f t="shared" si="91"/>
        <v>80.355477199451585</v>
      </c>
      <c r="BG132" s="20">
        <f t="shared" ref="BG132:BG153" si="115">(BE132+BF132)*0.475*44/12</f>
        <v>739.33624112237851</v>
      </c>
      <c r="BH132" s="59">
        <f t="shared" ref="BH132:BH195" si="116">BG132+(AY132+AZ132)*44/12</f>
        <v>1032.6695744557119</v>
      </c>
      <c r="BI132" s="59">
        <f ca="1">AVERAGE(OFFSET($BH$3,0,0,'Données projet'!$E$11+1,1))-AVERAGE(OFFSET($H$3,0,0,'Données projet'!$E$11+1,1))</f>
        <v>310.4018929413723</v>
      </c>
      <c r="BJ132" s="59">
        <f t="shared" si="92"/>
        <v>127.5231137583819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0.37830871681923561</v>
      </c>
      <c r="BR132" s="21">
        <f>EXP(-LN(2)/2)*BR131+(1-EXP(-LN(2)/2))/(LN(2)/2)*BL132*BO132*VLOOKUP('Données projet'!$B$11,Paramètres!$A$1:$I$89,3,0)*0.475*44/12</f>
        <v>1.1217124048738675E-14</v>
      </c>
      <c r="BS132" s="22">
        <f t="shared" ref="BS132:BS153" si="117">SUM(BP132:BR132)</f>
        <v>0.37830871681924683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158.58786357608489</v>
      </c>
      <c r="AO133" s="59">
        <f t="shared" ref="AO133:AO196" si="144">$AO$3</f>
        <v>163.20074068819849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407</v>
      </c>
      <c r="BB133" s="12">
        <f>VLOOKUP(A133,'Données projet'!$A$87:$I$107,9,0)</f>
        <v>5.9</v>
      </c>
      <c r="BC133" s="12">
        <f t="array" ref="BC133">INDEX(BB:BB,MIN(IF(ISNUMBER(BB133:BB329),ROW(BB133:BB329),"")))</f>
        <v>5.9</v>
      </c>
      <c r="BD133" s="12">
        <f>IF('Données projet'!$A$88&gt;35,BD132+BC133-BL132,IF(A133&lt;'Données projet'!$A$88,$BA$205^A133,IF(A133='Données projet'!$A$88,'Données projet'!$B$88,BD132+BC133-BL132)))</f>
        <v>407.00000000000017</v>
      </c>
      <c r="BE133" s="13">
        <f>BD133*VLOOKUP('Données projet'!$B$11,Paramètres!$A$1:$I$89,3,0)*VLOOKUP('Données projet'!$B$11,Paramètres!$A$1:$I$89,5,0)</f>
        <v>349.20600000000019</v>
      </c>
      <c r="BF133" s="13">
        <f t="shared" ref="BF133:BF153" si="145">EXP(-1.0587+0.8836*LN(BE133)+0.284)</f>
        <v>81.39899678761104</v>
      </c>
      <c r="BG133" s="20">
        <f t="shared" si="115"/>
        <v>749.97036940508951</v>
      </c>
      <c r="BH133" s="59">
        <f t="shared" si="116"/>
        <v>1043.3037027384228</v>
      </c>
      <c r="BI133" s="59">
        <f ca="1">AVERAGE(OFFSET($BH$3,0,0,'Données projet'!$E$11+1,1))-AVERAGE(OFFSET($H$3,0,0,'Données projet'!$E$11+1,1))</f>
        <v>310.4018929413723</v>
      </c>
      <c r="BJ133" s="59">
        <f t="shared" ref="BJ133:BJ196" si="146">$BJ$3</f>
        <v>127.5231137583819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47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0.36796384506342283</v>
      </c>
      <c r="BR133" s="21">
        <f>EXP(-LN(2)/2)*BR132+(1-EXP(-LN(2)/2))/(LN(2)/2)*BL133*BO133*VLOOKUP('Données projet'!$B$11,Paramètres!$A$1:$I$89,3,0)*0.475*44/12</f>
        <v>7.9317044802738182E-15</v>
      </c>
      <c r="BS133" s="22">
        <f t="shared" si="117"/>
        <v>0.36796384506343077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158.58786357608489</v>
      </c>
      <c r="AO134" s="59">
        <f t="shared" si="144"/>
        <v>163.20074068819849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5.0999999999999996</v>
      </c>
      <c r="BD134" s="12">
        <f>IF('Données projet'!$A$88&gt;35,BD133+BC134-BL133,IF(A134&lt;'Données projet'!$A$88,$BA$205^A134,IF(A134='Données projet'!$A$88,'Données projet'!$B$88,BD133+BC134-BL133)))</f>
        <v>365.10000000000019</v>
      </c>
      <c r="BE134" s="13">
        <f>BD134*VLOOKUP('Données projet'!$B$11,Paramètres!$A$1:$I$89,3,0)*VLOOKUP('Données projet'!$B$11,Paramètres!$A$1:$I$89,5,0)</f>
        <v>313.25580000000019</v>
      </c>
      <c r="BF134" s="13">
        <f t="shared" si="145"/>
        <v>73.948356797752027</v>
      </c>
      <c r="BG134" s="20">
        <f t="shared" si="115"/>
        <v>674.38057308941836</v>
      </c>
      <c r="BH134" s="59">
        <f t="shared" si="116"/>
        <v>967.71390642275173</v>
      </c>
      <c r="BI134" s="59">
        <f ca="1">AVERAGE(OFFSET($BH$3,0,0,'Données projet'!$E$11+1,1))-AVERAGE(OFFSET($H$3,0,0,'Données projet'!$E$11+1,1))</f>
        <v>310.4018929413723</v>
      </c>
      <c r="BJ134" s="59">
        <f t="shared" si="146"/>
        <v>127.5231137583819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0.35790185436978594</v>
      </c>
      <c r="BR134" s="21">
        <f>EXP(-LN(2)/2)*BR133+(1-EXP(-LN(2)/2))/(LN(2)/2)*BL134*BO134*VLOOKUP('Données projet'!$B$11,Paramètres!$A$1:$I$89,3,0)*0.475*44/12</f>
        <v>5.6085620243693375E-15</v>
      </c>
      <c r="BS134" s="22">
        <f t="shared" si="117"/>
        <v>0.35790185436979155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158.58786357608489</v>
      </c>
      <c r="AO135" s="59">
        <f t="shared" si="144"/>
        <v>163.20074068819849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5.0999999999999996</v>
      </c>
      <c r="BD135" s="12">
        <f>IF('Données projet'!$A$88&gt;35,BD134+BC135-BL134,IF(A135&lt;'Données projet'!$A$88,$BA$205^A135,IF(A135='Données projet'!$A$88,'Données projet'!$B$88,BD134+BC135-BL134)))</f>
        <v>370.20000000000022</v>
      </c>
      <c r="BE135" s="13">
        <f>BD135*VLOOKUP('Données projet'!$B$11,Paramètres!$A$1:$I$89,3,0)*VLOOKUP('Données projet'!$B$11,Paramètres!$A$1:$I$89,5,0)</f>
        <v>317.63160000000022</v>
      </c>
      <c r="BF135" s="13">
        <f t="shared" si="145"/>
        <v>74.860349124335784</v>
      </c>
      <c r="BG135" s="20">
        <f t="shared" si="115"/>
        <v>683.59014472488514</v>
      </c>
      <c r="BH135" s="59">
        <f t="shared" si="116"/>
        <v>976.92347805821851</v>
      </c>
      <c r="BI135" s="59">
        <f ca="1">AVERAGE(OFFSET($BH$3,0,0,'Données projet'!$E$11+1,1))-AVERAGE(OFFSET($H$3,0,0,'Données projet'!$E$11+1,1))</f>
        <v>310.4018929413723</v>
      </c>
      <c r="BJ135" s="59">
        <f t="shared" si="146"/>
        <v>127.5231137583819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0.34811500934080364</v>
      </c>
      <c r="BR135" s="21">
        <f>EXP(-LN(2)/2)*BR134+(1-EXP(-LN(2)/2))/(LN(2)/2)*BL135*BO135*VLOOKUP('Données projet'!$B$11,Paramètres!$A$1:$I$89,3,0)*0.475*44/12</f>
        <v>3.9658522401369091E-15</v>
      </c>
      <c r="BS135" s="22">
        <f t="shared" si="117"/>
        <v>0.34811500934080758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158.58786357608489</v>
      </c>
      <c r="AO136" s="59">
        <f t="shared" si="144"/>
        <v>163.20074068819849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5.0999999999999996</v>
      </c>
      <c r="BD136" s="12">
        <f>IF('Données projet'!$A$88&gt;35,BD135+BC136-BL135,IF(A136&lt;'Données projet'!$A$88,$BA$205^A136,IF(A136='Données projet'!$A$88,'Données projet'!$B$88,BD135+BC136-BL135)))</f>
        <v>375.30000000000024</v>
      </c>
      <c r="BE136" s="13">
        <f>BD136*VLOOKUP('Données projet'!$B$11,Paramètres!$A$1:$I$89,3,0)*VLOOKUP('Données projet'!$B$11,Paramètres!$A$1:$I$89,5,0)</f>
        <v>322.00740000000025</v>
      </c>
      <c r="BF136" s="13">
        <f t="shared" si="145"/>
        <v>75.770880134416487</v>
      </c>
      <c r="BG136" s="20">
        <f t="shared" si="115"/>
        <v>692.7971712341091</v>
      </c>
      <c r="BH136" s="59">
        <f t="shared" si="116"/>
        <v>986.13050456744236</v>
      </c>
      <c r="BI136" s="59">
        <f ca="1">AVERAGE(OFFSET($BH$3,0,0,'Données projet'!$E$11+1,1))-AVERAGE(OFFSET($H$3,0,0,'Données projet'!$E$11+1,1))</f>
        <v>310.4018929413723</v>
      </c>
      <c r="BJ136" s="59">
        <f t="shared" si="146"/>
        <v>127.5231137583819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0.33859578610380664</v>
      </c>
      <c r="BR136" s="21">
        <f>EXP(-LN(2)/2)*BR135+(1-EXP(-LN(2)/2))/(LN(2)/2)*BL136*BO136*VLOOKUP('Données projet'!$B$11,Paramètres!$A$1:$I$89,3,0)*0.475*44/12</f>
        <v>2.8042810121846687E-15</v>
      </c>
      <c r="BS136" s="22">
        <f t="shared" si="117"/>
        <v>0.33859578610380947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158.58786357608489</v>
      </c>
      <c r="AO137" s="59">
        <f t="shared" si="144"/>
        <v>163.20074068819849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5.0999999999999996</v>
      </c>
      <c r="BD137" s="12">
        <f>IF('Données projet'!$A$88&gt;35,BD136+BC137-BL136,IF(A137&lt;'Données projet'!$A$88,$BA$205^A137,IF(A137='Données projet'!$A$88,'Données projet'!$B$88,BD136+BC137-BL136)))</f>
        <v>380.40000000000026</v>
      </c>
      <c r="BE137" s="13">
        <f>BD137*VLOOKUP('Données projet'!$B$11,Paramètres!$A$1:$I$89,3,0)*VLOOKUP('Données projet'!$B$11,Paramètres!$A$1:$I$89,5,0)</f>
        <v>326.38320000000027</v>
      </c>
      <c r="BF137" s="13">
        <f t="shared" si="145"/>
        <v>76.679971981333125</v>
      </c>
      <c r="BG137" s="20">
        <f t="shared" si="115"/>
        <v>702.00169120082239</v>
      </c>
      <c r="BH137" s="59">
        <f t="shared" si="116"/>
        <v>995.33502453415576</v>
      </c>
      <c r="BI137" s="59">
        <f ca="1">AVERAGE(OFFSET($BH$3,0,0,'Données projet'!$E$11+1,1))-AVERAGE(OFFSET($H$3,0,0,'Données projet'!$E$11+1,1))</f>
        <v>310.4018929413723</v>
      </c>
      <c r="BJ137" s="59">
        <f t="shared" si="146"/>
        <v>127.5231137583819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0.32933686652681954</v>
      </c>
      <c r="BR137" s="21">
        <f>EXP(-LN(2)/2)*BR136+(1-EXP(-LN(2)/2))/(LN(2)/2)*BL137*BO137*VLOOKUP('Données projet'!$B$11,Paramètres!$A$1:$I$89,3,0)*0.475*44/12</f>
        <v>1.9829261200684546E-15</v>
      </c>
      <c r="BS137" s="22">
        <f t="shared" si="117"/>
        <v>0.32933686652682154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158.58786357608489</v>
      </c>
      <c r="AO138" s="59">
        <f t="shared" si="144"/>
        <v>163.20074068819849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5.0999999999999996</v>
      </c>
      <c r="BD138" s="12">
        <f>IF('Données projet'!$A$88&gt;35,BD137+BC138-BL137,IF(A138&lt;'Données projet'!$A$88,$BA$205^A138,IF(A138='Données projet'!$A$88,'Données projet'!$B$88,BD137+BC138-BL137)))</f>
        <v>385.50000000000028</v>
      </c>
      <c r="BE138" s="13">
        <f>BD138*VLOOKUP('Données projet'!$B$11,Paramètres!$A$1:$I$89,3,0)*VLOOKUP('Données projet'!$B$11,Paramètres!$A$1:$I$89,5,0)</f>
        <v>330.7590000000003</v>
      </c>
      <c r="BF138" s="13">
        <f t="shared" si="145"/>
        <v>77.587646190269894</v>
      </c>
      <c r="BG138" s="20">
        <f t="shared" si="115"/>
        <v>711.20374211472051</v>
      </c>
      <c r="BH138" s="59">
        <f t="shared" si="116"/>
        <v>1004.5370754480539</v>
      </c>
      <c r="BI138" s="59">
        <f ca="1">AVERAGE(OFFSET($BH$3,0,0,'Données projet'!$E$11+1,1))-AVERAGE(OFFSET($H$3,0,0,'Données projet'!$E$11+1,1))</f>
        <v>310.4018929413723</v>
      </c>
      <c r="BJ138" s="59">
        <f t="shared" si="146"/>
        <v>127.5231137583819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0.32033113259257057</v>
      </c>
      <c r="BR138" s="21">
        <f>EXP(-LN(2)/2)*BR137+(1-EXP(-LN(2)/2))/(LN(2)/2)*BL138*BO138*VLOOKUP('Données projet'!$B$11,Paramètres!$A$1:$I$89,3,0)*0.475*44/12</f>
        <v>1.4021405060923344E-15</v>
      </c>
      <c r="BS138" s="22">
        <f t="shared" si="117"/>
        <v>0.32033113259257195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158.58786357608489</v>
      </c>
      <c r="AO139" s="59">
        <f t="shared" si="144"/>
        <v>163.20074068819849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5.0999999999999996</v>
      </c>
      <c r="BD139" s="12">
        <f>IF('Données projet'!$A$88&gt;35,BD138+BC139-BL138,IF(A139&lt;'Données projet'!$A$88,$BA$205^A139,IF(A139='Données projet'!$A$88,'Données projet'!$B$88,BD138+BC139-BL138)))</f>
        <v>390.60000000000031</v>
      </c>
      <c r="BE139" s="13">
        <f>BD139*VLOOKUP('Données projet'!$B$11,Paramètres!$A$1:$I$89,3,0)*VLOOKUP('Données projet'!$B$11,Paramètres!$A$1:$I$89,5,0)</f>
        <v>335.13480000000033</v>
      </c>
      <c r="BF139" s="13">
        <f t="shared" si="145"/>
        <v>78.493923684137798</v>
      </c>
      <c r="BG139" s="20">
        <f t="shared" si="115"/>
        <v>720.40336041654052</v>
      </c>
      <c r="BH139" s="59">
        <f t="shared" si="116"/>
        <v>1013.7366937498739</v>
      </c>
      <c r="BI139" s="59">
        <f ca="1">AVERAGE(OFFSET($BH$3,0,0,'Données projet'!$E$11+1,1))-AVERAGE(OFFSET($H$3,0,0,'Données projet'!$E$11+1,1))</f>
        <v>310.4018929413723</v>
      </c>
      <c r="BJ139" s="59">
        <f t="shared" si="146"/>
        <v>127.5231137583819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0.31157166092634458</v>
      </c>
      <c r="BR139" s="21">
        <f>EXP(-LN(2)/2)*BR138+(1-EXP(-LN(2)/2))/(LN(2)/2)*BL139*BO139*VLOOKUP('Données projet'!$B$11,Paramètres!$A$1:$I$89,3,0)*0.475*44/12</f>
        <v>9.9146306003422728E-16</v>
      </c>
      <c r="BS139" s="22">
        <f t="shared" si="117"/>
        <v>0.31157166092634558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158.58786357608489</v>
      </c>
      <c r="AO140" s="59">
        <f t="shared" si="144"/>
        <v>163.20074068819849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5.0999999999999996</v>
      </c>
      <c r="BD140" s="12">
        <f>IF('Données projet'!$A$88&gt;35,BD139+BC140-BL139,IF(A140&lt;'Données projet'!$A$88,$BA$205^A140,IF(A140='Données projet'!$A$88,'Données projet'!$B$88,BD139+BC140-BL139)))</f>
        <v>395.70000000000033</v>
      </c>
      <c r="BE140" s="13">
        <f>BD140*VLOOKUP('Données projet'!$B$11,Paramètres!$A$1:$I$89,3,0)*VLOOKUP('Données projet'!$B$11,Paramètres!$A$1:$I$89,5,0)</f>
        <v>339.5106000000003</v>
      </c>
      <c r="BF140" s="13">
        <f t="shared" si="145"/>
        <v>79.398824808064774</v>
      </c>
      <c r="BG140" s="20">
        <f t="shared" si="115"/>
        <v>729.60058154071328</v>
      </c>
      <c r="BH140" s="59">
        <f t="shared" si="116"/>
        <v>1022.9339148740466</v>
      </c>
      <c r="BI140" s="59">
        <f ca="1">AVERAGE(OFFSET($BH$3,0,0,'Données projet'!$E$11+1,1))-AVERAGE(OFFSET($H$3,0,0,'Données projet'!$E$11+1,1))</f>
        <v>310.4018929413723</v>
      </c>
      <c r="BJ140" s="59">
        <f t="shared" si="146"/>
        <v>127.5231137583819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0.30305171747347215</v>
      </c>
      <c r="BR140" s="21">
        <f>EXP(-LN(2)/2)*BR139+(1-EXP(-LN(2)/2))/(LN(2)/2)*BL140*BO140*VLOOKUP('Données projet'!$B$11,Paramètres!$A$1:$I$89,3,0)*0.475*44/12</f>
        <v>7.0107025304616718E-16</v>
      </c>
      <c r="BS140" s="22">
        <f t="shared" si="117"/>
        <v>0.30305171747347287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158.58786357608489</v>
      </c>
      <c r="AO141" s="59">
        <f t="shared" si="144"/>
        <v>163.20074068819849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5.0999999999999996</v>
      </c>
      <c r="BD141" s="12">
        <f>IF('Données projet'!$A$88&gt;35,BD140+BC141-BL140,IF(A141&lt;'Données projet'!$A$88,$BA$205^A141,IF(A141='Données projet'!$A$88,'Données projet'!$B$88,BD140+BC141-BL140)))</f>
        <v>400.80000000000035</v>
      </c>
      <c r="BE141" s="13">
        <f>BD141*VLOOKUP('Données projet'!$B$11,Paramètres!$A$1:$I$89,3,0)*VLOOKUP('Données projet'!$B$11,Paramètres!$A$1:$I$89,5,0)</f>
        <v>343.88640000000038</v>
      </c>
      <c r="BF141" s="13">
        <f t="shared" si="145"/>
        <v>80.302369352588414</v>
      </c>
      <c r="BG141" s="20">
        <f t="shared" si="115"/>
        <v>738.79543995575875</v>
      </c>
      <c r="BH141" s="59">
        <f t="shared" si="116"/>
        <v>1032.1287732890921</v>
      </c>
      <c r="BI141" s="59">
        <f ca="1">AVERAGE(OFFSET($BH$3,0,0,'Données projet'!$E$11+1,1))-AVERAGE(OFFSET($H$3,0,0,'Données projet'!$E$11+1,1))</f>
        <v>310.4018929413723</v>
      </c>
      <c r="BJ141" s="59">
        <f t="shared" si="146"/>
        <v>127.5231137583819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0.29476475232236288</v>
      </c>
      <c r="BR141" s="21">
        <f>EXP(-LN(2)/2)*BR140+(1-EXP(-LN(2)/2))/(LN(2)/2)*BL141*BO141*VLOOKUP('Données projet'!$B$11,Paramètres!$A$1:$I$89,3,0)*0.475*44/12</f>
        <v>4.9573153001711364E-16</v>
      </c>
      <c r="BS141" s="22">
        <f t="shared" si="117"/>
        <v>0.29476475232236338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158.58786357608489</v>
      </c>
      <c r="AO142" s="59">
        <f t="shared" si="144"/>
        <v>163.20074068819849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5.0999999999999996</v>
      </c>
      <c r="BD142" s="12">
        <f>IF('Données projet'!$A$88&gt;35,BD141+BC142-BL141,IF(A142&lt;'Données projet'!$A$88,$BA$205^A142,IF(A142='Données projet'!$A$88,'Données projet'!$B$88,BD141+BC142-BL141)))</f>
        <v>405.90000000000038</v>
      </c>
      <c r="BE142" s="13">
        <f>BD142*VLOOKUP('Données projet'!$B$11,Paramètres!$A$1:$I$89,3,0)*VLOOKUP('Données projet'!$B$11,Paramètres!$A$1:$I$89,5,0)</f>
        <v>348.26220000000035</v>
      </c>
      <c r="BF142" s="13">
        <f t="shared" si="145"/>
        <v>81.204576575634022</v>
      </c>
      <c r="BG142" s="20">
        <f t="shared" si="115"/>
        <v>747.98796920256325</v>
      </c>
      <c r="BH142" s="59">
        <f t="shared" si="116"/>
        <v>1041.3213025358966</v>
      </c>
      <c r="BI142" s="59">
        <f ca="1">AVERAGE(OFFSET($BH$3,0,0,'Données projet'!$E$11+1,1))-AVERAGE(OFFSET($H$3,0,0,'Données projet'!$E$11+1,1))</f>
        <v>310.4018929413723</v>
      </c>
      <c r="BJ142" s="59">
        <f t="shared" si="146"/>
        <v>127.5231137583819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0.28670439466910325</v>
      </c>
      <c r="BR142" s="21">
        <f>EXP(-LN(2)/2)*BR141+(1-EXP(-LN(2)/2))/(LN(2)/2)*BL142*BO142*VLOOKUP('Données projet'!$B$11,Paramètres!$A$1:$I$89,3,0)*0.475*44/12</f>
        <v>3.5053512652308359E-16</v>
      </c>
      <c r="BS142" s="22">
        <f t="shared" si="117"/>
        <v>0.28670439466910358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158.58786357608489</v>
      </c>
      <c r="AO143" s="59">
        <f t="shared" si="144"/>
        <v>163.20074068819849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411</v>
      </c>
      <c r="BB143" s="12">
        <f>VLOOKUP(A143,'Données projet'!$A$87:$I$107,9,0)</f>
        <v>5.0999999999999996</v>
      </c>
      <c r="BC143" s="12">
        <f t="array" ref="BC143">INDEX(BB:BB,MIN(IF(ISNUMBER(BB143:BB339),ROW(BB143:BB339),"")))</f>
        <v>5.0999999999999996</v>
      </c>
      <c r="BD143" s="12">
        <f>IF('Données projet'!$A$88&gt;35,BD142+BC143-BL142,IF(A143&lt;'Données projet'!$A$88,$BA$205^A143,IF(A143='Données projet'!$A$88,'Données projet'!$B$88,BD142+BC143-BL142)))</f>
        <v>411.0000000000004</v>
      </c>
      <c r="BE143" s="13">
        <f>BD143*VLOOKUP('Données projet'!$B$11,Paramètres!$A$1:$I$89,3,0)*VLOOKUP('Données projet'!$B$11,Paramètres!$A$1:$I$89,5,0)</f>
        <v>352.63800000000037</v>
      </c>
      <c r="BF143" s="13">
        <f t="shared" si="145"/>
        <v>82.105465223356973</v>
      </c>
      <c r="BG143" s="20">
        <f t="shared" si="115"/>
        <v>757.17820193068076</v>
      </c>
      <c r="BH143" s="59">
        <f t="shared" si="116"/>
        <v>1050.5115352640141</v>
      </c>
      <c r="BI143" s="59">
        <f ca="1">AVERAGE(OFFSET($BH$3,0,0,'Données projet'!$E$11+1,1))-AVERAGE(OFFSET($H$3,0,0,'Données projet'!$E$11+1,1))</f>
        <v>310.4018929413723</v>
      </c>
      <c r="BJ143" s="59">
        <f t="shared" si="146"/>
        <v>127.5231137583819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0.27886444791974779</v>
      </c>
      <c r="BR143" s="21">
        <f>EXP(-LN(2)/2)*BR142+(1-EXP(-LN(2)/2))/(LN(2)/2)*BL143*BO143*VLOOKUP('Données projet'!$B$11,Paramètres!$A$1:$I$89,3,0)*0.475*44/12</f>
        <v>2.4786576500855682E-16</v>
      </c>
      <c r="BS143" s="22">
        <f t="shared" si="117"/>
        <v>0.27886444791974802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158.58786357608489</v>
      </c>
      <c r="AO144" s="59">
        <f t="shared" si="144"/>
        <v>163.20074068819849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4.5</v>
      </c>
      <c r="BD144" s="12">
        <f>IF('Données projet'!$A$88&gt;35,BD143+BC144-BL143,IF(A144&lt;'Données projet'!$A$88,$BA$205^A144,IF(A144='Données projet'!$A$88,'Données projet'!$B$88,BD143+BC144-BL143)))</f>
        <v>374.5000000000004</v>
      </c>
      <c r="BE144" s="13">
        <f>BD144*VLOOKUP('Données projet'!$B$11,Paramètres!$A$1:$I$89,3,0)*VLOOKUP('Données projet'!$B$11,Paramètres!$A$1:$I$89,5,0)</f>
        <v>321.32100000000037</v>
      </c>
      <c r="BF144" s="13">
        <f t="shared" si="145"/>
        <v>75.628147467658394</v>
      </c>
      <c r="BG144" s="20">
        <f t="shared" si="115"/>
        <v>691.35309850617239</v>
      </c>
      <c r="BH144" s="59">
        <f t="shared" si="116"/>
        <v>984.68643183950576</v>
      </c>
      <c r="BI144" s="59">
        <f ca="1">AVERAGE(OFFSET($BH$3,0,0,'Données projet'!$E$11+1,1))-AVERAGE(OFFSET($H$3,0,0,'Données projet'!$E$11+1,1))</f>
        <v>310.4018929413723</v>
      </c>
      <c r="BJ144" s="59">
        <f t="shared" si="146"/>
        <v>127.5231137583819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0.2712388849265383</v>
      </c>
      <c r="BR144" s="21">
        <f>EXP(-LN(2)/2)*BR143+(1-EXP(-LN(2)/2))/(LN(2)/2)*BL144*BO144*VLOOKUP('Données projet'!$B$11,Paramètres!$A$1:$I$89,3,0)*0.475*44/12</f>
        <v>1.752675632615418E-16</v>
      </c>
      <c r="BS144" s="22">
        <f t="shared" si="117"/>
        <v>0.27123888492653847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158.58786357608489</v>
      </c>
      <c r="AO145" s="59">
        <f t="shared" si="144"/>
        <v>163.20074068819849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4.5</v>
      </c>
      <c r="BD145" s="12">
        <f>IF('Données projet'!$A$88&gt;35,BD144+BC145-BL144,IF(A145&lt;'Données projet'!$A$88,$BA$205^A145,IF(A145='Données projet'!$A$88,'Données projet'!$B$88,BD144+BC145-BL144)))</f>
        <v>379.0000000000004</v>
      </c>
      <c r="BE145" s="13">
        <f>BD145*VLOOKUP('Données projet'!$B$11,Paramètres!$A$1:$I$89,3,0)*VLOOKUP('Données projet'!$B$11,Paramètres!$A$1:$I$89,5,0)</f>
        <v>325.18200000000041</v>
      </c>
      <c r="BF145" s="13">
        <f t="shared" si="145"/>
        <v>76.430559420348956</v>
      </c>
      <c r="BG145" s="20">
        <f t="shared" si="115"/>
        <v>699.47520765710851</v>
      </c>
      <c r="BH145" s="59">
        <f t="shared" si="116"/>
        <v>992.80854099044177</v>
      </c>
      <c r="BI145" s="59">
        <f ca="1">AVERAGE(OFFSET($BH$3,0,0,'Données projet'!$E$11+1,1))-AVERAGE(OFFSET($H$3,0,0,'Données projet'!$E$11+1,1))</f>
        <v>310.4018929413723</v>
      </c>
      <c r="BJ145" s="59">
        <f t="shared" si="146"/>
        <v>127.5231137583819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0.26382184335438907</v>
      </c>
      <c r="BR145" s="21">
        <f>EXP(-LN(2)/2)*BR144+(1-EXP(-LN(2)/2))/(LN(2)/2)*BL145*BO145*VLOOKUP('Données projet'!$B$11,Paramètres!$A$1:$I$89,3,0)*0.475*44/12</f>
        <v>1.2393288250427841E-16</v>
      </c>
      <c r="BS145" s="22">
        <f t="shared" si="117"/>
        <v>0.26382184335438918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158.58786357608489</v>
      </c>
      <c r="AO146" s="59">
        <f t="shared" si="144"/>
        <v>163.20074068819849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4.5</v>
      </c>
      <c r="BD146" s="12">
        <f>IF('Données projet'!$A$88&gt;35,BD145+BC146-BL145,IF(A146&lt;'Données projet'!$A$88,$BA$205^A146,IF(A146='Données projet'!$A$88,'Données projet'!$B$88,BD145+BC146-BL145)))</f>
        <v>383.5000000000004</v>
      </c>
      <c r="BE146" s="13">
        <f>BD146*VLOOKUP('Données projet'!$B$11,Paramètres!$A$1:$I$89,3,0)*VLOOKUP('Données projet'!$B$11,Paramètres!$A$1:$I$89,5,0)</f>
        <v>329.0430000000004</v>
      </c>
      <c r="BF146" s="13">
        <f t="shared" si="145"/>
        <v>77.231863131590558</v>
      </c>
      <c r="BG146" s="20">
        <f t="shared" si="115"/>
        <v>707.59538662085424</v>
      </c>
      <c r="BH146" s="59">
        <f t="shared" si="116"/>
        <v>1000.9287199541875</v>
      </c>
      <c r="BI146" s="59">
        <f ca="1">AVERAGE(OFFSET($BH$3,0,0,'Données projet'!$E$11+1,1))-AVERAGE(OFFSET($H$3,0,0,'Données projet'!$E$11+1,1))</f>
        <v>310.4018929413723</v>
      </c>
      <c r="BJ146" s="59">
        <f t="shared" si="146"/>
        <v>127.5231137583819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0.25660762117407554</v>
      </c>
      <c r="BR146" s="21">
        <f>EXP(-LN(2)/2)*BR145+(1-EXP(-LN(2)/2))/(LN(2)/2)*BL146*BO146*VLOOKUP('Données projet'!$B$11,Paramètres!$A$1:$I$89,3,0)*0.475*44/12</f>
        <v>8.7633781630770898E-17</v>
      </c>
      <c r="BS146" s="22">
        <f t="shared" si="117"/>
        <v>0.25660762117407565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158.58786357608489</v>
      </c>
      <c r="AO147" s="59">
        <f t="shared" si="144"/>
        <v>163.20074068819849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4.5</v>
      </c>
      <c r="BD147" s="12">
        <f>IF('Données projet'!$A$88&gt;35,BD146+BC147-BL146,IF(A147&lt;'Données projet'!$A$88,$BA$205^A147,IF(A147='Données projet'!$A$88,'Données projet'!$B$88,BD146+BC147-BL146)))</f>
        <v>388.0000000000004</v>
      </c>
      <c r="BE147" s="13">
        <f>BD147*VLOOKUP('Données projet'!$B$11,Paramètres!$A$1:$I$89,3,0)*VLOOKUP('Données projet'!$B$11,Paramètres!$A$1:$I$89,5,0)</f>
        <v>332.90400000000039</v>
      </c>
      <c r="BF147" s="13">
        <f t="shared" si="145"/>
        <v>78.032073109961104</v>
      </c>
      <c r="BG147" s="20">
        <f t="shared" si="115"/>
        <v>715.71366066651626</v>
      </c>
      <c r="BH147" s="59">
        <f t="shared" si="116"/>
        <v>1009.0469939998495</v>
      </c>
      <c r="BI147" s="59">
        <f ca="1">AVERAGE(OFFSET($BH$3,0,0,'Données projet'!$E$11+1,1))-AVERAGE(OFFSET($H$3,0,0,'Données projet'!$E$11+1,1))</f>
        <v>310.4018929413723</v>
      </c>
      <c r="BJ147" s="59">
        <f t="shared" si="146"/>
        <v>127.5231137583819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0.24959067227866213</v>
      </c>
      <c r="BR147" s="21">
        <f>EXP(-LN(2)/2)*BR146+(1-EXP(-LN(2)/2))/(LN(2)/2)*BL147*BO147*VLOOKUP('Données projet'!$B$11,Paramètres!$A$1:$I$89,3,0)*0.475*44/12</f>
        <v>6.1966441252139205E-17</v>
      </c>
      <c r="BS147" s="22">
        <f t="shared" si="117"/>
        <v>0.24959067227866219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158.58786357608489</v>
      </c>
      <c r="AO148" s="59">
        <f t="shared" si="144"/>
        <v>163.20074068819849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4.5</v>
      </c>
      <c r="BD148" s="12">
        <f>IF('Données projet'!$A$88&gt;35,BD147+BC148-BL147,IF(A148&lt;'Données projet'!$A$88,$BA$205^A148,IF(A148='Données projet'!$A$88,'Données projet'!$B$88,BD147+BC148-BL147)))</f>
        <v>392.5000000000004</v>
      </c>
      <c r="BE148" s="13">
        <f>BD148*VLOOKUP('Données projet'!$B$11,Paramètres!$A$1:$I$89,3,0)*VLOOKUP('Données projet'!$B$11,Paramètres!$A$1:$I$89,5,0)</f>
        <v>336.76500000000038</v>
      </c>
      <c r="BF148" s="13">
        <f t="shared" si="145"/>
        <v>78.831203508129136</v>
      </c>
      <c r="BG148" s="20">
        <f t="shared" si="115"/>
        <v>723.83005444332548</v>
      </c>
      <c r="BH148" s="59">
        <f t="shared" si="116"/>
        <v>1017.1633877766587</v>
      </c>
      <c r="BI148" s="59">
        <f ca="1">AVERAGE(OFFSET($BH$3,0,0,'Données projet'!$E$11+1,1))-AVERAGE(OFFSET($H$3,0,0,'Données projet'!$E$11+1,1))</f>
        <v>310.4018929413723</v>
      </c>
      <c r="BJ148" s="59">
        <f t="shared" si="146"/>
        <v>127.5231137583819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0.24276560221979912</v>
      </c>
      <c r="BR148" s="21">
        <f>EXP(-LN(2)/2)*BR147+(1-EXP(-LN(2)/2))/(LN(2)/2)*BL148*BO148*VLOOKUP('Données projet'!$B$11,Paramètres!$A$1:$I$89,3,0)*0.475*44/12</f>
        <v>4.3816890815385449E-17</v>
      </c>
      <c r="BS148" s="22">
        <f t="shared" si="117"/>
        <v>0.24276560221979918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158.58786357608489</v>
      </c>
      <c r="AO149" s="59">
        <f t="shared" si="144"/>
        <v>163.20074068819849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4.5</v>
      </c>
      <c r="BD149" s="12">
        <f>IF('Données projet'!$A$88&gt;35,BD148+BC149-BL148,IF(A149&lt;'Données projet'!$A$88,$BA$205^A149,IF(A149='Données projet'!$A$88,'Données projet'!$B$88,BD148+BC149-BL148)))</f>
        <v>397.0000000000004</v>
      </c>
      <c r="BE149" s="13">
        <f>BD149*VLOOKUP('Données projet'!$B$11,Paramètres!$A$1:$I$89,3,0)*VLOOKUP('Données projet'!$B$11,Paramètres!$A$1:$I$89,5,0)</f>
        <v>340.62600000000037</v>
      </c>
      <c r="BF149" s="13">
        <f t="shared" si="145"/>
        <v>79.629268135563379</v>
      </c>
      <c r="BG149" s="20">
        <f t="shared" si="115"/>
        <v>731.94459200277345</v>
      </c>
      <c r="BH149" s="59">
        <f t="shared" si="116"/>
        <v>1025.2779253361068</v>
      </c>
      <c r="BI149" s="59">
        <f ca="1">AVERAGE(OFFSET($BH$3,0,0,'Données projet'!$E$11+1,1))-AVERAGE(OFFSET($H$3,0,0,'Données projet'!$E$11+1,1))</f>
        <v>310.4018929413723</v>
      </c>
      <c r="BJ149" s="59">
        <f t="shared" si="146"/>
        <v>127.5231137583819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0.23612716406061054</v>
      </c>
      <c r="BR149" s="21">
        <f>EXP(-LN(2)/2)*BR148+(1-EXP(-LN(2)/2))/(LN(2)/2)*BL149*BO149*VLOOKUP('Données projet'!$B$11,Paramètres!$A$1:$I$89,3,0)*0.475*44/12</f>
        <v>3.0983220626069602E-17</v>
      </c>
      <c r="BS149" s="22">
        <f t="shared" si="117"/>
        <v>0.23612716406061057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158.58786357608489</v>
      </c>
      <c r="AO150" s="59">
        <f t="shared" si="144"/>
        <v>163.20074068819849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4.5</v>
      </c>
      <c r="BD150" s="12">
        <f>IF('Données projet'!$A$88&gt;35,BD149+BC150-BL149,IF(A150&lt;'Données projet'!$A$88,$BA$205^A150,IF(A150='Données projet'!$A$88,'Données projet'!$B$88,BD149+BC150-BL149)))</f>
        <v>401.5000000000004</v>
      </c>
      <c r="BE150" s="13">
        <f>BD150*VLOOKUP('Données projet'!$B$11,Paramètres!$A$1:$I$89,3,0)*VLOOKUP('Données projet'!$B$11,Paramètres!$A$1:$I$89,5,0)</f>
        <v>344.48700000000042</v>
      </c>
      <c r="BF150" s="13">
        <f t="shared" si="145"/>
        <v>80.426280470648379</v>
      </c>
      <c r="BG150" s="20">
        <f t="shared" si="115"/>
        <v>740.05729681971332</v>
      </c>
      <c r="BH150" s="59">
        <f t="shared" si="116"/>
        <v>1033.3906301530467</v>
      </c>
      <c r="BI150" s="59">
        <f ca="1">AVERAGE(OFFSET($BH$3,0,0,'Données projet'!$E$11+1,1))-AVERAGE(OFFSET($H$3,0,0,'Données projet'!$E$11+1,1))</f>
        <v>310.4018929413723</v>
      </c>
      <c r="BJ150" s="59">
        <f t="shared" si="146"/>
        <v>127.5231137583819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0.22967025434198526</v>
      </c>
      <c r="BR150" s="21">
        <f>EXP(-LN(2)/2)*BR149+(1-EXP(-LN(2)/2))/(LN(2)/2)*BL150*BO150*VLOOKUP('Données projet'!$B$11,Paramètres!$A$1:$I$89,3,0)*0.475*44/12</f>
        <v>2.1908445407692724E-17</v>
      </c>
      <c r="BS150" s="22">
        <f t="shared" si="117"/>
        <v>0.22967025434198529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158.58786357608489</v>
      </c>
      <c r="AO151" s="59">
        <f t="shared" si="144"/>
        <v>163.20074068819849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4.5</v>
      </c>
      <c r="BD151" s="12">
        <f>IF('Données projet'!$A$88&gt;35,BD150+BC151-BL150,IF(A151&lt;'Données projet'!$A$88,$BA$205^A151,IF(A151='Données projet'!$A$88,'Données projet'!$B$88,BD150+BC151-BL150)))</f>
        <v>406.0000000000004</v>
      </c>
      <c r="BE151" s="13">
        <f>BD151*VLOOKUP('Données projet'!$B$11,Paramètres!$A$1:$I$89,3,0)*VLOOKUP('Données projet'!$B$11,Paramètres!$A$1:$I$89,5,0)</f>
        <v>348.34800000000041</v>
      </c>
      <c r="BF151" s="13">
        <f t="shared" si="145"/>
        <v>81.222253672242772</v>
      </c>
      <c r="BG151" s="20">
        <f t="shared" si="115"/>
        <v>748.16819181249014</v>
      </c>
      <c r="BH151" s="59">
        <f t="shared" si="116"/>
        <v>1041.5015251458235</v>
      </c>
      <c r="BI151" s="59">
        <f ca="1">AVERAGE(OFFSET($BH$3,0,0,'Données projet'!$E$11+1,1))-AVERAGE(OFFSET($H$3,0,0,'Données projet'!$E$11+1,1))</f>
        <v>310.4018929413723</v>
      </c>
      <c r="BJ151" s="59">
        <f t="shared" si="146"/>
        <v>127.5231137583819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0.22338990915916992</v>
      </c>
      <c r="BR151" s="21">
        <f>EXP(-LN(2)/2)*BR150+(1-EXP(-LN(2)/2))/(LN(2)/2)*BL151*BO151*VLOOKUP('Données projet'!$B$11,Paramètres!$A$1:$I$89,3,0)*0.475*44/12</f>
        <v>1.5491610313034801E-17</v>
      </c>
      <c r="BS151" s="22">
        <f t="shared" si="117"/>
        <v>0.22338990915916995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158.58786357608489</v>
      </c>
      <c r="AO152" s="59">
        <f t="shared" si="144"/>
        <v>163.20074068819849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4.5</v>
      </c>
      <c r="BD152" s="12">
        <f>IF('Données projet'!$A$88&gt;35,BD151+BC152-BL151,IF(A152&lt;'Données projet'!$A$88,$BA$205^A152,IF(A152='Données projet'!$A$88,'Données projet'!$B$88,BD151+BC152-BL151)))</f>
        <v>410.5000000000004</v>
      </c>
      <c r="BE152" s="13">
        <f>BD152*VLOOKUP('Données projet'!$B$11,Paramètres!$A$1:$I$89,3,0)*VLOOKUP('Données projet'!$B$11,Paramètres!$A$1:$I$89,5,0)</f>
        <v>352.2090000000004</v>
      </c>
      <c r="BF152" s="13">
        <f t="shared" si="145"/>
        <v>82.01720059070972</v>
      </c>
      <c r="BG152" s="20">
        <f t="shared" si="115"/>
        <v>756.27729936215337</v>
      </c>
      <c r="BH152" s="59">
        <f t="shared" si="116"/>
        <v>1049.6106326954866</v>
      </c>
      <c r="BI152" s="59">
        <f ca="1">AVERAGE(OFFSET($BH$3,0,0,'Données projet'!$E$11+1,1))-AVERAGE(OFFSET($H$3,0,0,'Données projet'!$E$11+1,1))</f>
        <v>310.4018929413723</v>
      </c>
      <c r="BJ152" s="59">
        <f t="shared" si="146"/>
        <v>127.5231137583819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0.21728130034564766</v>
      </c>
      <c r="BR152" s="21">
        <f>EXP(-LN(2)/2)*BR151+(1-EXP(-LN(2)/2))/(LN(2)/2)*BL152*BO152*VLOOKUP('Données projet'!$B$11,Paramètres!$A$1:$I$89,3,0)*0.475*44/12</f>
        <v>1.0954222703846362E-17</v>
      </c>
      <c r="BS152" s="22">
        <f t="shared" si="117"/>
        <v>0.21728130034564766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158.58786357608489</v>
      </c>
      <c r="AO153" s="59">
        <f t="shared" si="144"/>
        <v>163.20074068819849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415</v>
      </c>
      <c r="BB153" s="12">
        <f>VLOOKUP(A153,'Données projet'!$A$87:$I$107,9,0)</f>
        <v>4.5</v>
      </c>
      <c r="BC153" s="12">
        <f t="array" ref="BC153">INDEX(BB:BB,MIN(IF(ISNUMBER(BB153:BB349),ROW(BB153:BB349),"")))</f>
        <v>4.5</v>
      </c>
      <c r="BD153" s="12">
        <f>IF('Données projet'!$A$88&gt;35,BD152+BC153-BL152,IF(A153&lt;'Données projet'!$A$88,$BA$205^A153,IF(A153='Données projet'!$A$88,'Données projet'!$B$88,BD152+BC153-BL152)))</f>
        <v>415.0000000000004</v>
      </c>
      <c r="BE153" s="13">
        <f>BD153*VLOOKUP('Données projet'!$B$11,Paramètres!$A$1:$I$89,3,0)*VLOOKUP('Données projet'!$B$11,Paramètres!$A$1:$I$89,5,0)</f>
        <v>356.07000000000039</v>
      </c>
      <c r="BF153" s="13">
        <f t="shared" si="145"/>
        <v>82.811133778450127</v>
      </c>
      <c r="BG153" s="20">
        <f t="shared" si="115"/>
        <v>764.3846413308014</v>
      </c>
      <c r="BH153" s="59">
        <f t="shared" si="116"/>
        <v>1057.7179746641348</v>
      </c>
      <c r="BI153" s="59">
        <f ca="1">AVERAGE(OFFSET($BH$3,0,0,'Données projet'!$E$11+1,1))-AVERAGE(OFFSET($H$3,0,0,'Données projet'!$E$11+1,1))</f>
        <v>310.4018929413723</v>
      </c>
      <c r="BJ153" s="59">
        <f t="shared" si="146"/>
        <v>127.5231137583819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37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0.21133973176136894</v>
      </c>
      <c r="BR153" s="21">
        <f>EXP(-LN(2)/2)*BR152+(1-EXP(-LN(2)/2))/(LN(2)/2)*BL153*BO153*VLOOKUP('Données projet'!$B$11,Paramètres!$A$1:$I$89,3,0)*0.475*44/12</f>
        <v>7.7458051565174006E-18</v>
      </c>
      <c r="BS153" s="22">
        <f t="shared" si="117"/>
        <v>0.21133973176136894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158.58786357608489</v>
      </c>
      <c r="AO154" s="59">
        <f t="shared" si="144"/>
        <v>163.20074068819849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378.0000000000004</v>
      </c>
      <c r="BE154" s="13">
        <f>BD154*VLOOKUP('Données projet'!$B$11,Paramètres!$A$1:$I$89,3,0)*VLOOKUP('Données projet'!$B$11,Paramètres!$A$1:$I$89,5,0)</f>
        <v>324.32400000000035</v>
      </c>
      <c r="BF154" s="13">
        <f t="shared" ref="BF154:BF203" si="167">EXP(-1.0587+0.8836*LN(BE154)+0.284)</f>
        <v>76.252341944982831</v>
      </c>
      <c r="BG154" s="20">
        <f t="shared" ref="BG154:BG203" si="168">(BE154+BF154)*0.475*44/12</f>
        <v>697.67046222084571</v>
      </c>
      <c r="BH154" s="59">
        <f t="shared" si="116"/>
        <v>991.00379555417908</v>
      </c>
      <c r="BI154" s="59">
        <f ca="1">AVERAGE(OFFSET($BH$3,0,0,'Données projet'!$E$11+1,1))-AVERAGE(OFFSET($H$3,0,0,'Données projet'!$E$11+1,1))</f>
        <v>310.4018929413723</v>
      </c>
      <c r="BJ154" s="59">
        <f t="shared" si="146"/>
        <v>127.5231137583819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0.20556063568248084</v>
      </c>
      <c r="BR154" s="21">
        <f>EXP(-LN(2)/2)*BR153+(1-EXP(-LN(2)/2))/(LN(2)/2)*BL154*BO154*VLOOKUP('Données projet'!$B$11,Paramètres!$A$1:$I$89,3,0)*0.475*44/12</f>
        <v>5.4771113519231811E-18</v>
      </c>
      <c r="BS154" s="22">
        <f t="shared" ref="BS154:BS203" si="169">SUM(BP154:BR154)</f>
        <v>0.20556063568248084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158.58786357608489</v>
      </c>
      <c r="AO155" s="59">
        <f t="shared" si="144"/>
        <v>163.20074068819849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378.0000000000004</v>
      </c>
      <c r="BE155" s="13">
        <f>BD155*VLOOKUP('Données projet'!$B$11,Paramètres!$A$1:$I$89,3,0)*VLOOKUP('Données projet'!$B$11,Paramètres!$A$1:$I$89,5,0)</f>
        <v>324.32400000000035</v>
      </c>
      <c r="BF155" s="13">
        <f t="shared" si="167"/>
        <v>76.252341944982831</v>
      </c>
      <c r="BG155" s="20">
        <f t="shared" si="168"/>
        <v>697.67046222084571</v>
      </c>
      <c r="BH155" s="59">
        <f t="shared" si="116"/>
        <v>991.00379555417908</v>
      </c>
      <c r="BI155" s="59">
        <f ca="1">AVERAGE(OFFSET($BH$3,0,0,'Données projet'!$E$11+1,1))-AVERAGE(OFFSET($H$3,0,0,'Données projet'!$E$11+1,1))</f>
        <v>310.4018929413723</v>
      </c>
      <c r="BJ155" s="59">
        <f t="shared" si="146"/>
        <v>127.5231137583819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0.19993956928977938</v>
      </c>
      <c r="BR155" s="21">
        <f>EXP(-LN(2)/2)*BR154+(1-EXP(-LN(2)/2))/(LN(2)/2)*BL155*BO155*VLOOKUP('Données projet'!$B$11,Paramètres!$A$1:$I$89,3,0)*0.475*44/12</f>
        <v>3.8729025782587003E-18</v>
      </c>
      <c r="BS155" s="22">
        <f t="shared" si="169"/>
        <v>0.19993956928977938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158.58786357608489</v>
      </c>
      <c r="AO156" s="59">
        <f t="shared" si="144"/>
        <v>163.20074068819849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378.0000000000004</v>
      </c>
      <c r="BE156" s="13">
        <f>BD156*VLOOKUP('Données projet'!$B$11,Paramètres!$A$1:$I$89,3,0)*VLOOKUP('Données projet'!$B$11,Paramètres!$A$1:$I$89,5,0)</f>
        <v>324.32400000000035</v>
      </c>
      <c r="BF156" s="13">
        <f t="shared" si="167"/>
        <v>76.252341944982831</v>
      </c>
      <c r="BG156" s="20">
        <f t="shared" si="168"/>
        <v>697.67046222084571</v>
      </c>
      <c r="BH156" s="59">
        <f t="shared" si="116"/>
        <v>991.00379555417908</v>
      </c>
      <c r="BI156" s="59">
        <f ca="1">AVERAGE(OFFSET($BH$3,0,0,'Données projet'!$E$11+1,1))-AVERAGE(OFFSET($H$3,0,0,'Données projet'!$E$11+1,1))</f>
        <v>310.4018929413723</v>
      </c>
      <c r="BJ156" s="59">
        <f t="shared" si="146"/>
        <v>127.5231137583819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0.19447221125318537</v>
      </c>
      <c r="BR156" s="21">
        <f>EXP(-LN(2)/2)*BR155+(1-EXP(-LN(2)/2))/(LN(2)/2)*BL156*BO156*VLOOKUP('Données projet'!$B$11,Paramètres!$A$1:$I$89,3,0)*0.475*44/12</f>
        <v>2.7385556759615906E-18</v>
      </c>
      <c r="BS156" s="22">
        <f t="shared" si="169"/>
        <v>0.19447221125318537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158.58786357608489</v>
      </c>
      <c r="AO157" s="59">
        <f t="shared" si="144"/>
        <v>163.20074068819849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378.0000000000004</v>
      </c>
      <c r="BE157" s="13">
        <f>BD157*VLOOKUP('Données projet'!$B$11,Paramètres!$A$1:$I$89,3,0)*VLOOKUP('Données projet'!$B$11,Paramètres!$A$1:$I$89,5,0)</f>
        <v>324.32400000000035</v>
      </c>
      <c r="BF157" s="13">
        <f t="shared" si="167"/>
        <v>76.252341944982831</v>
      </c>
      <c r="BG157" s="20">
        <f t="shared" si="168"/>
        <v>697.67046222084571</v>
      </c>
      <c r="BH157" s="59">
        <f t="shared" si="116"/>
        <v>991.00379555417908</v>
      </c>
      <c r="BI157" s="59">
        <f ca="1">AVERAGE(OFFSET($BH$3,0,0,'Données projet'!$E$11+1,1))-AVERAGE(OFFSET($H$3,0,0,'Données projet'!$E$11+1,1))</f>
        <v>310.4018929413723</v>
      </c>
      <c r="BJ157" s="59">
        <f t="shared" si="146"/>
        <v>127.5231137583819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0.18915435840961789</v>
      </c>
      <c r="BR157" s="21">
        <f>EXP(-LN(2)/2)*BR156+(1-EXP(-LN(2)/2))/(LN(2)/2)*BL157*BO157*VLOOKUP('Données projet'!$B$11,Paramètres!$A$1:$I$89,3,0)*0.475*44/12</f>
        <v>1.9364512891293502E-18</v>
      </c>
      <c r="BS157" s="22">
        <f t="shared" si="169"/>
        <v>0.18915435840961789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158.58786357608489</v>
      </c>
      <c r="AO158" s="59">
        <f t="shared" si="144"/>
        <v>163.20074068819849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378.0000000000004</v>
      </c>
      <c r="BE158" s="13">
        <f>BD158*VLOOKUP('Données projet'!$B$11,Paramètres!$A$1:$I$89,3,0)*VLOOKUP('Données projet'!$B$11,Paramètres!$A$1:$I$89,5,0)</f>
        <v>324.32400000000035</v>
      </c>
      <c r="BF158" s="13">
        <f t="shared" si="167"/>
        <v>76.252341944982831</v>
      </c>
      <c r="BG158" s="20">
        <f t="shared" si="168"/>
        <v>697.67046222084571</v>
      </c>
      <c r="BH158" s="59">
        <f t="shared" si="116"/>
        <v>991.00379555417908</v>
      </c>
      <c r="BI158" s="59">
        <f ca="1">AVERAGE(OFFSET($BH$3,0,0,'Données projet'!$E$11+1,1))-AVERAGE(OFFSET($H$3,0,0,'Données projet'!$E$11+1,1))</f>
        <v>310.4018929413723</v>
      </c>
      <c r="BJ158" s="59">
        <f t="shared" si="146"/>
        <v>127.5231137583819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0.1839819225317115</v>
      </c>
      <c r="BR158" s="21">
        <f>EXP(-LN(2)/2)*BR157+(1-EXP(-LN(2)/2))/(LN(2)/2)*BL158*BO158*VLOOKUP('Données projet'!$B$11,Paramètres!$A$1:$I$89,3,0)*0.475*44/12</f>
        <v>1.3692778379807953E-18</v>
      </c>
      <c r="BS158" s="22">
        <f t="shared" si="169"/>
        <v>0.1839819225317115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158.58786357608489</v>
      </c>
      <c r="AO159" s="59">
        <f t="shared" si="144"/>
        <v>163.20074068819849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378.0000000000004</v>
      </c>
      <c r="BE159" s="13">
        <f>BD159*VLOOKUP('Données projet'!$B$11,Paramètres!$A$1:$I$89,3,0)*VLOOKUP('Données projet'!$B$11,Paramètres!$A$1:$I$89,5,0)</f>
        <v>324.32400000000035</v>
      </c>
      <c r="BF159" s="13">
        <f t="shared" si="167"/>
        <v>76.252341944982831</v>
      </c>
      <c r="BG159" s="20">
        <f t="shared" si="168"/>
        <v>697.67046222084571</v>
      </c>
      <c r="BH159" s="59">
        <f t="shared" si="116"/>
        <v>991.00379555417908</v>
      </c>
      <c r="BI159" s="59">
        <f ca="1">AVERAGE(OFFSET($BH$3,0,0,'Données projet'!$E$11+1,1))-AVERAGE(OFFSET($H$3,0,0,'Données projet'!$E$11+1,1))</f>
        <v>310.4018929413723</v>
      </c>
      <c r="BJ159" s="59">
        <f t="shared" si="146"/>
        <v>127.5231137583819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0.17895092718489303</v>
      </c>
      <c r="BR159" s="21">
        <f>EXP(-LN(2)/2)*BR158+(1-EXP(-LN(2)/2))/(LN(2)/2)*BL159*BO159*VLOOKUP('Données projet'!$B$11,Paramètres!$A$1:$I$89,3,0)*0.475*44/12</f>
        <v>9.6822564456467508E-19</v>
      </c>
      <c r="BS159" s="22">
        <f t="shared" si="169"/>
        <v>0.17895092718489303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158.58786357608489</v>
      </c>
      <c r="AO160" s="59">
        <f t="shared" si="144"/>
        <v>163.20074068819849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378.0000000000004</v>
      </c>
      <c r="BE160" s="13">
        <f>BD160*VLOOKUP('Données projet'!$B$11,Paramètres!$A$1:$I$89,3,0)*VLOOKUP('Données projet'!$B$11,Paramètres!$A$1:$I$89,5,0)</f>
        <v>324.32400000000035</v>
      </c>
      <c r="BF160" s="13">
        <f t="shared" si="167"/>
        <v>76.252341944982831</v>
      </c>
      <c r="BG160" s="20">
        <f t="shared" si="168"/>
        <v>697.67046222084571</v>
      </c>
      <c r="BH160" s="59">
        <f t="shared" si="116"/>
        <v>991.00379555417908</v>
      </c>
      <c r="BI160" s="59">
        <f ca="1">AVERAGE(OFFSET($BH$3,0,0,'Données projet'!$E$11+1,1))-AVERAGE(OFFSET($H$3,0,0,'Données projet'!$E$11+1,1))</f>
        <v>310.4018929413723</v>
      </c>
      <c r="BJ160" s="59">
        <f t="shared" si="146"/>
        <v>127.5231137583819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0.17405750467040187</v>
      </c>
      <c r="BR160" s="21">
        <f>EXP(-LN(2)/2)*BR159+(1-EXP(-LN(2)/2))/(LN(2)/2)*BL160*BO160*VLOOKUP('Données projet'!$B$11,Paramètres!$A$1:$I$89,3,0)*0.475*44/12</f>
        <v>6.8463891899039764E-19</v>
      </c>
      <c r="BS160" s="22">
        <f t="shared" si="169"/>
        <v>0.17405750467040187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158.58786357608489</v>
      </c>
      <c r="AO161" s="59">
        <f t="shared" si="144"/>
        <v>163.20074068819849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378.0000000000004</v>
      </c>
      <c r="BE161" s="13">
        <f>BD161*VLOOKUP('Données projet'!$B$11,Paramètres!$A$1:$I$89,3,0)*VLOOKUP('Données projet'!$B$11,Paramètres!$A$1:$I$89,5,0)</f>
        <v>324.32400000000035</v>
      </c>
      <c r="BF161" s="13">
        <f t="shared" si="167"/>
        <v>76.252341944982831</v>
      </c>
      <c r="BG161" s="20">
        <f t="shared" si="168"/>
        <v>697.67046222084571</v>
      </c>
      <c r="BH161" s="59">
        <f t="shared" si="116"/>
        <v>991.00379555417908</v>
      </c>
      <c r="BI161" s="59">
        <f ca="1">AVERAGE(OFFSET($BH$3,0,0,'Données projet'!$E$11+1,1))-AVERAGE(OFFSET($H$3,0,0,'Données projet'!$E$11+1,1))</f>
        <v>310.4018929413723</v>
      </c>
      <c r="BJ161" s="59">
        <f t="shared" si="146"/>
        <v>127.5231137583819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0.16929789305190338</v>
      </c>
      <c r="BR161" s="21">
        <f>EXP(-LN(2)/2)*BR160+(1-EXP(-LN(2)/2))/(LN(2)/2)*BL161*BO161*VLOOKUP('Données projet'!$B$11,Paramètres!$A$1:$I$89,3,0)*0.475*44/12</f>
        <v>4.8411282228233754E-19</v>
      </c>
      <c r="BS161" s="22">
        <f t="shared" si="169"/>
        <v>0.16929789305190338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158.58786357608489</v>
      </c>
      <c r="AO162" s="59">
        <f t="shared" si="144"/>
        <v>163.20074068819849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378.0000000000004</v>
      </c>
      <c r="BE162" s="13">
        <f>BD162*VLOOKUP('Données projet'!$B$11,Paramètres!$A$1:$I$89,3,0)*VLOOKUP('Données projet'!$B$11,Paramètres!$A$1:$I$89,5,0)</f>
        <v>324.32400000000035</v>
      </c>
      <c r="BF162" s="13">
        <f t="shared" si="167"/>
        <v>76.252341944982831</v>
      </c>
      <c r="BG162" s="20">
        <f t="shared" si="168"/>
        <v>697.67046222084571</v>
      </c>
      <c r="BH162" s="59">
        <f t="shared" si="116"/>
        <v>991.00379555417908</v>
      </c>
      <c r="BI162" s="59">
        <f ca="1">AVERAGE(OFFSET($BH$3,0,0,'Données projet'!$E$11+1,1))-AVERAGE(OFFSET($H$3,0,0,'Données projet'!$E$11+1,1))</f>
        <v>310.4018929413723</v>
      </c>
      <c r="BJ162" s="59">
        <f t="shared" si="146"/>
        <v>127.5231137583819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0.16466843326340982</v>
      </c>
      <c r="BR162" s="21">
        <f>EXP(-LN(2)/2)*BR161+(1-EXP(-LN(2)/2))/(LN(2)/2)*BL162*BO162*VLOOKUP('Données projet'!$B$11,Paramètres!$A$1:$I$89,3,0)*0.475*44/12</f>
        <v>3.4231945949519882E-19</v>
      </c>
      <c r="BS162" s="22">
        <f t="shared" si="169"/>
        <v>0.16466843326340982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158.58786357608489</v>
      </c>
      <c r="AO163" s="59">
        <f t="shared" si="144"/>
        <v>163.20074068819849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378.0000000000004</v>
      </c>
      <c r="BE163" s="13">
        <f>BD163*VLOOKUP('Données projet'!$B$11,Paramètres!$A$1:$I$89,3,0)*VLOOKUP('Données projet'!$B$11,Paramètres!$A$1:$I$89,5,0)</f>
        <v>324.32400000000035</v>
      </c>
      <c r="BF163" s="13">
        <f t="shared" si="167"/>
        <v>76.252341944982831</v>
      </c>
      <c r="BG163" s="20">
        <f t="shared" si="168"/>
        <v>697.67046222084571</v>
      </c>
      <c r="BH163" s="59">
        <f t="shared" si="116"/>
        <v>991.00379555417908</v>
      </c>
      <c r="BI163" s="59">
        <f ca="1">AVERAGE(OFFSET($BH$3,0,0,'Données projet'!$E$11+1,1))-AVERAGE(OFFSET($H$3,0,0,'Données projet'!$E$11+1,1))</f>
        <v>310.4018929413723</v>
      </c>
      <c r="BJ163" s="59">
        <f t="shared" si="146"/>
        <v>127.5231137583819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0.16016556629628534</v>
      </c>
      <c r="BR163" s="21">
        <f>EXP(-LN(2)/2)*BR162+(1-EXP(-LN(2)/2))/(LN(2)/2)*BL163*BO163*VLOOKUP('Données projet'!$B$11,Paramètres!$A$1:$I$89,3,0)*0.475*44/12</f>
        <v>2.4205641114116877E-19</v>
      </c>
      <c r="BS163" s="22">
        <f t="shared" si="169"/>
        <v>0.16016556629628534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158.58786357608489</v>
      </c>
      <c r="AO164" s="59">
        <f t="shared" si="144"/>
        <v>163.20074068819849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378.0000000000004</v>
      </c>
      <c r="BE164" s="13">
        <f>BD164*VLOOKUP('Données projet'!$B$11,Paramètres!$A$1:$I$89,3,0)*VLOOKUP('Données projet'!$B$11,Paramètres!$A$1:$I$89,5,0)</f>
        <v>324.32400000000035</v>
      </c>
      <c r="BF164" s="13">
        <f t="shared" si="167"/>
        <v>76.252341944982831</v>
      </c>
      <c r="BG164" s="20">
        <f t="shared" si="168"/>
        <v>697.67046222084571</v>
      </c>
      <c r="BH164" s="59">
        <f t="shared" si="116"/>
        <v>991.00379555417908</v>
      </c>
      <c r="BI164" s="59">
        <f ca="1">AVERAGE(OFFSET($BH$3,0,0,'Données projet'!$E$11+1,1))-AVERAGE(OFFSET($H$3,0,0,'Données projet'!$E$11+1,1))</f>
        <v>310.4018929413723</v>
      </c>
      <c r="BJ164" s="59">
        <f t="shared" si="146"/>
        <v>127.5231137583819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0.15578583046317235</v>
      </c>
      <c r="BR164" s="21">
        <f>EXP(-LN(2)/2)*BR163+(1-EXP(-LN(2)/2))/(LN(2)/2)*BL164*BO164*VLOOKUP('Données projet'!$B$11,Paramètres!$A$1:$I$89,3,0)*0.475*44/12</f>
        <v>1.7115972974759941E-19</v>
      </c>
      <c r="BS164" s="22">
        <f t="shared" si="169"/>
        <v>0.15578583046317235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158.58786357608489</v>
      </c>
      <c r="AO165" s="59">
        <f t="shared" si="144"/>
        <v>163.20074068819849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378.0000000000004</v>
      </c>
      <c r="BE165" s="13">
        <f>BD165*VLOOKUP('Données projet'!$B$11,Paramètres!$A$1:$I$89,3,0)*VLOOKUP('Données projet'!$B$11,Paramètres!$A$1:$I$89,5,0)</f>
        <v>324.32400000000035</v>
      </c>
      <c r="BF165" s="13">
        <f t="shared" si="167"/>
        <v>76.252341944982831</v>
      </c>
      <c r="BG165" s="20">
        <f t="shared" si="168"/>
        <v>697.67046222084571</v>
      </c>
      <c r="BH165" s="59">
        <f t="shared" si="116"/>
        <v>991.00379555417908</v>
      </c>
      <c r="BI165" s="59">
        <f ca="1">AVERAGE(OFFSET($BH$3,0,0,'Données projet'!$E$11+1,1))-AVERAGE(OFFSET($H$3,0,0,'Données projet'!$E$11+1,1))</f>
        <v>310.4018929413723</v>
      </c>
      <c r="BJ165" s="59">
        <f t="shared" si="146"/>
        <v>127.5231137583819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0.15152585873673613</v>
      </c>
      <c r="BR165" s="21">
        <f>EXP(-LN(2)/2)*BR164+(1-EXP(-LN(2)/2))/(LN(2)/2)*BL165*BO165*VLOOKUP('Données projet'!$B$11,Paramètres!$A$1:$I$89,3,0)*0.475*44/12</f>
        <v>1.2102820557058438E-19</v>
      </c>
      <c r="BS165" s="22">
        <f t="shared" si="169"/>
        <v>0.15152585873673613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158.58786357608489</v>
      </c>
      <c r="AO166" s="59">
        <f t="shared" si="144"/>
        <v>163.20074068819849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378.0000000000004</v>
      </c>
      <c r="BE166" s="13">
        <f>BD166*VLOOKUP('Données projet'!$B$11,Paramètres!$A$1:$I$89,3,0)*VLOOKUP('Données projet'!$B$11,Paramètres!$A$1:$I$89,5,0)</f>
        <v>324.32400000000035</v>
      </c>
      <c r="BF166" s="13">
        <f t="shared" si="167"/>
        <v>76.252341944982831</v>
      </c>
      <c r="BG166" s="20">
        <f t="shared" si="168"/>
        <v>697.67046222084571</v>
      </c>
      <c r="BH166" s="59">
        <f t="shared" si="116"/>
        <v>991.00379555417908</v>
      </c>
      <c r="BI166" s="59">
        <f ca="1">AVERAGE(OFFSET($BH$3,0,0,'Données projet'!$E$11+1,1))-AVERAGE(OFFSET($H$3,0,0,'Données projet'!$E$11+1,1))</f>
        <v>310.4018929413723</v>
      </c>
      <c r="BJ166" s="59">
        <f t="shared" si="146"/>
        <v>127.5231137583819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0.14738237616118149</v>
      </c>
      <c r="BR166" s="21">
        <f>EXP(-LN(2)/2)*BR165+(1-EXP(-LN(2)/2))/(LN(2)/2)*BL166*BO166*VLOOKUP('Données projet'!$B$11,Paramètres!$A$1:$I$89,3,0)*0.475*44/12</f>
        <v>8.5579864873799705E-20</v>
      </c>
      <c r="BS166" s="22">
        <f t="shared" si="169"/>
        <v>0.14738237616118149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158.58786357608489</v>
      </c>
      <c r="AO167" s="59">
        <f t="shared" si="144"/>
        <v>163.20074068819849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378.0000000000004</v>
      </c>
      <c r="BE167" s="13">
        <f>BD167*VLOOKUP('Données projet'!$B$11,Paramètres!$A$1:$I$89,3,0)*VLOOKUP('Données projet'!$B$11,Paramètres!$A$1:$I$89,5,0)</f>
        <v>324.32400000000035</v>
      </c>
      <c r="BF167" s="13">
        <f t="shared" si="167"/>
        <v>76.252341944982831</v>
      </c>
      <c r="BG167" s="20">
        <f t="shared" si="168"/>
        <v>697.67046222084571</v>
      </c>
      <c r="BH167" s="59">
        <f t="shared" si="116"/>
        <v>991.00379555417908</v>
      </c>
      <c r="BI167" s="59">
        <f ca="1">AVERAGE(OFFSET($BH$3,0,0,'Données projet'!$E$11+1,1))-AVERAGE(OFFSET($H$3,0,0,'Données projet'!$E$11+1,1))</f>
        <v>310.4018929413723</v>
      </c>
      <c r="BJ167" s="59">
        <f t="shared" si="146"/>
        <v>127.5231137583819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0.14335219733455168</v>
      </c>
      <c r="BR167" s="21">
        <f>EXP(-LN(2)/2)*BR166+(1-EXP(-LN(2)/2))/(LN(2)/2)*BL167*BO167*VLOOKUP('Données projet'!$B$11,Paramètres!$A$1:$I$89,3,0)*0.475*44/12</f>
        <v>6.0514102785292192E-20</v>
      </c>
      <c r="BS167" s="22">
        <f t="shared" si="169"/>
        <v>0.14335219733455168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158.58786357608489</v>
      </c>
      <c r="AO168" s="59">
        <f t="shared" si="144"/>
        <v>163.20074068819849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378.0000000000004</v>
      </c>
      <c r="BE168" s="13">
        <f>BD168*VLOOKUP('Données projet'!$B$11,Paramètres!$A$1:$I$89,3,0)*VLOOKUP('Données projet'!$B$11,Paramètres!$A$1:$I$89,5,0)</f>
        <v>324.32400000000035</v>
      </c>
      <c r="BF168" s="13">
        <f t="shared" si="167"/>
        <v>76.252341944982831</v>
      </c>
      <c r="BG168" s="20">
        <f t="shared" si="168"/>
        <v>697.67046222084571</v>
      </c>
      <c r="BH168" s="59">
        <f t="shared" si="116"/>
        <v>991.00379555417908</v>
      </c>
      <c r="BI168" s="59">
        <f ca="1">AVERAGE(OFFSET($BH$3,0,0,'Données projet'!$E$11+1,1))-AVERAGE(OFFSET($H$3,0,0,'Données projet'!$E$11+1,1))</f>
        <v>310.4018929413723</v>
      </c>
      <c r="BJ168" s="59">
        <f t="shared" si="146"/>
        <v>127.5231137583819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0.13943222395987395</v>
      </c>
      <c r="BR168" s="21">
        <f>EXP(-LN(2)/2)*BR167+(1-EXP(-LN(2)/2))/(LN(2)/2)*BL168*BO168*VLOOKUP('Données projet'!$B$11,Paramètres!$A$1:$I$89,3,0)*0.475*44/12</f>
        <v>4.2789932436899852E-20</v>
      </c>
      <c r="BS168" s="22">
        <f t="shared" si="169"/>
        <v>0.13943222395987395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158.58786357608489</v>
      </c>
      <c r="AO169" s="59">
        <f t="shared" si="144"/>
        <v>163.20074068819849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378.0000000000004</v>
      </c>
      <c r="BE169" s="13">
        <f>BD169*VLOOKUP('Données projet'!$B$11,Paramètres!$A$1:$I$89,3,0)*VLOOKUP('Données projet'!$B$11,Paramètres!$A$1:$I$89,5,0)</f>
        <v>324.32400000000035</v>
      </c>
      <c r="BF169" s="13">
        <f t="shared" si="167"/>
        <v>76.252341944982831</v>
      </c>
      <c r="BG169" s="20">
        <f t="shared" si="168"/>
        <v>697.67046222084571</v>
      </c>
      <c r="BH169" s="59">
        <f t="shared" si="116"/>
        <v>991.00379555417908</v>
      </c>
      <c r="BI169" s="59">
        <f ca="1">AVERAGE(OFFSET($BH$3,0,0,'Données projet'!$E$11+1,1))-AVERAGE(OFFSET($H$3,0,0,'Données projet'!$E$11+1,1))</f>
        <v>310.4018929413723</v>
      </c>
      <c r="BJ169" s="59">
        <f t="shared" si="146"/>
        <v>127.5231137583819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0.13561944246326921</v>
      </c>
      <c r="BR169" s="21">
        <f>EXP(-LN(2)/2)*BR168+(1-EXP(-LN(2)/2))/(LN(2)/2)*BL169*BO169*VLOOKUP('Données projet'!$B$11,Paramètres!$A$1:$I$89,3,0)*0.475*44/12</f>
        <v>3.0257051392646096E-20</v>
      </c>
      <c r="BS169" s="22">
        <f t="shared" si="169"/>
        <v>0.13561944246326921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158.58786357608489</v>
      </c>
      <c r="AO170" s="59">
        <f t="shared" si="144"/>
        <v>163.20074068819849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378.0000000000004</v>
      </c>
      <c r="BE170" s="13">
        <f>BD170*VLOOKUP('Données projet'!$B$11,Paramètres!$A$1:$I$89,3,0)*VLOOKUP('Données projet'!$B$11,Paramètres!$A$1:$I$89,5,0)</f>
        <v>324.32400000000035</v>
      </c>
      <c r="BF170" s="13">
        <f t="shared" si="167"/>
        <v>76.252341944982831</v>
      </c>
      <c r="BG170" s="20">
        <f t="shared" si="168"/>
        <v>697.67046222084571</v>
      </c>
      <c r="BH170" s="59">
        <f t="shared" si="116"/>
        <v>991.00379555417908</v>
      </c>
      <c r="BI170" s="59">
        <f ca="1">AVERAGE(OFFSET($BH$3,0,0,'Données projet'!$E$11+1,1))-AVERAGE(OFFSET($H$3,0,0,'Données projet'!$E$11+1,1))</f>
        <v>310.4018929413723</v>
      </c>
      <c r="BJ170" s="59">
        <f t="shared" si="146"/>
        <v>127.5231137583819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0.13191092167719459</v>
      </c>
      <c r="BR170" s="21">
        <f>EXP(-LN(2)/2)*BR169+(1-EXP(-LN(2)/2))/(LN(2)/2)*BL170*BO170*VLOOKUP('Données projet'!$B$11,Paramètres!$A$1:$I$89,3,0)*0.475*44/12</f>
        <v>2.1394966218449926E-20</v>
      </c>
      <c r="BS170" s="22">
        <f t="shared" si="169"/>
        <v>0.13191092167719459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158.58786357608489</v>
      </c>
      <c r="AO171" s="59">
        <f t="shared" si="144"/>
        <v>163.20074068819849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378.0000000000004</v>
      </c>
      <c r="BE171" s="13">
        <f>BD171*VLOOKUP('Données projet'!$B$11,Paramètres!$A$1:$I$89,3,0)*VLOOKUP('Données projet'!$B$11,Paramètres!$A$1:$I$89,5,0)</f>
        <v>324.32400000000035</v>
      </c>
      <c r="BF171" s="13">
        <f t="shared" si="167"/>
        <v>76.252341944982831</v>
      </c>
      <c r="BG171" s="20">
        <f t="shared" si="168"/>
        <v>697.67046222084571</v>
      </c>
      <c r="BH171" s="59">
        <f t="shared" si="116"/>
        <v>991.00379555417908</v>
      </c>
      <c r="BI171" s="59">
        <f ca="1">AVERAGE(OFFSET($BH$3,0,0,'Données projet'!$E$11+1,1))-AVERAGE(OFFSET($H$3,0,0,'Données projet'!$E$11+1,1))</f>
        <v>310.4018929413723</v>
      </c>
      <c r="BJ171" s="59">
        <f t="shared" si="146"/>
        <v>127.5231137583819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0.12830381058703783</v>
      </c>
      <c r="BR171" s="21">
        <f>EXP(-LN(2)/2)*BR170+(1-EXP(-LN(2)/2))/(LN(2)/2)*BL171*BO171*VLOOKUP('Données projet'!$B$11,Paramètres!$A$1:$I$89,3,0)*0.475*44/12</f>
        <v>1.5128525696323048E-20</v>
      </c>
      <c r="BS171" s="22">
        <f t="shared" si="169"/>
        <v>0.12830381058703783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158.58786357608489</v>
      </c>
      <c r="AO172" s="59">
        <f t="shared" si="144"/>
        <v>163.20074068819849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378.0000000000004</v>
      </c>
      <c r="BE172" s="13">
        <f>BD172*VLOOKUP('Données projet'!$B$11,Paramètres!$A$1:$I$89,3,0)*VLOOKUP('Données projet'!$B$11,Paramètres!$A$1:$I$89,5,0)</f>
        <v>324.32400000000035</v>
      </c>
      <c r="BF172" s="13">
        <f t="shared" si="167"/>
        <v>76.252341944982831</v>
      </c>
      <c r="BG172" s="20">
        <f t="shared" si="168"/>
        <v>697.67046222084571</v>
      </c>
      <c r="BH172" s="59">
        <f t="shared" si="116"/>
        <v>991.00379555417908</v>
      </c>
      <c r="BI172" s="59">
        <f ca="1">AVERAGE(OFFSET($BH$3,0,0,'Données projet'!$E$11+1,1))-AVERAGE(OFFSET($H$3,0,0,'Données projet'!$E$11+1,1))</f>
        <v>310.4018929413723</v>
      </c>
      <c r="BJ172" s="59">
        <f t="shared" si="146"/>
        <v>127.5231137583819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0.12479533613933112</v>
      </c>
      <c r="BR172" s="21">
        <f>EXP(-LN(2)/2)*BR171+(1-EXP(-LN(2)/2))/(LN(2)/2)*BL172*BO172*VLOOKUP('Données projet'!$B$11,Paramètres!$A$1:$I$89,3,0)*0.475*44/12</f>
        <v>1.0697483109224963E-20</v>
      </c>
      <c r="BS172" s="22">
        <f t="shared" si="169"/>
        <v>0.12479533613933112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158.58786357608489</v>
      </c>
      <c r="AO173" s="59">
        <f t="shared" si="144"/>
        <v>163.20074068819849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378.0000000000004</v>
      </c>
      <c r="BE173" s="13">
        <f>BD173*VLOOKUP('Données projet'!$B$11,Paramètres!$A$1:$I$89,3,0)*VLOOKUP('Données projet'!$B$11,Paramètres!$A$1:$I$89,5,0)</f>
        <v>324.32400000000035</v>
      </c>
      <c r="BF173" s="13">
        <f t="shared" si="167"/>
        <v>76.252341944982831</v>
      </c>
      <c r="BG173" s="20">
        <f t="shared" si="168"/>
        <v>697.67046222084571</v>
      </c>
      <c r="BH173" s="59">
        <f t="shared" si="116"/>
        <v>991.00379555417908</v>
      </c>
      <c r="BI173" s="59">
        <f ca="1">AVERAGE(OFFSET($BH$3,0,0,'Données projet'!$E$11+1,1))-AVERAGE(OFFSET($H$3,0,0,'Données projet'!$E$11+1,1))</f>
        <v>310.4018929413723</v>
      </c>
      <c r="BJ173" s="59">
        <f t="shared" si="146"/>
        <v>127.5231137583819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0.12138280110989962</v>
      </c>
      <c r="BR173" s="21">
        <f>EXP(-LN(2)/2)*BR172+(1-EXP(-LN(2)/2))/(LN(2)/2)*BL173*BO173*VLOOKUP('Données projet'!$B$11,Paramètres!$A$1:$I$89,3,0)*0.475*44/12</f>
        <v>7.564262848161524E-21</v>
      </c>
      <c r="BS173" s="22">
        <f t="shared" si="169"/>
        <v>0.12138280110989962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158.58786357608489</v>
      </c>
      <c r="AO174" s="59">
        <f t="shared" si="144"/>
        <v>163.20074068819849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378.0000000000004</v>
      </c>
      <c r="BE174" s="13">
        <f>BD174*VLOOKUP('Données projet'!$B$11,Paramètres!$A$1:$I$89,3,0)*VLOOKUP('Données projet'!$B$11,Paramètres!$A$1:$I$89,5,0)</f>
        <v>324.32400000000035</v>
      </c>
      <c r="BF174" s="13">
        <f t="shared" si="167"/>
        <v>76.252341944982831</v>
      </c>
      <c r="BG174" s="20">
        <f t="shared" si="168"/>
        <v>697.67046222084571</v>
      </c>
      <c r="BH174" s="59">
        <f t="shared" si="116"/>
        <v>991.00379555417908</v>
      </c>
      <c r="BI174" s="59">
        <f ca="1">AVERAGE(OFFSET($BH$3,0,0,'Données projet'!$E$11+1,1))-AVERAGE(OFFSET($H$3,0,0,'Données projet'!$E$11+1,1))</f>
        <v>310.4018929413723</v>
      </c>
      <c r="BJ174" s="59">
        <f t="shared" si="146"/>
        <v>127.5231137583819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0.11806358203030533</v>
      </c>
      <c r="BR174" s="21">
        <f>EXP(-LN(2)/2)*BR173+(1-EXP(-LN(2)/2))/(LN(2)/2)*BL174*BO174*VLOOKUP('Données projet'!$B$11,Paramètres!$A$1:$I$89,3,0)*0.475*44/12</f>
        <v>5.3487415546124816E-21</v>
      </c>
      <c r="BS174" s="22">
        <f t="shared" si="169"/>
        <v>0.11806358203030533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158.58786357608489</v>
      </c>
      <c r="AO175" s="59">
        <f t="shared" si="144"/>
        <v>163.20074068819849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378.0000000000004</v>
      </c>
      <c r="BE175" s="13">
        <f>BD175*VLOOKUP('Données projet'!$B$11,Paramètres!$A$1:$I$89,3,0)*VLOOKUP('Données projet'!$B$11,Paramètres!$A$1:$I$89,5,0)</f>
        <v>324.32400000000035</v>
      </c>
      <c r="BF175" s="13">
        <f t="shared" si="167"/>
        <v>76.252341944982831</v>
      </c>
      <c r="BG175" s="20">
        <f t="shared" si="168"/>
        <v>697.67046222084571</v>
      </c>
      <c r="BH175" s="59">
        <f t="shared" si="116"/>
        <v>991.00379555417908</v>
      </c>
      <c r="BI175" s="59">
        <f ca="1">AVERAGE(OFFSET($BH$3,0,0,'Données projet'!$E$11+1,1))-AVERAGE(OFFSET($H$3,0,0,'Données projet'!$E$11+1,1))</f>
        <v>310.4018929413723</v>
      </c>
      <c r="BJ175" s="59">
        <f t="shared" si="146"/>
        <v>127.5231137583819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0.11483512717099269</v>
      </c>
      <c r="BR175" s="21">
        <f>EXP(-LN(2)/2)*BR174+(1-EXP(-LN(2)/2))/(LN(2)/2)*BL175*BO175*VLOOKUP('Données projet'!$B$11,Paramètres!$A$1:$I$89,3,0)*0.475*44/12</f>
        <v>3.782131424080762E-21</v>
      </c>
      <c r="BS175" s="22">
        <f t="shared" si="169"/>
        <v>0.11483512717099269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158.58786357608489</v>
      </c>
      <c r="AO176" s="59">
        <f t="shared" si="144"/>
        <v>163.20074068819849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378.0000000000004</v>
      </c>
      <c r="BE176" s="13">
        <f>BD176*VLOOKUP('Données projet'!$B$11,Paramètres!$A$1:$I$89,3,0)*VLOOKUP('Données projet'!$B$11,Paramètres!$A$1:$I$89,5,0)</f>
        <v>324.32400000000035</v>
      </c>
      <c r="BF176" s="13">
        <f t="shared" si="167"/>
        <v>76.252341944982831</v>
      </c>
      <c r="BG176" s="20">
        <f t="shared" si="168"/>
        <v>697.67046222084571</v>
      </c>
      <c r="BH176" s="59">
        <f t="shared" si="116"/>
        <v>991.00379555417908</v>
      </c>
      <c r="BI176" s="59">
        <f ca="1">AVERAGE(OFFSET($BH$3,0,0,'Données projet'!$E$11+1,1))-AVERAGE(OFFSET($H$3,0,0,'Données projet'!$E$11+1,1))</f>
        <v>310.4018929413723</v>
      </c>
      <c r="BJ176" s="59">
        <f t="shared" si="146"/>
        <v>127.5231137583819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0.11169495457958502</v>
      </c>
      <c r="BR176" s="21">
        <f>EXP(-LN(2)/2)*BR175+(1-EXP(-LN(2)/2))/(LN(2)/2)*BL176*BO176*VLOOKUP('Données projet'!$B$11,Paramètres!$A$1:$I$89,3,0)*0.475*44/12</f>
        <v>2.6743707773062408E-21</v>
      </c>
      <c r="BS176" s="22">
        <f t="shared" si="169"/>
        <v>0.11169495457958502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158.58786357608489</v>
      </c>
      <c r="AO177" s="59">
        <f t="shared" si="144"/>
        <v>163.20074068819849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378.0000000000004</v>
      </c>
      <c r="BE177" s="13">
        <f>BD177*VLOOKUP('Données projet'!$B$11,Paramètres!$A$1:$I$89,3,0)*VLOOKUP('Données projet'!$B$11,Paramètres!$A$1:$I$89,5,0)</f>
        <v>324.32400000000035</v>
      </c>
      <c r="BF177" s="13">
        <f t="shared" si="167"/>
        <v>76.252341944982831</v>
      </c>
      <c r="BG177" s="20">
        <f t="shared" si="168"/>
        <v>697.67046222084571</v>
      </c>
      <c r="BH177" s="59">
        <f t="shared" si="116"/>
        <v>991.00379555417908</v>
      </c>
      <c r="BI177" s="59">
        <f ca="1">AVERAGE(OFFSET($BH$3,0,0,'Données projet'!$E$11+1,1))-AVERAGE(OFFSET($H$3,0,0,'Données projet'!$E$11+1,1))</f>
        <v>310.4018929413723</v>
      </c>
      <c r="BJ177" s="59">
        <f t="shared" si="146"/>
        <v>127.5231137583819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0.10864065017282389</v>
      </c>
      <c r="BR177" s="21">
        <f>EXP(-LN(2)/2)*BR176+(1-EXP(-LN(2)/2))/(LN(2)/2)*BL177*BO177*VLOOKUP('Données projet'!$B$11,Paramètres!$A$1:$I$89,3,0)*0.475*44/12</f>
        <v>1.891065712040381E-21</v>
      </c>
      <c r="BS177" s="22">
        <f t="shared" si="169"/>
        <v>0.10864065017282389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158.58786357608489</v>
      </c>
      <c r="AO178" s="59">
        <f t="shared" si="144"/>
        <v>163.20074068819849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378.0000000000004</v>
      </c>
      <c r="BE178" s="13">
        <f>BD178*VLOOKUP('Données projet'!$B$11,Paramètres!$A$1:$I$89,3,0)*VLOOKUP('Données projet'!$B$11,Paramètres!$A$1:$I$89,5,0)</f>
        <v>324.32400000000035</v>
      </c>
      <c r="BF178" s="13">
        <f t="shared" si="167"/>
        <v>76.252341944982831</v>
      </c>
      <c r="BG178" s="20">
        <f t="shared" si="168"/>
        <v>697.67046222084571</v>
      </c>
      <c r="BH178" s="59">
        <f t="shared" si="116"/>
        <v>991.00379555417908</v>
      </c>
      <c r="BI178" s="59">
        <f ca="1">AVERAGE(OFFSET($BH$3,0,0,'Données projet'!$E$11+1,1))-AVERAGE(OFFSET($H$3,0,0,'Données projet'!$E$11+1,1))</f>
        <v>310.4018929413723</v>
      </c>
      <c r="BJ178" s="59">
        <f t="shared" si="146"/>
        <v>127.5231137583819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0.10566986588068453</v>
      </c>
      <c r="BR178" s="21">
        <f>EXP(-LN(2)/2)*BR177+(1-EXP(-LN(2)/2))/(LN(2)/2)*BL178*BO178*VLOOKUP('Données projet'!$B$11,Paramètres!$A$1:$I$89,3,0)*0.475*44/12</f>
        <v>1.3371853886531204E-21</v>
      </c>
      <c r="BS178" s="22">
        <f t="shared" si="169"/>
        <v>0.10566986588068453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158.58786357608489</v>
      </c>
      <c r="AO179" s="59">
        <f t="shared" si="144"/>
        <v>163.20074068819849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378.0000000000004</v>
      </c>
      <c r="BE179" s="13">
        <f>BD179*VLOOKUP('Données projet'!$B$11,Paramètres!$A$1:$I$89,3,0)*VLOOKUP('Données projet'!$B$11,Paramètres!$A$1:$I$89,5,0)</f>
        <v>324.32400000000035</v>
      </c>
      <c r="BF179" s="13">
        <f t="shared" si="167"/>
        <v>76.252341944982831</v>
      </c>
      <c r="BG179" s="20">
        <f t="shared" si="168"/>
        <v>697.67046222084571</v>
      </c>
      <c r="BH179" s="59">
        <f t="shared" si="116"/>
        <v>991.00379555417908</v>
      </c>
      <c r="BI179" s="59">
        <f ca="1">AVERAGE(OFFSET($BH$3,0,0,'Données projet'!$E$11+1,1))-AVERAGE(OFFSET($H$3,0,0,'Données projet'!$E$11+1,1))</f>
        <v>310.4018929413723</v>
      </c>
      <c r="BJ179" s="59">
        <f t="shared" si="146"/>
        <v>127.5231137583819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0.10278031784124048</v>
      </c>
      <c r="BR179" s="21">
        <f>EXP(-LN(2)/2)*BR178+(1-EXP(-LN(2)/2))/(LN(2)/2)*BL179*BO179*VLOOKUP('Données projet'!$B$11,Paramètres!$A$1:$I$89,3,0)*0.475*44/12</f>
        <v>9.455328560201905E-22</v>
      </c>
      <c r="BS179" s="22">
        <f t="shared" si="169"/>
        <v>0.10278031784124048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158.58786357608489</v>
      </c>
      <c r="AO180" s="59">
        <f t="shared" si="144"/>
        <v>163.20074068819849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378.0000000000004</v>
      </c>
      <c r="BE180" s="13">
        <f>BD180*VLOOKUP('Données projet'!$B$11,Paramètres!$A$1:$I$89,3,0)*VLOOKUP('Données projet'!$B$11,Paramètres!$A$1:$I$89,5,0)</f>
        <v>324.32400000000035</v>
      </c>
      <c r="BF180" s="13">
        <f t="shared" si="167"/>
        <v>76.252341944982831</v>
      </c>
      <c r="BG180" s="20">
        <f t="shared" si="168"/>
        <v>697.67046222084571</v>
      </c>
      <c r="BH180" s="59">
        <f t="shared" si="116"/>
        <v>991.00379555417908</v>
      </c>
      <c r="BI180" s="59">
        <f ca="1">AVERAGE(OFFSET($BH$3,0,0,'Données projet'!$E$11+1,1))-AVERAGE(OFFSET($H$3,0,0,'Données projet'!$E$11+1,1))</f>
        <v>310.4018929413723</v>
      </c>
      <c r="BJ180" s="59">
        <f t="shared" si="146"/>
        <v>127.5231137583819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9.9969784644889745E-2</v>
      </c>
      <c r="BR180" s="21">
        <f>EXP(-LN(2)/2)*BR179+(1-EXP(-LN(2)/2))/(LN(2)/2)*BL180*BO180*VLOOKUP('Données projet'!$B$11,Paramètres!$A$1:$I$89,3,0)*0.475*44/12</f>
        <v>6.6859269432656019E-22</v>
      </c>
      <c r="BS180" s="22">
        <f t="shared" si="169"/>
        <v>9.9969784644889745E-2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158.58786357608489</v>
      </c>
      <c r="AO181" s="59">
        <f t="shared" si="144"/>
        <v>163.20074068819849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378.0000000000004</v>
      </c>
      <c r="BE181" s="13">
        <f>BD181*VLOOKUP('Données projet'!$B$11,Paramètres!$A$1:$I$89,3,0)*VLOOKUP('Données projet'!$B$11,Paramètres!$A$1:$I$89,5,0)</f>
        <v>324.32400000000035</v>
      </c>
      <c r="BF181" s="13">
        <f t="shared" si="167"/>
        <v>76.252341944982831</v>
      </c>
      <c r="BG181" s="20">
        <f t="shared" si="168"/>
        <v>697.67046222084571</v>
      </c>
      <c r="BH181" s="59">
        <f t="shared" si="116"/>
        <v>991.00379555417908</v>
      </c>
      <c r="BI181" s="59">
        <f ca="1">AVERAGE(OFFSET($BH$3,0,0,'Données projet'!$E$11+1,1))-AVERAGE(OFFSET($H$3,0,0,'Données projet'!$E$11+1,1))</f>
        <v>310.4018929413723</v>
      </c>
      <c r="BJ181" s="59">
        <f t="shared" si="146"/>
        <v>127.5231137583819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9.7236105626592739E-2</v>
      </c>
      <c r="BR181" s="21">
        <f>EXP(-LN(2)/2)*BR180+(1-EXP(-LN(2)/2))/(LN(2)/2)*BL181*BO181*VLOOKUP('Données projet'!$B$11,Paramètres!$A$1:$I$89,3,0)*0.475*44/12</f>
        <v>4.7276642801009525E-22</v>
      </c>
      <c r="BS181" s="22">
        <f t="shared" si="169"/>
        <v>9.7236105626592739E-2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158.58786357608489</v>
      </c>
      <c r="AO182" s="59">
        <f t="shared" si="144"/>
        <v>163.20074068819849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378.0000000000004</v>
      </c>
      <c r="BE182" s="13">
        <f>BD182*VLOOKUP('Données projet'!$B$11,Paramètres!$A$1:$I$89,3,0)*VLOOKUP('Données projet'!$B$11,Paramètres!$A$1:$I$89,5,0)</f>
        <v>324.32400000000035</v>
      </c>
      <c r="BF182" s="13">
        <f t="shared" si="167"/>
        <v>76.252341944982831</v>
      </c>
      <c r="BG182" s="20">
        <f t="shared" si="168"/>
        <v>697.67046222084571</v>
      </c>
      <c r="BH182" s="59">
        <f t="shared" si="116"/>
        <v>991.00379555417908</v>
      </c>
      <c r="BI182" s="59">
        <f ca="1">AVERAGE(OFFSET($BH$3,0,0,'Données projet'!$E$11+1,1))-AVERAGE(OFFSET($H$3,0,0,'Données projet'!$E$11+1,1))</f>
        <v>310.4018929413723</v>
      </c>
      <c r="BJ182" s="59">
        <f t="shared" si="146"/>
        <v>127.5231137583819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9.4577179204809E-2</v>
      </c>
      <c r="BR182" s="21">
        <f>EXP(-LN(2)/2)*BR181+(1-EXP(-LN(2)/2))/(LN(2)/2)*BL182*BO182*VLOOKUP('Données projet'!$B$11,Paramètres!$A$1:$I$89,3,0)*0.475*44/12</f>
        <v>3.342963471632801E-22</v>
      </c>
      <c r="BS182" s="22">
        <f t="shared" si="169"/>
        <v>9.4577179204809E-2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158.58786357608489</v>
      </c>
      <c r="AO183" s="59">
        <f t="shared" si="144"/>
        <v>163.20074068819849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378.0000000000004</v>
      </c>
      <c r="BE183" s="13">
        <f>BD183*VLOOKUP('Données projet'!$B$11,Paramètres!$A$1:$I$89,3,0)*VLOOKUP('Données projet'!$B$11,Paramètres!$A$1:$I$89,5,0)</f>
        <v>324.32400000000035</v>
      </c>
      <c r="BF183" s="13">
        <f t="shared" si="167"/>
        <v>76.252341944982831</v>
      </c>
      <c r="BG183" s="20">
        <f t="shared" si="168"/>
        <v>697.67046222084571</v>
      </c>
      <c r="BH183" s="59">
        <f t="shared" si="116"/>
        <v>991.00379555417908</v>
      </c>
      <c r="BI183" s="59">
        <f ca="1">AVERAGE(OFFSET($BH$3,0,0,'Données projet'!$E$11+1,1))-AVERAGE(OFFSET($H$3,0,0,'Données projet'!$E$11+1,1))</f>
        <v>310.4018929413723</v>
      </c>
      <c r="BJ183" s="59">
        <f t="shared" si="146"/>
        <v>127.5231137583819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9.1990961265855806E-2</v>
      </c>
      <c r="BR183" s="21">
        <f>EXP(-LN(2)/2)*BR182+(1-EXP(-LN(2)/2))/(LN(2)/2)*BL183*BO183*VLOOKUP('Données projet'!$B$11,Paramètres!$A$1:$I$89,3,0)*0.475*44/12</f>
        <v>2.3638321400504763E-22</v>
      </c>
      <c r="BS183" s="22">
        <f t="shared" si="169"/>
        <v>9.1990961265855806E-2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158.58786357608489</v>
      </c>
      <c r="AO184" s="59">
        <f t="shared" si="144"/>
        <v>163.20074068819849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378.0000000000004</v>
      </c>
      <c r="BE184" s="13">
        <f>BD184*VLOOKUP('Données projet'!$B$11,Paramètres!$A$1:$I$89,3,0)*VLOOKUP('Données projet'!$B$11,Paramètres!$A$1:$I$89,5,0)</f>
        <v>324.32400000000035</v>
      </c>
      <c r="BF184" s="13">
        <f t="shared" si="167"/>
        <v>76.252341944982831</v>
      </c>
      <c r="BG184" s="20">
        <f t="shared" si="168"/>
        <v>697.67046222084571</v>
      </c>
      <c r="BH184" s="59">
        <f t="shared" si="116"/>
        <v>991.00379555417908</v>
      </c>
      <c r="BI184" s="59">
        <f ca="1">AVERAGE(OFFSET($BH$3,0,0,'Données projet'!$E$11+1,1))-AVERAGE(OFFSET($H$3,0,0,'Données projet'!$E$11+1,1))</f>
        <v>310.4018929413723</v>
      </c>
      <c r="BJ184" s="59">
        <f t="shared" si="146"/>
        <v>127.5231137583819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8.9475463592446569E-2</v>
      </c>
      <c r="BR184" s="21">
        <f>EXP(-LN(2)/2)*BR183+(1-EXP(-LN(2)/2))/(LN(2)/2)*BL184*BO184*VLOOKUP('Données projet'!$B$11,Paramètres!$A$1:$I$89,3,0)*0.475*44/12</f>
        <v>1.6714817358164005E-22</v>
      </c>
      <c r="BS184" s="22">
        <f t="shared" si="169"/>
        <v>8.9475463592446569E-2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158.58786357608489</v>
      </c>
      <c r="AO185" s="59">
        <f t="shared" si="144"/>
        <v>163.20074068819849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378.0000000000004</v>
      </c>
      <c r="BE185" s="13">
        <f>BD185*VLOOKUP('Données projet'!$B$11,Paramètres!$A$1:$I$89,3,0)*VLOOKUP('Données projet'!$B$11,Paramètres!$A$1:$I$89,5,0)</f>
        <v>324.32400000000035</v>
      </c>
      <c r="BF185" s="13">
        <f t="shared" si="167"/>
        <v>76.252341944982831</v>
      </c>
      <c r="BG185" s="20">
        <f t="shared" si="168"/>
        <v>697.67046222084571</v>
      </c>
      <c r="BH185" s="59">
        <f t="shared" si="116"/>
        <v>991.00379555417908</v>
      </c>
      <c r="BI185" s="59">
        <f ca="1">AVERAGE(OFFSET($BH$3,0,0,'Données projet'!$E$11+1,1))-AVERAGE(OFFSET($H$3,0,0,'Données projet'!$E$11+1,1))</f>
        <v>310.4018929413723</v>
      </c>
      <c r="BJ185" s="59">
        <f t="shared" si="146"/>
        <v>127.5231137583819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8.7028752335200993E-2</v>
      </c>
      <c r="BR185" s="21">
        <f>EXP(-LN(2)/2)*BR184+(1-EXP(-LN(2)/2))/(LN(2)/2)*BL185*BO185*VLOOKUP('Données projet'!$B$11,Paramètres!$A$1:$I$89,3,0)*0.475*44/12</f>
        <v>1.1819160700252381E-22</v>
      </c>
      <c r="BS185" s="22">
        <f t="shared" si="169"/>
        <v>8.7028752335200993E-2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158.58786357608489</v>
      </c>
      <c r="AO186" s="59">
        <f t="shared" si="144"/>
        <v>163.20074068819849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378.0000000000004</v>
      </c>
      <c r="BE186" s="13">
        <f>BD186*VLOOKUP('Données projet'!$B$11,Paramètres!$A$1:$I$89,3,0)*VLOOKUP('Données projet'!$B$11,Paramètres!$A$1:$I$89,5,0)</f>
        <v>324.32400000000035</v>
      </c>
      <c r="BF186" s="13">
        <f t="shared" si="167"/>
        <v>76.252341944982831</v>
      </c>
      <c r="BG186" s="20">
        <f t="shared" si="168"/>
        <v>697.67046222084571</v>
      </c>
      <c r="BH186" s="59">
        <f t="shared" si="116"/>
        <v>991.00379555417908</v>
      </c>
      <c r="BI186" s="59">
        <f ca="1">AVERAGE(OFFSET($BH$3,0,0,'Données projet'!$E$11+1,1))-AVERAGE(OFFSET($H$3,0,0,'Données projet'!$E$11+1,1))</f>
        <v>310.4018929413723</v>
      </c>
      <c r="BJ186" s="59">
        <f t="shared" si="146"/>
        <v>127.5231137583819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8.4648946525951743E-2</v>
      </c>
      <c r="BR186" s="21">
        <f>EXP(-LN(2)/2)*BR185+(1-EXP(-LN(2)/2))/(LN(2)/2)*BL186*BO186*VLOOKUP('Données projet'!$B$11,Paramètres!$A$1:$I$89,3,0)*0.475*44/12</f>
        <v>8.3574086790820024E-23</v>
      </c>
      <c r="BS186" s="22">
        <f t="shared" si="169"/>
        <v>8.4648946525951743E-2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158.58786357608489</v>
      </c>
      <c r="AO187" s="59">
        <f t="shared" si="144"/>
        <v>163.20074068819849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378.0000000000004</v>
      </c>
      <c r="BE187" s="13">
        <f>BD187*VLOOKUP('Données projet'!$B$11,Paramètres!$A$1:$I$89,3,0)*VLOOKUP('Données projet'!$B$11,Paramètres!$A$1:$I$89,5,0)</f>
        <v>324.32400000000035</v>
      </c>
      <c r="BF187" s="13">
        <f t="shared" si="167"/>
        <v>76.252341944982831</v>
      </c>
      <c r="BG187" s="20">
        <f t="shared" si="168"/>
        <v>697.67046222084571</v>
      </c>
      <c r="BH187" s="59">
        <f t="shared" si="116"/>
        <v>991.00379555417908</v>
      </c>
      <c r="BI187" s="59">
        <f ca="1">AVERAGE(OFFSET($BH$3,0,0,'Données projet'!$E$11+1,1))-AVERAGE(OFFSET($H$3,0,0,'Données projet'!$E$11+1,1))</f>
        <v>310.4018929413723</v>
      </c>
      <c r="BJ187" s="59">
        <f t="shared" si="146"/>
        <v>127.5231137583819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8.2334216631704968E-2</v>
      </c>
      <c r="BR187" s="21">
        <f>EXP(-LN(2)/2)*BR186+(1-EXP(-LN(2)/2))/(LN(2)/2)*BL187*BO187*VLOOKUP('Données projet'!$B$11,Paramètres!$A$1:$I$89,3,0)*0.475*44/12</f>
        <v>5.9095803501261906E-23</v>
      </c>
      <c r="BS187" s="22">
        <f t="shared" si="169"/>
        <v>8.2334216631704968E-2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158.58786357608489</v>
      </c>
      <c r="AO188" s="59">
        <f t="shared" si="144"/>
        <v>163.20074068819849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378.0000000000004</v>
      </c>
      <c r="BE188" s="13">
        <f>BD188*VLOOKUP('Données projet'!$B$11,Paramètres!$A$1:$I$89,3,0)*VLOOKUP('Données projet'!$B$11,Paramètres!$A$1:$I$89,5,0)</f>
        <v>324.32400000000035</v>
      </c>
      <c r="BF188" s="13">
        <f t="shared" si="167"/>
        <v>76.252341944982831</v>
      </c>
      <c r="BG188" s="20">
        <f t="shared" si="168"/>
        <v>697.67046222084571</v>
      </c>
      <c r="BH188" s="59">
        <f t="shared" si="116"/>
        <v>991.00379555417908</v>
      </c>
      <c r="BI188" s="59">
        <f ca="1">AVERAGE(OFFSET($BH$3,0,0,'Données projet'!$E$11+1,1))-AVERAGE(OFFSET($H$3,0,0,'Données projet'!$E$11+1,1))</f>
        <v>310.4018929413723</v>
      </c>
      <c r="BJ188" s="59">
        <f t="shared" si="146"/>
        <v>127.5231137583819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8.0082783148142725E-2</v>
      </c>
      <c r="BR188" s="21">
        <f>EXP(-LN(2)/2)*BR187+(1-EXP(-LN(2)/2))/(LN(2)/2)*BL188*BO188*VLOOKUP('Données projet'!$B$11,Paramètres!$A$1:$I$89,3,0)*0.475*44/12</f>
        <v>4.1787043395410012E-23</v>
      </c>
      <c r="BS188" s="22">
        <f t="shared" si="169"/>
        <v>8.0082783148142725E-2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158.58786357608489</v>
      </c>
      <c r="AO189" s="59">
        <f t="shared" si="144"/>
        <v>163.20074068819849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378.0000000000004</v>
      </c>
      <c r="BE189" s="13">
        <f>BD189*VLOOKUP('Données projet'!$B$11,Paramètres!$A$1:$I$89,3,0)*VLOOKUP('Données projet'!$B$11,Paramètres!$A$1:$I$89,5,0)</f>
        <v>324.32400000000035</v>
      </c>
      <c r="BF189" s="13">
        <f t="shared" si="167"/>
        <v>76.252341944982831</v>
      </c>
      <c r="BG189" s="20">
        <f t="shared" si="168"/>
        <v>697.67046222084571</v>
      </c>
      <c r="BH189" s="59">
        <f t="shared" si="116"/>
        <v>991.00379555417908</v>
      </c>
      <c r="BI189" s="59">
        <f ca="1">AVERAGE(OFFSET($BH$3,0,0,'Données projet'!$E$11+1,1))-AVERAGE(OFFSET($H$3,0,0,'Données projet'!$E$11+1,1))</f>
        <v>310.4018929413723</v>
      </c>
      <c r="BJ189" s="59">
        <f t="shared" si="146"/>
        <v>127.5231137583819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7.7892915231586229E-2</v>
      </c>
      <c r="BR189" s="21">
        <f>EXP(-LN(2)/2)*BR188+(1-EXP(-LN(2)/2))/(LN(2)/2)*BL189*BO189*VLOOKUP('Données projet'!$B$11,Paramètres!$A$1:$I$89,3,0)*0.475*44/12</f>
        <v>2.9547901750630953E-23</v>
      </c>
      <c r="BS189" s="22">
        <f t="shared" si="169"/>
        <v>7.7892915231586229E-2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158.58786357608489</v>
      </c>
      <c r="AO190" s="59">
        <f t="shared" si="144"/>
        <v>163.20074068819849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378.0000000000004</v>
      </c>
      <c r="BE190" s="13">
        <f>BD190*VLOOKUP('Données projet'!$B$11,Paramètres!$A$1:$I$89,3,0)*VLOOKUP('Données projet'!$B$11,Paramètres!$A$1:$I$89,5,0)</f>
        <v>324.32400000000035</v>
      </c>
      <c r="BF190" s="13">
        <f t="shared" si="167"/>
        <v>76.252341944982831</v>
      </c>
      <c r="BG190" s="20">
        <f t="shared" si="168"/>
        <v>697.67046222084571</v>
      </c>
      <c r="BH190" s="59">
        <f t="shared" si="116"/>
        <v>991.00379555417908</v>
      </c>
      <c r="BI190" s="59">
        <f ca="1">AVERAGE(OFFSET($BH$3,0,0,'Données projet'!$E$11+1,1))-AVERAGE(OFFSET($H$3,0,0,'Données projet'!$E$11+1,1))</f>
        <v>310.4018929413723</v>
      </c>
      <c r="BJ190" s="59">
        <f t="shared" si="146"/>
        <v>127.5231137583819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7.576292936836812E-2</v>
      </c>
      <c r="BR190" s="21">
        <f>EXP(-LN(2)/2)*BR189+(1-EXP(-LN(2)/2))/(LN(2)/2)*BL190*BO190*VLOOKUP('Données projet'!$B$11,Paramètres!$A$1:$I$89,3,0)*0.475*44/12</f>
        <v>2.0893521697705006E-23</v>
      </c>
      <c r="BS190" s="22">
        <f t="shared" si="169"/>
        <v>7.576292936836812E-2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158.58786357608489</v>
      </c>
      <c r="AO191" s="59">
        <f t="shared" si="144"/>
        <v>163.20074068819849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378.0000000000004</v>
      </c>
      <c r="BE191" s="13">
        <f>BD191*VLOOKUP('Données projet'!$B$11,Paramètres!$A$1:$I$89,3,0)*VLOOKUP('Données projet'!$B$11,Paramètres!$A$1:$I$89,5,0)</f>
        <v>324.32400000000035</v>
      </c>
      <c r="BF191" s="13">
        <f t="shared" si="167"/>
        <v>76.252341944982831</v>
      </c>
      <c r="BG191" s="20">
        <f t="shared" si="168"/>
        <v>697.67046222084571</v>
      </c>
      <c r="BH191" s="59">
        <f t="shared" si="116"/>
        <v>991.00379555417908</v>
      </c>
      <c r="BI191" s="59">
        <f ca="1">AVERAGE(OFFSET($BH$3,0,0,'Données projet'!$E$11+1,1))-AVERAGE(OFFSET($H$3,0,0,'Données projet'!$E$11+1,1))</f>
        <v>310.4018929413723</v>
      </c>
      <c r="BJ191" s="59">
        <f t="shared" si="146"/>
        <v>127.5231137583819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7.3691188080590803E-2</v>
      </c>
      <c r="BR191" s="21">
        <f>EXP(-LN(2)/2)*BR190+(1-EXP(-LN(2)/2))/(LN(2)/2)*BL191*BO191*VLOOKUP('Données projet'!$B$11,Paramètres!$A$1:$I$89,3,0)*0.475*44/12</f>
        <v>1.4773950875315477E-23</v>
      </c>
      <c r="BS191" s="22">
        <f t="shared" si="169"/>
        <v>7.3691188080590803E-2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158.58786357608489</v>
      </c>
      <c r="AO192" s="59">
        <f t="shared" si="144"/>
        <v>163.20074068819849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378.0000000000004</v>
      </c>
      <c r="BE192" s="13">
        <f>BD192*VLOOKUP('Données projet'!$B$11,Paramètres!$A$1:$I$89,3,0)*VLOOKUP('Données projet'!$B$11,Paramètres!$A$1:$I$89,5,0)</f>
        <v>324.32400000000035</v>
      </c>
      <c r="BF192" s="13">
        <f t="shared" si="167"/>
        <v>76.252341944982831</v>
      </c>
      <c r="BG192" s="20">
        <f t="shared" si="168"/>
        <v>697.67046222084571</v>
      </c>
      <c r="BH192" s="59">
        <f t="shared" si="116"/>
        <v>991.00379555417908</v>
      </c>
      <c r="BI192" s="59">
        <f ca="1">AVERAGE(OFFSET($BH$3,0,0,'Données projet'!$E$11+1,1))-AVERAGE(OFFSET($H$3,0,0,'Données projet'!$E$11+1,1))</f>
        <v>310.4018929413723</v>
      </c>
      <c r="BJ192" s="59">
        <f t="shared" si="146"/>
        <v>127.5231137583819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7.1676098667275895E-2</v>
      </c>
      <c r="BR192" s="21">
        <f>EXP(-LN(2)/2)*BR191+(1-EXP(-LN(2)/2))/(LN(2)/2)*BL192*BO192*VLOOKUP('Données projet'!$B$11,Paramètres!$A$1:$I$89,3,0)*0.475*44/12</f>
        <v>1.0446760848852503E-23</v>
      </c>
      <c r="BS192" s="22">
        <f t="shared" si="169"/>
        <v>7.1676098667275895E-2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158.58786357608489</v>
      </c>
      <c r="AO193" s="59">
        <f t="shared" si="144"/>
        <v>163.20074068819849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378.0000000000004</v>
      </c>
      <c r="BE193" s="13">
        <f>BD193*VLOOKUP('Données projet'!$B$11,Paramètres!$A$1:$I$89,3,0)*VLOOKUP('Données projet'!$B$11,Paramètres!$A$1:$I$89,5,0)</f>
        <v>324.32400000000035</v>
      </c>
      <c r="BF193" s="13">
        <f t="shared" si="167"/>
        <v>76.252341944982831</v>
      </c>
      <c r="BG193" s="20">
        <f t="shared" si="168"/>
        <v>697.67046222084571</v>
      </c>
      <c r="BH193" s="59">
        <f t="shared" si="116"/>
        <v>991.00379555417908</v>
      </c>
      <c r="BI193" s="59">
        <f ca="1">AVERAGE(OFFSET($BH$3,0,0,'Données projet'!$E$11+1,1))-AVERAGE(OFFSET($H$3,0,0,'Données projet'!$E$11+1,1))</f>
        <v>310.4018929413723</v>
      </c>
      <c r="BJ193" s="59">
        <f t="shared" si="146"/>
        <v>127.5231137583819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6.9716111979937018E-2</v>
      </c>
      <c r="BR193" s="21">
        <f>EXP(-LN(2)/2)*BR192+(1-EXP(-LN(2)/2))/(LN(2)/2)*BL193*BO193*VLOOKUP('Données projet'!$B$11,Paramètres!$A$1:$I$89,3,0)*0.475*44/12</f>
        <v>7.3869754376577383E-24</v>
      </c>
      <c r="BS193" s="22">
        <f t="shared" si="169"/>
        <v>6.9716111979937018E-2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158.58786357608489</v>
      </c>
      <c r="AO194" s="59">
        <f t="shared" si="144"/>
        <v>163.20074068819849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378.0000000000004</v>
      </c>
      <c r="BE194" s="13">
        <f>BD194*VLOOKUP('Données projet'!$B$11,Paramètres!$A$1:$I$89,3,0)*VLOOKUP('Données projet'!$B$11,Paramètres!$A$1:$I$89,5,0)</f>
        <v>324.32400000000035</v>
      </c>
      <c r="BF194" s="13">
        <f t="shared" si="167"/>
        <v>76.252341944982831</v>
      </c>
      <c r="BG194" s="20">
        <f t="shared" si="168"/>
        <v>697.67046222084571</v>
      </c>
      <c r="BH194" s="59">
        <f t="shared" si="116"/>
        <v>991.00379555417908</v>
      </c>
      <c r="BI194" s="59">
        <f ca="1">AVERAGE(OFFSET($BH$3,0,0,'Données projet'!$E$11+1,1))-AVERAGE(OFFSET($H$3,0,0,'Données projet'!$E$11+1,1))</f>
        <v>310.4018929413723</v>
      </c>
      <c r="BJ194" s="59">
        <f t="shared" si="146"/>
        <v>127.5231137583819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6.7809721231634645E-2</v>
      </c>
      <c r="BR194" s="21">
        <f>EXP(-LN(2)/2)*BR193+(1-EXP(-LN(2)/2))/(LN(2)/2)*BL194*BO194*VLOOKUP('Données projet'!$B$11,Paramètres!$A$1:$I$89,3,0)*0.475*44/12</f>
        <v>5.2233804244262515E-24</v>
      </c>
      <c r="BS194" s="22">
        <f t="shared" si="169"/>
        <v>6.7809721231634645E-2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158.58786357608489</v>
      </c>
      <c r="AO195" s="59">
        <f t="shared" si="144"/>
        <v>163.20074068819849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378.0000000000004</v>
      </c>
      <c r="BE195" s="13">
        <f>BD195*VLOOKUP('Données projet'!$B$11,Paramètres!$A$1:$I$89,3,0)*VLOOKUP('Données projet'!$B$11,Paramètres!$A$1:$I$89,5,0)</f>
        <v>324.32400000000035</v>
      </c>
      <c r="BF195" s="13">
        <f t="shared" si="167"/>
        <v>76.252341944982831</v>
      </c>
      <c r="BG195" s="20">
        <f t="shared" si="168"/>
        <v>697.67046222084571</v>
      </c>
      <c r="BH195" s="59">
        <f t="shared" si="116"/>
        <v>991.00379555417908</v>
      </c>
      <c r="BI195" s="59">
        <f ca="1">AVERAGE(OFFSET($BH$3,0,0,'Données projet'!$E$11+1,1))-AVERAGE(OFFSET($H$3,0,0,'Données projet'!$E$11+1,1))</f>
        <v>310.4018929413723</v>
      </c>
      <c r="BJ195" s="59">
        <f t="shared" si="146"/>
        <v>127.5231137583819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6.5955460838597338E-2</v>
      </c>
      <c r="BR195" s="21">
        <f>EXP(-LN(2)/2)*BR194+(1-EXP(-LN(2)/2))/(LN(2)/2)*BL195*BO195*VLOOKUP('Données projet'!$B$11,Paramètres!$A$1:$I$89,3,0)*0.475*44/12</f>
        <v>3.6934877188288692E-24</v>
      </c>
      <c r="BS195" s="22">
        <f t="shared" si="169"/>
        <v>6.5955460838597338E-2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158.58786357608489</v>
      </c>
      <c r="AO196" s="59">
        <f t="shared" si="144"/>
        <v>163.20074068819849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378.0000000000004</v>
      </c>
      <c r="BE196" s="13">
        <f>BD196*VLOOKUP('Données projet'!$B$11,Paramètres!$A$1:$I$89,3,0)*VLOOKUP('Données projet'!$B$11,Paramètres!$A$1:$I$89,5,0)</f>
        <v>324.32400000000035</v>
      </c>
      <c r="BF196" s="13">
        <f t="shared" si="167"/>
        <v>76.252341944982831</v>
      </c>
      <c r="BG196" s="20">
        <f t="shared" si="168"/>
        <v>697.67046222084571</v>
      </c>
      <c r="BH196" s="59">
        <f t="shared" ref="BH196:BH203" si="194">BG196+(AY196+AZ196)*44/12</f>
        <v>991.00379555417908</v>
      </c>
      <c r="BI196" s="59">
        <f ca="1">AVERAGE(OFFSET($BH$3,0,0,'Données projet'!$E$11+1,1))-AVERAGE(OFFSET($H$3,0,0,'Données projet'!$E$11+1,1))</f>
        <v>310.4018929413723</v>
      </c>
      <c r="BJ196" s="59">
        <f t="shared" si="146"/>
        <v>127.5231137583819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6.4151905293518954E-2</v>
      </c>
      <c r="BR196" s="21">
        <f>EXP(-LN(2)/2)*BR195+(1-EXP(-LN(2)/2))/(LN(2)/2)*BL196*BO196*VLOOKUP('Données projet'!$B$11,Paramètres!$A$1:$I$89,3,0)*0.475*44/12</f>
        <v>2.6116902122131258E-24</v>
      </c>
      <c r="BS196" s="22">
        <f t="shared" si="169"/>
        <v>6.4151905293518954E-2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158.58786357608489</v>
      </c>
      <c r="AO197" s="59">
        <f t="shared" ref="AO197:AO203" si="205">$AO$3</f>
        <v>163.20074068819849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378.0000000000004</v>
      </c>
      <c r="BE197" s="13">
        <f>BD197*VLOOKUP('Données projet'!$B$11,Paramètres!$A$1:$I$89,3,0)*VLOOKUP('Données projet'!$B$11,Paramètres!$A$1:$I$89,5,0)</f>
        <v>324.32400000000035</v>
      </c>
      <c r="BF197" s="13">
        <f t="shared" si="167"/>
        <v>76.252341944982831</v>
      </c>
      <c r="BG197" s="20">
        <f t="shared" si="168"/>
        <v>697.67046222084571</v>
      </c>
      <c r="BH197" s="59">
        <f t="shared" si="194"/>
        <v>991.00379555417908</v>
      </c>
      <c r="BI197" s="59">
        <f ca="1">AVERAGE(OFFSET($BH$3,0,0,'Données projet'!$E$11+1,1))-AVERAGE(OFFSET($H$3,0,0,'Données projet'!$E$11+1,1))</f>
        <v>310.4018929413723</v>
      </c>
      <c r="BJ197" s="59">
        <f t="shared" ref="BJ197:BJ203" si="206">$BJ$3</f>
        <v>127.5231137583819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6.2397668069665603E-2</v>
      </c>
      <c r="BR197" s="21">
        <f>EXP(-LN(2)/2)*BR196+(1-EXP(-LN(2)/2))/(LN(2)/2)*BL197*BO197*VLOOKUP('Données projet'!$B$11,Paramètres!$A$1:$I$89,3,0)*0.475*44/12</f>
        <v>1.8467438594144346E-24</v>
      </c>
      <c r="BS197" s="22">
        <f t="shared" si="169"/>
        <v>6.2397668069665603E-2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158.58786357608489</v>
      </c>
      <c r="AO198" s="59">
        <f t="shared" si="205"/>
        <v>163.20074068819849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378.0000000000004</v>
      </c>
      <c r="BE198" s="13">
        <f>BD198*VLOOKUP('Données projet'!$B$11,Paramètres!$A$1:$I$89,3,0)*VLOOKUP('Données projet'!$B$11,Paramètres!$A$1:$I$89,5,0)</f>
        <v>324.32400000000035</v>
      </c>
      <c r="BF198" s="13">
        <f t="shared" si="167"/>
        <v>76.252341944982831</v>
      </c>
      <c r="BG198" s="20">
        <f t="shared" si="168"/>
        <v>697.67046222084571</v>
      </c>
      <c r="BH198" s="59">
        <f t="shared" si="194"/>
        <v>991.00379555417908</v>
      </c>
      <c r="BI198" s="59">
        <f ca="1">AVERAGE(OFFSET($BH$3,0,0,'Données projet'!$E$11+1,1))-AVERAGE(OFFSET($H$3,0,0,'Données projet'!$E$11+1,1))</f>
        <v>310.4018929413723</v>
      </c>
      <c r="BJ198" s="59">
        <f t="shared" si="206"/>
        <v>127.5231137583819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6.0691400554949843E-2</v>
      </c>
      <c r="BR198" s="21">
        <f>EXP(-LN(2)/2)*BR197+(1-EXP(-LN(2)/2))/(LN(2)/2)*BL198*BO198*VLOOKUP('Données projet'!$B$11,Paramètres!$A$1:$I$89,3,0)*0.475*44/12</f>
        <v>1.3058451061065629E-24</v>
      </c>
      <c r="BS198" s="22">
        <f t="shared" si="169"/>
        <v>6.0691400554949843E-2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158.58786357608489</v>
      </c>
      <c r="AO199" s="59">
        <f t="shared" si="205"/>
        <v>163.20074068819849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378.0000000000004</v>
      </c>
      <c r="BE199" s="13">
        <f>BD199*VLOOKUP('Données projet'!$B$11,Paramètres!$A$1:$I$89,3,0)*VLOOKUP('Données projet'!$B$11,Paramètres!$A$1:$I$89,5,0)</f>
        <v>324.32400000000035</v>
      </c>
      <c r="BF199" s="13">
        <f t="shared" si="167"/>
        <v>76.252341944982831</v>
      </c>
      <c r="BG199" s="20">
        <f t="shared" si="168"/>
        <v>697.67046222084571</v>
      </c>
      <c r="BH199" s="59">
        <f t="shared" si="194"/>
        <v>991.00379555417908</v>
      </c>
      <c r="BI199" s="59">
        <f ca="1">AVERAGE(OFFSET($BH$3,0,0,'Données projet'!$E$11+1,1))-AVERAGE(OFFSET($H$3,0,0,'Données projet'!$E$11+1,1))</f>
        <v>310.4018929413723</v>
      </c>
      <c r="BJ199" s="59">
        <f t="shared" si="206"/>
        <v>127.5231137583819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5.9031791015152699E-2</v>
      </c>
      <c r="BR199" s="21">
        <f>EXP(-LN(2)/2)*BR198+(1-EXP(-LN(2)/2))/(LN(2)/2)*BL199*BO199*VLOOKUP('Données projet'!$B$11,Paramètres!$A$1:$I$89,3,0)*0.475*44/12</f>
        <v>9.2337192970721729E-25</v>
      </c>
      <c r="BS199" s="22">
        <f t="shared" si="169"/>
        <v>5.9031791015152699E-2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158.58786357608489</v>
      </c>
      <c r="AO200" s="59">
        <f t="shared" si="205"/>
        <v>163.20074068819849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378.0000000000004</v>
      </c>
      <c r="BE200" s="13">
        <f>BD200*VLOOKUP('Données projet'!$B$11,Paramètres!$A$1:$I$89,3,0)*VLOOKUP('Données projet'!$B$11,Paramètres!$A$1:$I$89,5,0)</f>
        <v>324.32400000000035</v>
      </c>
      <c r="BF200" s="13">
        <f t="shared" si="167"/>
        <v>76.252341944982831</v>
      </c>
      <c r="BG200" s="20">
        <f t="shared" si="168"/>
        <v>697.67046222084571</v>
      </c>
      <c r="BH200" s="59">
        <f t="shared" si="194"/>
        <v>991.00379555417908</v>
      </c>
      <c r="BI200" s="59">
        <f ca="1">AVERAGE(OFFSET($BH$3,0,0,'Données projet'!$E$11+1,1))-AVERAGE(OFFSET($H$3,0,0,'Données projet'!$E$11+1,1))</f>
        <v>310.4018929413723</v>
      </c>
      <c r="BJ200" s="59">
        <f t="shared" si="206"/>
        <v>127.5231137583819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5.7417563585496378E-2</v>
      </c>
      <c r="BR200" s="21">
        <f>EXP(-LN(2)/2)*BR199+(1-EXP(-LN(2)/2))/(LN(2)/2)*BL200*BO200*VLOOKUP('Données projet'!$B$11,Paramètres!$A$1:$I$89,3,0)*0.475*44/12</f>
        <v>6.5292255305328144E-25</v>
      </c>
      <c r="BS200" s="22">
        <f t="shared" si="169"/>
        <v>5.7417563585496378E-2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158.58786357608489</v>
      </c>
      <c r="AO201" s="59">
        <f t="shared" si="205"/>
        <v>163.20074068819849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378.0000000000004</v>
      </c>
      <c r="BE201" s="13">
        <f>BD201*VLOOKUP('Données projet'!$B$11,Paramètres!$A$1:$I$89,3,0)*VLOOKUP('Données projet'!$B$11,Paramètres!$A$1:$I$89,5,0)</f>
        <v>324.32400000000035</v>
      </c>
      <c r="BF201" s="13">
        <f t="shared" si="167"/>
        <v>76.252341944982831</v>
      </c>
      <c r="BG201" s="20">
        <f t="shared" si="168"/>
        <v>697.67046222084571</v>
      </c>
      <c r="BH201" s="59">
        <f t="shared" si="194"/>
        <v>991.00379555417908</v>
      </c>
      <c r="BI201" s="59">
        <f ca="1">AVERAGE(OFFSET($BH$3,0,0,'Données projet'!$E$11+1,1))-AVERAGE(OFFSET($H$3,0,0,'Données projet'!$E$11+1,1))</f>
        <v>310.4018929413723</v>
      </c>
      <c r="BJ201" s="59">
        <f t="shared" si="206"/>
        <v>127.5231137583819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5.5847477289792544E-2</v>
      </c>
      <c r="BR201" s="21">
        <f>EXP(-LN(2)/2)*BR200+(1-EXP(-LN(2)/2))/(LN(2)/2)*BL201*BO201*VLOOKUP('Données projet'!$B$11,Paramètres!$A$1:$I$89,3,0)*0.475*44/12</f>
        <v>4.6168596485360864E-25</v>
      </c>
      <c r="BS201" s="22">
        <f t="shared" si="169"/>
        <v>5.5847477289792544E-2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158.58786357608489</v>
      </c>
      <c r="AO202" s="59">
        <f t="shared" si="205"/>
        <v>163.20074068819849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378.0000000000004</v>
      </c>
      <c r="BE202" s="13">
        <f>BD202*VLOOKUP('Données projet'!$B$11,Paramètres!$A$1:$I$89,3,0)*VLOOKUP('Données projet'!$B$11,Paramètres!$A$1:$I$89,5,0)</f>
        <v>324.32400000000035</v>
      </c>
      <c r="BF202" s="13">
        <f t="shared" si="167"/>
        <v>76.252341944982831</v>
      </c>
      <c r="BG202" s="20">
        <f t="shared" si="168"/>
        <v>697.67046222084571</v>
      </c>
      <c r="BH202" s="59">
        <f t="shared" si="194"/>
        <v>991.00379555417908</v>
      </c>
      <c r="BI202" s="59">
        <f ca="1">AVERAGE(OFFSET($BH$3,0,0,'Données projet'!$E$11+1,1))-AVERAGE(OFFSET($H$3,0,0,'Données projet'!$E$11+1,1))</f>
        <v>310.4018929413723</v>
      </c>
      <c r="BJ202" s="59">
        <f t="shared" si="206"/>
        <v>127.5231137583819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5.4320325086411977E-2</v>
      </c>
      <c r="BR202" s="21">
        <f>EXP(-LN(2)/2)*BR201+(1-EXP(-LN(2)/2))/(LN(2)/2)*BL202*BO202*VLOOKUP('Données projet'!$B$11,Paramètres!$A$1:$I$89,3,0)*0.475*44/12</f>
        <v>3.2646127652664072E-25</v>
      </c>
      <c r="BS202" s="22">
        <f t="shared" si="169"/>
        <v>5.4320325086411977E-2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158.58786357608489</v>
      </c>
      <c r="AO203" s="59">
        <f t="shared" si="205"/>
        <v>163.20074068819849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378.0000000000004</v>
      </c>
      <c r="BE203" s="13">
        <f>BD203*VLOOKUP('Données projet'!$B$11,Paramètres!$A$1:$I$89,3,0)*VLOOKUP('Données projet'!$B$11,Paramètres!$A$1:$I$89,5,0)</f>
        <v>324.32400000000035</v>
      </c>
      <c r="BF203" s="13">
        <f t="shared" si="167"/>
        <v>76.252341944982831</v>
      </c>
      <c r="BG203" s="20">
        <f t="shared" si="168"/>
        <v>697.67046222084571</v>
      </c>
      <c r="BH203" s="59">
        <f t="shared" si="194"/>
        <v>991.00379555417908</v>
      </c>
      <c r="BI203" s="59">
        <f ca="1">AVERAGE(OFFSET($BH$3,0,0,'Données projet'!$E$11+1,1))-AVERAGE(OFFSET($H$3,0,0,'Données projet'!$E$11+1,1))</f>
        <v>310.4018929413723</v>
      </c>
      <c r="BJ203" s="59">
        <f t="shared" si="206"/>
        <v>127.5231137583819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5.2834932940342298E-2</v>
      </c>
      <c r="BR203" s="21">
        <f>EXP(-LN(2)/2)*BR202+(1-EXP(-LN(2)/2))/(LN(2)/2)*BL203*BO203*VLOOKUP('Données projet'!$B$11,Paramètres!$A$1:$I$89,3,0)*0.475*44/12</f>
        <v>2.3084298242680432E-25</v>
      </c>
      <c r="BS203" s="22">
        <f t="shared" si="169"/>
        <v>5.2834932940342298E-2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>
        <f>EXP(LN('Données projet'!B88)/'Données projet'!A88)</f>
        <v>1.2025496037968351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A2" sqref="A2: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3.0869999999999997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788.84425607550872</v>
      </c>
      <c r="G6" s="147">
        <f ca="1">F6*(100%-'Données projet'!$C$24)*(100%-'Données projet'!$C$25)*(100%-'Données projet'!$C$26)*(100%-'Données projet'!$C$27)</f>
        <v>603.46585589776419</v>
      </c>
      <c r="H6" s="148">
        <f>IF(OR('Données projet'!B9="",'Données projet'!C9="",'Données projet'!C9=0%),0,AVERAGE(Calculateur!$AC$3:$AC$33)*B6)</f>
        <v>32.970410465996061</v>
      </c>
      <c r="I6" s="149">
        <f>H6*(100%-'Données projet'!$C$24)*(100%-'Données projet'!$C$25)*(100%-'Données projet'!$C$26)*(100%-'Données projet'!$C$27)</f>
        <v>25.222364006486984</v>
      </c>
      <c r="J6" s="150">
        <f>IF(OR('Données projet'!B9="",'Données projet'!C9="",'Données projet'!C9=0%),0,SUM(Calculateur!$V$3:$V$33)*VLOOKUP('Données projet'!$B$9,Paramètres!$A$1:$I$89,9,0)*B6)</f>
        <v>235.76843769230763</v>
      </c>
      <c r="K6" s="151">
        <f>J6*(100%-'Données projet'!$C$24)*(100%-'Données projet'!$C$25)*(100%-'Données projet'!$C$26)*(100%-'Données projet'!$C$27)</f>
        <v>180.36285483461535</v>
      </c>
      <c r="L6" s="152">
        <f ca="1">G6+I6+K6</f>
        <v>809.05107473886642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6.1739999999999995</v>
      </c>
      <c r="C7" s="147">
        <f ca="1">IF(OR('Données projet'!B10="",'Données projet'!C10="",'Données projet'!C10=0%),0,Calculateur!AN3)</f>
        <v>158.58786357608489</v>
      </c>
      <c r="D7" s="147">
        <f>IF(OR('Données projet'!B10="",'Données projet'!C10="",'Données projet'!C10=0%),0,Calculateur!AO3)</f>
        <v>163.20074068819849</v>
      </c>
      <c r="E7" s="147">
        <f t="shared" ref="E7:E15" ca="1" si="0">MIN(C7,D7)</f>
        <v>158.58786357608489</v>
      </c>
      <c r="F7" s="147">
        <f t="shared" ref="F7:F15" ca="1" si="1">E7*B7</f>
        <v>979.12146971874802</v>
      </c>
      <c r="G7" s="147">
        <f ca="1">F7*(100%-'Données projet'!$C$24)*(100%-'Données projet'!$C$25)*(100%-'Données projet'!$C$26)*(100%-'Données projet'!$C$27)</f>
        <v>749.02792433484217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749.02792433484217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Hêtre</v>
      </c>
      <c r="B8" s="154">
        <f>'Données projet'!D11</f>
        <v>1.0289999999999999</v>
      </c>
      <c r="C8" s="147">
        <f ca="1">IF(OR('Données projet'!B11="",'Données projet'!C11="",'Données projet'!C11=0%),0,Calculateur!BI3)</f>
        <v>310.4018929413723</v>
      </c>
      <c r="D8" s="147">
        <f>IF(OR('Données projet'!B11="",'Données projet'!C11="",'Données projet'!C11=0%),0,Calculateur!BJ3)</f>
        <v>127.5231137583819</v>
      </c>
      <c r="E8" s="147">
        <f t="shared" ca="1" si="0"/>
        <v>127.5231137583819</v>
      </c>
      <c r="F8" s="147">
        <f t="shared" ca="1" si="1"/>
        <v>131.22128405737496</v>
      </c>
      <c r="G8" s="147">
        <f ca="1">F8*(100%-'Données projet'!$C$24)*(100%-'Données projet'!$C$25)*(100%-'Données projet'!$C$26)*(100%-'Données projet'!$C$27)</f>
        <v>100.38428230389184</v>
      </c>
      <c r="H8" s="155">
        <f>IF(OR('Données projet'!B11="",'Données projet'!C11="",'Données projet'!C11=0%),0,AVERAGE(Calculateur!$BS$3:$BS$33)*B8)</f>
        <v>0.72790913451599049</v>
      </c>
      <c r="I8" s="149">
        <f>H8*(100%-'Données projet'!$C$24)*(100%-'Données projet'!$C$25)*(100%-'Données projet'!$C$26)*(100%-'Données projet'!$C$27)</f>
        <v>0.55685048790473268</v>
      </c>
      <c r="J8" s="150">
        <f>IF(OR('Données projet'!B11="",'Données projet'!C11="",'Données projet'!C11=0%),0,SUM(Calculateur!$BL$3:$BL$33)*VLOOKUP('Données projet'!$B$11,Paramètres!$A$1:$I$89,9,0)*B8)</f>
        <v>6.6884999999999994</v>
      </c>
      <c r="K8" s="151">
        <f>J8*(100%-'Données projet'!$C$24)*(100%-'Données projet'!$C$25)*(100%-'Données projet'!$C$26)*(100%-'Données projet'!$C$27)</f>
        <v>5.1167024999999997</v>
      </c>
      <c r="L8" s="152">
        <f t="shared" ca="1" si="2"/>
        <v>106.05783529179658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1899.1870098516317</v>
      </c>
      <c r="G16" s="166">
        <f t="shared" ca="1" si="3"/>
        <v>1452.878062536498</v>
      </c>
      <c r="H16" s="167">
        <f t="shared" si="3"/>
        <v>33.69831960051205</v>
      </c>
      <c r="I16" s="167">
        <f t="shared" si="3"/>
        <v>25.779214494391717</v>
      </c>
      <c r="J16" s="168">
        <f t="shared" si="3"/>
        <v>242.45693769230763</v>
      </c>
      <c r="K16" s="168">
        <f t="shared" si="3"/>
        <v>185.47955733461535</v>
      </c>
      <c r="L16" s="169">
        <f t="shared" ca="1" si="3"/>
        <v>1664.1368343655051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6" zoomScale="80" zoomScaleNormal="80" workbookViewId="0">
      <selection activeCell="R7" sqref="R7:V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1" t="s">
        <v>315</v>
      </c>
      <c r="I4" s="261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6542.1446547874102</v>
      </c>
      <c r="U10" s="178">
        <f>'Données projet'!D9</f>
        <v>3.0869999999999997</v>
      </c>
      <c r="V10" s="177">
        <f>U10*T10</f>
        <v>20195.600549328734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-1252.9863561201589</v>
      </c>
      <c r="U11" s="178">
        <f>'Données projet'!D10</f>
        <v>6.1739999999999995</v>
      </c>
      <c r="V11" s="177">
        <f t="shared" ref="V11" si="0">U11*T11</f>
        <v>-7735.9377626858604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Hêtre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-1685.6362990424127</v>
      </c>
      <c r="U12" s="178">
        <f>'Données projet'!D11</f>
        <v>1.0289999999999999</v>
      </c>
      <c r="V12" s="177">
        <f t="shared" ref="V12:V19" si="1">U12*T12</f>
        <v>-1734.5197517146426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68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2000</v>
      </c>
      <c r="F17" s="230"/>
      <c r="G17" s="289"/>
      <c r="J17" s="202"/>
      <c r="K17" s="208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68.000000000000085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8" t="s">
        <v>255</v>
      </c>
      <c r="M18" s="260"/>
      <c r="N18" s="192">
        <v>34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2312.0000000000027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1900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2000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-99917.461570807136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18</v>
      </c>
      <c r="B24" s="181">
        <f>'Données projet'!D37</f>
        <v>69.284615384615378</v>
      </c>
      <c r="C24" s="193">
        <v>25</v>
      </c>
      <c r="D24" s="182">
        <f t="shared" ref="D24:D42" si="2">B24*C24</f>
        <v>1732.1153846153845</v>
      </c>
      <c r="E24" s="193"/>
      <c r="F24" s="233"/>
      <c r="H24" s="190">
        <v>4</v>
      </c>
      <c r="I24" s="191">
        <v>750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1192.6017824715195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-101110.06335327866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65.669230769230765</v>
      </c>
      <c r="C26" s="193">
        <v>55</v>
      </c>
      <c r="D26" s="182">
        <f t="shared" si="2"/>
        <v>3611.8076923076919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36</v>
      </c>
      <c r="B27" s="181">
        <f>'Données projet'!D40</f>
        <v>69.3</v>
      </c>
      <c r="C27" s="193">
        <v>55</v>
      </c>
      <c r="D27" s="182">
        <f t="shared" si="2"/>
        <v>3811.5</v>
      </c>
      <c r="E27" s="193"/>
      <c r="F27" s="233"/>
      <c r="G27" s="229"/>
      <c r="H27" s="190">
        <v>7</v>
      </c>
      <c r="I27" s="191">
        <v>60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42</v>
      </c>
      <c r="B28" s="181">
        <f>'Données projet'!D41</f>
        <v>73.392307692307682</v>
      </c>
      <c r="C28" s="193">
        <v>60</v>
      </c>
      <c r="D28" s="182">
        <f t="shared" si="2"/>
        <v>4403.538461538461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>
        <v>10</v>
      </c>
      <c r="I30" s="191">
        <v>750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2700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42</v>
      </c>
      <c r="B55" s="181">
        <f>'Données projet'!D63</f>
        <v>179.84615384615384</v>
      </c>
      <c r="C55" s="191">
        <v>25</v>
      </c>
      <c r="D55" s="179">
        <f t="shared" ref="D55:D73" si="4">B55*C55</f>
        <v>4496.1538461538457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49</v>
      </c>
      <c r="B56" s="181">
        <f>'Données projet'!D64</f>
        <v>94.476923076923072</v>
      </c>
      <c r="C56" s="191">
        <v>25</v>
      </c>
      <c r="D56" s="179">
        <f t="shared" si="4"/>
        <v>2361.9230769230767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56</v>
      </c>
      <c r="B57" s="181">
        <f>'Données projet'!D65</f>
        <v>72.769230769230759</v>
      </c>
      <c r="C57" s="191">
        <v>35</v>
      </c>
      <c r="D57" s="179">
        <f t="shared" si="4"/>
        <v>2546.9230769230767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63</v>
      </c>
      <c r="B58" s="181">
        <f>'Données projet'!D66</f>
        <v>71.123076923076923</v>
      </c>
      <c r="C58" s="191">
        <v>45</v>
      </c>
      <c r="D58" s="179">
        <f t="shared" si="4"/>
        <v>3200.5384615384614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71</v>
      </c>
      <c r="B59" s="181">
        <f>'Données projet'!D67</f>
        <v>80.399999999999991</v>
      </c>
      <c r="C59" s="191">
        <v>45</v>
      </c>
      <c r="D59" s="179">
        <f t="shared" si="4"/>
        <v>3617.9999999999995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79</v>
      </c>
      <c r="B60" s="181">
        <f>'Données projet'!D68</f>
        <v>77.338461538461544</v>
      </c>
      <c r="C60" s="191">
        <v>50</v>
      </c>
      <c r="D60" s="179">
        <f t="shared" si="4"/>
        <v>3866.9230769230771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87</v>
      </c>
      <c r="B61" s="181">
        <f>'Données projet'!D69</f>
        <v>77.330769230769235</v>
      </c>
      <c r="C61" s="191">
        <v>50</v>
      </c>
      <c r="D61" s="179">
        <f t="shared" si="4"/>
        <v>3866.5384615384619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95</v>
      </c>
      <c r="B62" s="181">
        <f>'Données projet'!D70</f>
        <v>234.42307692307691</v>
      </c>
      <c r="C62" s="191">
        <v>55</v>
      </c>
      <c r="D62" s="179">
        <f t="shared" si="4"/>
        <v>12893.26923076923</v>
      </c>
      <c r="E62" s="193"/>
      <c r="F62" s="232"/>
      <c r="G62" s="206"/>
      <c r="H62" s="190">
        <v>42</v>
      </c>
      <c r="I62" s="191">
        <v>750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105</v>
      </c>
      <c r="B63" s="181">
        <f>'Données projet'!D71</f>
        <v>309.71538461538461</v>
      </c>
      <c r="C63" s="191">
        <v>65</v>
      </c>
      <c r="D63" s="179">
        <f t="shared" si="4"/>
        <v>20131.5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51.52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Hêtre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2650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4</v>
      </c>
      <c r="C85" s="191">
        <v>10</v>
      </c>
      <c r="D85" s="179">
        <f>B85*C85</f>
        <v>40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22</v>
      </c>
      <c r="C86" s="191">
        <v>10</v>
      </c>
      <c r="D86" s="179">
        <f t="shared" ref="D86:D104" si="6">B86*C86</f>
        <v>220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51</v>
      </c>
      <c r="C87" s="191">
        <v>10</v>
      </c>
      <c r="D87" s="179">
        <f t="shared" si="6"/>
        <v>510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64</v>
      </c>
      <c r="C88" s="191">
        <v>30</v>
      </c>
      <c r="D88" s="179">
        <f t="shared" si="6"/>
        <v>1920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69</v>
      </c>
      <c r="C89" s="191">
        <v>30</v>
      </c>
      <c r="D89" s="179">
        <f t="shared" si="6"/>
        <v>2070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72</v>
      </c>
      <c r="C90" s="191">
        <v>30</v>
      </c>
      <c r="D90" s="179">
        <f t="shared" si="6"/>
        <v>2160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69</v>
      </c>
      <c r="C91" s="191">
        <v>60</v>
      </c>
      <c r="D91" s="179">
        <f t="shared" si="6"/>
        <v>4140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67</v>
      </c>
      <c r="C92" s="191">
        <v>60</v>
      </c>
      <c r="D92" s="179">
        <f t="shared" si="6"/>
        <v>4020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63</v>
      </c>
      <c r="C93" s="191">
        <v>80</v>
      </c>
      <c r="D93" s="179">
        <f t="shared" si="6"/>
        <v>5040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58</v>
      </c>
      <c r="C94" s="191">
        <v>80</v>
      </c>
      <c r="D94" s="179">
        <f t="shared" si="6"/>
        <v>4640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53</v>
      </c>
      <c r="C95" s="191">
        <v>80</v>
      </c>
      <c r="D95" s="179">
        <f t="shared" si="6"/>
        <v>4240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130</v>
      </c>
      <c r="B96" s="181">
        <f>'Données projet'!D99</f>
        <v>47</v>
      </c>
      <c r="C96" s="191">
        <v>80</v>
      </c>
      <c r="D96" s="179">
        <f t="shared" si="6"/>
        <v>3760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140</v>
      </c>
      <c r="B97" s="181">
        <f>'Données projet'!D100</f>
        <v>41</v>
      </c>
      <c r="C97" s="191">
        <v>80</v>
      </c>
      <c r="D97" s="179">
        <f t="shared" si="6"/>
        <v>3280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150</v>
      </c>
      <c r="B98" s="181">
        <f>'Données projet'!D101</f>
        <v>37</v>
      </c>
      <c r="C98" s="191">
        <v>80</v>
      </c>
      <c r="D98" s="179">
        <f t="shared" si="6"/>
        <v>2960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/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2026-03-19T09:55:34Z</cp:lastPrinted>
  <dcterms:created xsi:type="dcterms:W3CDTF">2021-02-01T08:22:39Z</dcterms:created>
  <dcterms:modified xsi:type="dcterms:W3CDTF">2026-03-19T09:56:15Z</dcterms:modified>
</cp:coreProperties>
</file>