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2a4a3636af90c1be/Documents/Prestations/Reboisement/Fransylva Services - LBC/Legeay - Saint Mars d'Outille/"/>
    </mc:Choice>
  </mc:AlternateContent>
  <xr:revisionPtr revIDLastSave="99" documentId="8_{98E7D02E-8F57-4037-A0B4-2A52FDCAF7FA}" xr6:coauthVersionLast="47" xr6:coauthVersionMax="47" xr10:uidLastSave="{8A591D6D-367B-4E7E-B4AF-022ECB1FAB66}"/>
  <bookViews>
    <workbookView xWindow="-110" yWindow="-110" windowWidth="19420" windowHeight="1150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C4" i="2" l="1"/>
  <c r="BR4" i="2"/>
  <c r="BQ4" i="2"/>
  <c r="EA4" i="2"/>
  <c r="FR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EB7" i="2"/>
  <c r="HI7" i="2"/>
  <c r="EW7" i="2"/>
  <c r="EV7" i="2"/>
  <c r="EX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G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C14" i="2"/>
  <c r="HH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A18" i="2"/>
  <c r="EV18" i="2"/>
  <c r="EW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FS20" i="2"/>
  <c r="HH20" i="2"/>
  <c r="EC20" i="2"/>
  <c r="EW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EW21" i="2"/>
  <c r="HH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EC22" i="2"/>
  <c r="HG22" i="2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EX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HI28" i="2"/>
  <c r="EB28" i="2"/>
  <c r="FS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G38" i="2" l="1"/>
  <c r="FS38" i="2"/>
  <c r="EX38" i="2"/>
  <c r="HI38" i="2"/>
  <c r="EW38" i="2"/>
  <c r="EA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EW44" i="2"/>
  <c r="HH44" i="2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EC46" i="2"/>
  <c r="HI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H48" i="2"/>
  <c r="HG48" i="2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EC50" i="2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FS57" i="2"/>
  <c r="EV57" i="2"/>
  <c r="EB57" i="2"/>
  <c r="HG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B59" i="2"/>
  <c r="EA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G60" i="2" l="1"/>
  <c r="EW60" i="2"/>
  <c r="HH60" i="2"/>
  <c r="EV60" i="2"/>
  <c r="HI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HH62" i="2"/>
  <c r="EA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HG63" i="2"/>
  <c r="EB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W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H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G75" i="2"/>
  <c r="EA75" i="2"/>
  <c r="HH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B77" i="2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EB78" i="2"/>
  <c r="HI78" i="2"/>
  <c r="EW78" i="2"/>
  <c r="EV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HH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W85" i="2" l="1"/>
  <c r="HH85" i="2"/>
  <c r="EV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HG95" i="2"/>
  <c r="EB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X98" i="2"/>
  <c r="FS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V105" i="2" l="1"/>
  <c r="EA105" i="2"/>
  <c r="EB105" i="2"/>
  <c r="FS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C107" i="2"/>
  <c r="EB107" i="2"/>
  <c r="EX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FS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X112" i="2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G113" i="2" l="1"/>
  <c r="EC113" i="2"/>
  <c r="EB113" i="2"/>
  <c r="EX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G114" i="2" l="1"/>
  <c r="EV114" i="2"/>
  <c r="HH114" i="2"/>
  <c r="EW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C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FS118" i="2"/>
  <c r="EC118" i="2"/>
  <c r="FQ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HI120" i="2"/>
  <c r="FR120" i="2"/>
  <c r="FQ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A121" i="2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FS122" i="2"/>
  <c r="EW122" i="2"/>
  <c r="EC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G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G130" i="2" l="1"/>
  <c r="FS130" i="2"/>
  <c r="HI130" i="2"/>
  <c r="EW130" i="2"/>
  <c r="EX130" i="2"/>
  <c r="EB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EC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HI134" i="2"/>
  <c r="HG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V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EB139" i="2"/>
  <c r="EA139" i="2"/>
  <c r="FS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X140" i="2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HH141" i="2"/>
  <c r="FS141" i="2"/>
  <c r="EA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EA144" i="2"/>
  <c r="EB144" i="2"/>
  <c r="HH144" i="2"/>
  <c r="EX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H145" i="2" l="1"/>
  <c r="HG145" i="2"/>
  <c r="EX145" i="2"/>
  <c r="FR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EA146" i="2"/>
  <c r="HH146" i="2"/>
  <c r="FR146" i="2"/>
  <c r="HG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H150" i="2"/>
  <c r="HG150" i="2"/>
  <c r="EV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X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EB154" i="2" l="1"/>
  <c r="AB154" i="2"/>
  <c r="HG154" i="2"/>
  <c r="HJ154" i="2" s="1"/>
  <c r="EX154" i="2"/>
  <c r="AA154" i="2"/>
  <c r="EV154" i="2"/>
  <c r="EY154" i="2" s="1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EW155" i="2" l="1"/>
  <c r="ED154" i="2"/>
  <c r="EX155" i="2"/>
  <c r="DI154" i="2"/>
  <c r="EA155" i="2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HH156" i="2" l="1"/>
  <c r="FS156" i="2"/>
  <c r="ED155" i="2"/>
  <c r="EB156" i="2"/>
  <c r="AB156" i="2"/>
  <c r="DH156" i="2"/>
  <c r="EX156" i="2"/>
  <c r="HG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HH157" i="2"/>
  <c r="EA157" i="2"/>
  <c r="CN156" i="2"/>
  <c r="EC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C158" i="2" l="1"/>
  <c r="ED157" i="2"/>
  <c r="HH158" i="2"/>
  <c r="EV158" i="2"/>
  <c r="HG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ED158" i="2"/>
  <c r="EA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D159" i="2" l="1"/>
  <c r="EY159" i="2"/>
  <c r="HI160" i="2"/>
  <c r="DG160" i="2"/>
  <c r="FS160" i="2"/>
  <c r="EC160" i="2"/>
  <c r="H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HG161" i="2" l="1"/>
  <c r="EX161" i="2"/>
  <c r="ED160" i="2"/>
  <c r="EA161" i="2"/>
  <c r="EB161" i="2"/>
  <c r="FS161" i="2"/>
  <c r="A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EB162" i="2"/>
  <c r="EY161" i="2"/>
  <c r="EW162" i="2"/>
  <c r="DI161" i="2"/>
  <c r="HH162" i="2"/>
  <c r="EC162" i="2"/>
  <c r="FS162" i="2"/>
  <c r="AU162" i="2"/>
  <c r="EX162" i="2"/>
  <c r="EA162" i="2"/>
  <c r="ED162" i="2" s="1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A163" i="2" l="1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/>
  <c r="DI163" i="2" l="1"/>
  <c r="EA164" i="2"/>
  <c r="ED163" i="2"/>
  <c r="FR164" i="2"/>
  <c r="DH164" i="2"/>
  <c r="HG164" i="2"/>
  <c r="EX164" i="2"/>
  <c r="EV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EC166" i="2"/>
  <c r="CN165" i="2"/>
  <c r="FS166" i="2"/>
  <c r="HG166" i="2"/>
  <c r="HJ166" i="2" s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H167" i="2" l="1"/>
  <c r="EY166" i="2"/>
  <c r="EA167" i="2"/>
  <c r="EB167" i="2"/>
  <c r="DG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H168" i="2" l="1"/>
  <c r="DI167" i="2"/>
  <c r="EB168" i="2"/>
  <c r="HI168" i="2"/>
  <c r="DG168" i="2"/>
  <c r="EC168" i="2"/>
  <c r="EV168" i="2"/>
  <c r="EY168" i="2" s="1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EB169" i="2"/>
  <c r="FS169" i="2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HI172" i="2"/>
  <c r="EA172" i="2"/>
  <c r="ED171" i="2"/>
  <c r="EB172" i="2"/>
  <c r="HG172" i="2"/>
  <c r="EW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D172" i="2"/>
  <c r="EX173" i="2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EC174" i="2"/>
  <c r="HH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D174" i="2"/>
  <c r="EB175" i="2"/>
  <c r="EW175" i="2"/>
  <c r="EA175" i="2"/>
  <c r="FS175" i="2"/>
  <c r="HI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EC177" i="2"/>
  <c r="EW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EA178" i="2"/>
  <c r="EW178" i="2"/>
  <c r="EB178" i="2"/>
  <c r="ED177" i="2"/>
  <c r="HH178" i="2"/>
  <c r="HG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EB179" i="2"/>
  <c r="HI179" i="2"/>
  <c r="HH179" i="2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HI180" i="2" l="1"/>
  <c r="EY179" i="2"/>
  <c r="EX180" i="2"/>
  <c r="ED179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FS181" i="2" l="1"/>
  <c r="EW181" i="2"/>
  <c r="ED180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X182" i="2"/>
  <c r="DG182" i="2"/>
  <c r="EC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 l="1"/>
  <c r="FS183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Y184" i="2" l="1"/>
  <c r="EW185" i="2"/>
  <c r="ED184" i="2"/>
  <c r="HI185" i="2"/>
  <c r="EB185" i="2"/>
  <c r="HH185" i="2"/>
  <c r="HG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EA186" i="2"/>
  <c r="HG186" i="2"/>
  <c r="EW186" i="2"/>
  <c r="EB186" i="2"/>
  <c r="FR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C187" i="2" l="1"/>
  <c r="HG187" i="2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HH188" i="2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Y188" i="2" l="1"/>
  <c r="HH189" i="2"/>
  <c r="AA189" i="2"/>
  <c r="EB189" i="2"/>
  <c r="EV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HG190" i="2" l="1"/>
  <c r="EW190" i="2"/>
  <c r="EY189" i="2"/>
  <c r="ED189" i="2"/>
  <c r="EV190" i="2"/>
  <c r="HH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G191" i="2" l="1"/>
  <c r="HI191" i="2"/>
  <c r="ED190" i="2"/>
  <c r="HH191" i="2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HI192" i="2"/>
  <c r="EC192" i="2"/>
  <c r="EW192" i="2"/>
  <c r="HG192" i="2"/>
  <c r="EA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Y192" i="2" l="1"/>
  <c r="ED192" i="2"/>
  <c r="EB193" i="2"/>
  <c r="EA193" i="2"/>
  <c r="DI192" i="2"/>
  <c r="EX193" i="2"/>
  <c r="FQ193" i="2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FQ194" i="2" l="1"/>
  <c r="HG194" i="2"/>
  <c r="EB194" i="2"/>
  <c r="HI194" i="2"/>
  <c r="ED193" i="2"/>
  <c r="EA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FQ195" i="2" l="1"/>
  <c r="EY194" i="2"/>
  <c r="AA195" i="2"/>
  <c r="ED194" i="2"/>
  <c r="EX195" i="2"/>
  <c r="HI195" i="2"/>
  <c r="EB195" i="2"/>
  <c r="EA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EW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Y196" i="2" l="1"/>
  <c r="AA197" i="2"/>
  <c r="FS197" i="2"/>
  <c r="HH197" i="2"/>
  <c r="EA197" i="2"/>
  <c r="EW197" i="2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HI198" i="2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W199" i="2" l="1"/>
  <c r="EY198" i="2"/>
  <c r="EV199" i="2"/>
  <c r="FS199" i="2"/>
  <c r="EA199" i="2"/>
  <c r="HH199" i="2"/>
  <c r="EB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BX4" i="2" s="1" a="1"/>
  <c r="BX4" i="2" s="1"/>
  <c r="BY4" i="2" s="1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EI4" i="2" a="1"/>
  <c r="EI4" i="2" s="1"/>
  <c r="EJ4" i="2" s="1"/>
  <c r="AX198" i="2"/>
  <c r="FS201" i="2" l="1"/>
  <c r="DI200" i="2"/>
  <c r="ED200" i="2"/>
  <c r="EA201" i="2"/>
  <c r="EB201" i="2"/>
  <c r="HH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S6" i="2" s="1" a="1"/>
  <c r="CS6" i="2" s="1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5" i="2" a="1"/>
  <c r="CS5" i="2" s="1"/>
  <c r="CT5" i="2" s="1"/>
  <c r="AX199" i="2"/>
  <c r="FS202" i="2" l="1"/>
  <c r="HI202" i="2"/>
  <c r="EW202" i="2"/>
  <c r="ED201" i="2"/>
  <c r="HG202" i="2"/>
  <c r="FR202" i="2"/>
  <c r="EX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GR203" i="2"/>
  <c r="GG203" i="2"/>
  <c r="GS203" i="2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D188" i="2" a="1"/>
  <c r="FD188" i="2" s="1"/>
  <c r="FD48" i="2" a="1"/>
  <c r="FD48" i="2" s="1"/>
  <c r="FD189" i="2" a="1"/>
  <c r="FD189" i="2" s="1"/>
  <c r="FD167" i="2" a="1"/>
  <c r="FD167" i="2" s="1"/>
  <c r="FD159" i="2" a="1"/>
  <c r="FD159" i="2" s="1"/>
  <c r="BC7" i="2" a="1"/>
  <c r="BC7" i="2" s="1"/>
  <c r="BC151" i="2" a="1"/>
  <c r="BC151" i="2" s="1"/>
  <c r="BC83" i="2" a="1"/>
  <c r="BC83" i="2" s="1"/>
  <c r="EI35" i="2" a="1"/>
  <c r="EI35" i="2" s="1"/>
  <c r="EI37" i="2" a="1"/>
  <c r="EI37" i="2" s="1"/>
  <c r="DN6" i="2" a="1"/>
  <c r="DN6" i="2" s="1"/>
  <c r="DO6" i="2" s="1"/>
  <c r="CS24" i="2" a="1"/>
  <c r="CS24" i="2" s="1"/>
  <c r="FD82" i="2" a="1"/>
  <c r="FD82" i="2" s="1"/>
  <c r="HJ202" i="2"/>
  <c r="AX200" i="2"/>
  <c r="FY74" i="2" l="1" a="1"/>
  <c r="FY74" i="2" s="1"/>
  <c r="FY142" i="2" a="1"/>
  <c r="FY142" i="2" s="1"/>
  <c r="FY50" i="2" a="1"/>
  <c r="FY50" i="2" s="1"/>
  <c r="GT203" i="2" a="1"/>
  <c r="GT203" i="2" s="1"/>
  <c r="GT102" i="2" a="1"/>
  <c r="GT102" i="2" s="1"/>
  <c r="GT11" i="2" a="1"/>
  <c r="GT11" i="2" s="1"/>
  <c r="GT138" i="2" a="1"/>
  <c r="GT138" i="2" s="1"/>
  <c r="GT15" i="2" a="1"/>
  <c r="GT15" i="2" s="1"/>
  <c r="CS137" i="2" a="1"/>
  <c r="CS137" i="2" s="1"/>
  <c r="EI139" i="2" a="1"/>
  <c r="EI139" i="2" s="1"/>
  <c r="EI16" i="2" a="1"/>
  <c r="EI16" i="2" s="1"/>
  <c r="EI195" i="2" a="1"/>
  <c r="EI195" i="2" s="1"/>
  <c r="EI113" i="2" a="1"/>
  <c r="EI113" i="2" s="1"/>
  <c r="EI166" i="2" a="1"/>
  <c r="EI166" i="2" s="1"/>
  <c r="EI67" i="2" a="1"/>
  <c r="EI67" i="2" s="1"/>
  <c r="EI128" i="2" a="1"/>
  <c r="EI128" i="2" s="1"/>
  <c r="EI170" i="2" a="1"/>
  <c r="EI170" i="2" s="1"/>
  <c r="EI38" i="2" a="1"/>
  <c r="EI38" i="2" s="1"/>
  <c r="CS52" i="2" a="1"/>
  <c r="CS52" i="2" s="1"/>
  <c r="CS116" i="2" a="1"/>
  <c r="CS116" i="2" s="1"/>
  <c r="CS66" i="2" a="1"/>
  <c r="CS66" i="2" s="1"/>
  <c r="CS120" i="2" a="1"/>
  <c r="CS120" i="2" s="1"/>
  <c r="CS129" i="2" a="1"/>
  <c r="CS129" i="2" s="1"/>
  <c r="CS72" i="2" a="1"/>
  <c r="CS72" i="2" s="1"/>
  <c r="CS134" i="2" a="1"/>
  <c r="CS134" i="2" s="1"/>
  <c r="BC143" i="2" a="1"/>
  <c r="BC143" i="2" s="1"/>
  <c r="BC18" i="2" a="1"/>
  <c r="BC18" i="2" s="1"/>
  <c r="BC38" i="2" a="1"/>
  <c r="BC38" i="2" s="1"/>
  <c r="BC185" i="2" a="1"/>
  <c r="BC185" i="2" s="1"/>
  <c r="BC130" i="2" a="1"/>
  <c r="BC130" i="2" s="1"/>
  <c r="BC65" i="2" a="1"/>
  <c r="BC65" i="2" s="1"/>
  <c r="EY202" i="2"/>
  <c r="BC181" i="2" a="1"/>
  <c r="BC181" i="2" s="1"/>
  <c r="BC114" i="2" a="1"/>
  <c r="BC114" i="2" s="1"/>
  <c r="BC31" i="2" a="1"/>
  <c r="BC31" i="2" s="1"/>
  <c r="BC84" i="2" a="1"/>
  <c r="BC84" i="2" s="1"/>
  <c r="BC55" i="2" a="1"/>
  <c r="BC55" i="2" s="1"/>
  <c r="BC126" i="2" a="1"/>
  <c r="BC126" i="2" s="1"/>
  <c r="BC82" i="2" a="1"/>
  <c r="BC82" i="2" s="1"/>
  <c r="BC47" i="2" a="1"/>
  <c r="BC47" i="2" s="1"/>
  <c r="DN70" i="2" a="1"/>
  <c r="DN70" i="2" s="1"/>
  <c r="DN63" i="2" a="1"/>
  <c r="DN63" i="2" s="1"/>
  <c r="DN113" i="2" a="1"/>
  <c r="DN113" i="2" s="1"/>
  <c r="DN103" i="2" a="1"/>
  <c r="DN103" i="2" s="1"/>
  <c r="CS185" i="2" a="1"/>
  <c r="CS185" i="2" s="1"/>
  <c r="CS114" i="2" a="1"/>
  <c r="CS114" i="2" s="1"/>
  <c r="CS56" i="2" a="1"/>
  <c r="CS56" i="2" s="1"/>
  <c r="CS38" i="2" a="1"/>
  <c r="CS38" i="2" s="1"/>
  <c r="CS105" i="2" a="1"/>
  <c r="CS105" i="2" s="1"/>
  <c r="CS161" i="2" a="1"/>
  <c r="CS161" i="2" s="1"/>
  <c r="CS77" i="2" a="1"/>
  <c r="CS77" i="2" s="1"/>
  <c r="BC32" i="2" a="1"/>
  <c r="BC32" i="2" s="1"/>
  <c r="BC164" i="2" a="1"/>
  <c r="BC164" i="2" s="1"/>
  <c r="BC58" i="2" a="1"/>
  <c r="BC58" i="2" s="1"/>
  <c r="BC68" i="2" a="1"/>
  <c r="BC68" i="2" s="1"/>
  <c r="BC192" i="2" a="1"/>
  <c r="BC192" i="2" s="1"/>
  <c r="BC34" i="2" a="1"/>
  <c r="BC34" i="2" s="1"/>
  <c r="DN55" i="2" a="1"/>
  <c r="DN55" i="2" s="1"/>
  <c r="DN25" i="2" a="1"/>
  <c r="DN25" i="2" s="1"/>
  <c r="DN123" i="2" a="1"/>
  <c r="DN123" i="2" s="1"/>
  <c r="BX107" i="2" a="1"/>
  <c r="BX107" i="2" s="1"/>
  <c r="DN16" i="2" a="1"/>
  <c r="DN16" i="2" s="1"/>
  <c r="DN150" i="2" a="1"/>
  <c r="DN150" i="2" s="1"/>
  <c r="DN43" i="2" a="1"/>
  <c r="DN43" i="2" s="1"/>
  <c r="FY196" i="2" a="1"/>
  <c r="FY196" i="2" s="1"/>
  <c r="GT122" i="2" a="1"/>
  <c r="GT122" i="2" s="1"/>
  <c r="FS203" i="2"/>
  <c r="DN30" i="2" a="1"/>
  <c r="DN30" i="2" s="1"/>
  <c r="DN135" i="2" a="1"/>
  <c r="DN135" i="2" s="1"/>
  <c r="EI34" i="2" a="1"/>
  <c r="EI34" i="2" s="1"/>
  <c r="GT74" i="2" a="1"/>
  <c r="GT74" i="2" s="1"/>
  <c r="DN86" i="2" a="1"/>
  <c r="DN86" i="2" s="1"/>
  <c r="GT51" i="2" a="1"/>
  <c r="GT51" i="2" s="1"/>
  <c r="FY104" i="2" a="1"/>
  <c r="FY104" i="2" s="1"/>
  <c r="GT107" i="2" a="1"/>
  <c r="GT107" i="2" s="1"/>
  <c r="DN29" i="2" a="1"/>
  <c r="DN29" i="2" s="1"/>
  <c r="GT190" i="2" a="1"/>
  <c r="GT190" i="2" s="1"/>
  <c r="DN41" i="2" a="1"/>
  <c r="DN41" i="2" s="1"/>
  <c r="GT133" i="2" a="1"/>
  <c r="GT133" i="2" s="1"/>
  <c r="GT38" i="2" a="1"/>
  <c r="GT38" i="2" s="1"/>
  <c r="DN186" i="2" a="1"/>
  <c r="DN186" i="2" s="1"/>
  <c r="DN164" i="2" a="1"/>
  <c r="DN164" i="2" s="1"/>
  <c r="DN137" i="2" a="1"/>
  <c r="DN137" i="2" s="1"/>
  <c r="GT178" i="2" a="1"/>
  <c r="GT178" i="2" s="1"/>
  <c r="GT68" i="2" a="1"/>
  <c r="GT68" i="2" s="1"/>
  <c r="AH163" i="2" a="1"/>
  <c r="AH163" i="2" s="1"/>
  <c r="DN115" i="2" a="1"/>
  <c r="DN115" i="2" s="1"/>
  <c r="DN124" i="2" a="1"/>
  <c r="DN124" i="2" s="1"/>
  <c r="GT181" i="2" a="1"/>
  <c r="GT181" i="2" s="1"/>
  <c r="AH92" i="2" a="1"/>
  <c r="AH92" i="2" s="1"/>
  <c r="DN187" i="2" a="1"/>
  <c r="DN187" i="2" s="1"/>
  <c r="DN184" i="2" a="1"/>
  <c r="DN184" i="2" s="1"/>
  <c r="DN31" i="2" a="1"/>
  <c r="DN31" i="2" s="1"/>
  <c r="DN152" i="2" a="1"/>
  <c r="DN152" i="2" s="1"/>
  <c r="GT174" i="2" a="1"/>
  <c r="GT174" i="2" s="1"/>
  <c r="DN192" i="2" a="1"/>
  <c r="DN192" i="2" s="1"/>
  <c r="GT126" i="2" a="1"/>
  <c r="GT126" i="2" s="1"/>
  <c r="DN38" i="2" a="1"/>
  <c r="DN38" i="2" s="1"/>
  <c r="DN177" i="2" a="1"/>
  <c r="DN177" i="2" s="1"/>
  <c r="AH62" i="2" a="1"/>
  <c r="AH62" i="2" s="1"/>
  <c r="DN153" i="2" a="1"/>
  <c r="DN153" i="2" s="1"/>
  <c r="GT184" i="2" a="1"/>
  <c r="GT184" i="2" s="1"/>
  <c r="FY78" i="2" a="1"/>
  <c r="FY78" i="2" s="1"/>
  <c r="DN110" i="2" a="1"/>
  <c r="DN110" i="2" s="1"/>
  <c r="GT147" i="2" a="1"/>
  <c r="GT147" i="2" s="1"/>
  <c r="GT152" i="2" a="1"/>
  <c r="GT152" i="2" s="1"/>
  <c r="FY30" i="2" a="1"/>
  <c r="FY30" i="2" s="1"/>
  <c r="GT121" i="2" a="1"/>
  <c r="GT121" i="2" s="1"/>
  <c r="EI165" i="2" a="1"/>
  <c r="EI165" i="2" s="1"/>
  <c r="EI71" i="2" a="1"/>
  <c r="EI71" i="2" s="1"/>
  <c r="EI57" i="2" a="1"/>
  <c r="EI57" i="2" s="1"/>
  <c r="DN80" i="2" a="1"/>
  <c r="DN80" i="2" s="1"/>
  <c r="EI36" i="2" a="1"/>
  <c r="EI36" i="2" s="1"/>
  <c r="GT21" i="2" a="1"/>
  <c r="GT21" i="2" s="1"/>
  <c r="AH199" i="2" a="1"/>
  <c r="AH199" i="2" s="1"/>
  <c r="DN170" i="2" a="1"/>
  <c r="DN170" i="2" s="1"/>
  <c r="DN155" i="2" a="1"/>
  <c r="DN155" i="2" s="1"/>
  <c r="GT115" i="2" a="1"/>
  <c r="GT115" i="2" s="1"/>
  <c r="FY186" i="2" a="1"/>
  <c r="FY186" i="2" s="1"/>
  <c r="DN167" i="2" a="1"/>
  <c r="DN167" i="2" s="1"/>
  <c r="DN45" i="2" a="1"/>
  <c r="DN45" i="2" s="1"/>
  <c r="GT33" i="2" a="1"/>
  <c r="GT33" i="2" s="1"/>
  <c r="DN162" i="2" a="1"/>
  <c r="DN162" i="2" s="1"/>
  <c r="DN49" i="2" a="1"/>
  <c r="DN49" i="2" s="1"/>
  <c r="DN66" i="2" a="1"/>
  <c r="DN66" i="2" s="1"/>
  <c r="DN132" i="2" a="1"/>
  <c r="DN132" i="2" s="1"/>
  <c r="DN188" i="2" a="1"/>
  <c r="DN188" i="2" s="1"/>
  <c r="FY190" i="2" a="1"/>
  <c r="FY190" i="2" s="1"/>
  <c r="GT189" i="2" a="1"/>
  <c r="GT189" i="2" s="1"/>
  <c r="DN190" i="2" a="1"/>
  <c r="DN190" i="2" s="1"/>
  <c r="DN133" i="2" a="1"/>
  <c r="DN133" i="2" s="1"/>
  <c r="EI87" i="2" a="1"/>
  <c r="EI87" i="2" s="1"/>
  <c r="GT12" i="2" a="1"/>
  <c r="GT12" i="2" s="1"/>
  <c r="DN129" i="2" a="1"/>
  <c r="DN129" i="2" s="1"/>
  <c r="EI142" i="2" a="1"/>
  <c r="EI142" i="2" s="1"/>
  <c r="DN56" i="2" a="1"/>
  <c r="DN56" i="2" s="1"/>
  <c r="FY69" i="2" a="1"/>
  <c r="FY69" i="2" s="1"/>
  <c r="GT191" i="2" a="1"/>
  <c r="GT191" i="2" s="1"/>
  <c r="EI20" i="2" a="1"/>
  <c r="EI20" i="2" s="1"/>
  <c r="DN46" i="2" a="1"/>
  <c r="DN46" i="2" s="1"/>
  <c r="DN176" i="2" a="1"/>
  <c r="DN176" i="2" s="1"/>
  <c r="GT198" i="2" a="1"/>
  <c r="GT198" i="2" s="1"/>
  <c r="DN65" i="2" a="1"/>
  <c r="DN65" i="2" s="1"/>
  <c r="DN168" i="2" a="1"/>
  <c r="DN168" i="2" s="1"/>
  <c r="EI109" i="2" a="1"/>
  <c r="EI109" i="2" s="1"/>
  <c r="FD160" i="2" a="1"/>
  <c r="FD160" i="2" s="1"/>
  <c r="DN114" i="2" a="1"/>
  <c r="DN114" i="2" s="1"/>
  <c r="DN50" i="2" a="1"/>
  <c r="DN50" i="2" s="1"/>
  <c r="EI106" i="2" a="1"/>
  <c r="EI106" i="2" s="1"/>
  <c r="BC117" i="2" a="1"/>
  <c r="BC117" i="2" s="1"/>
  <c r="FY35" i="2" a="1"/>
  <c r="FY35" i="2" s="1"/>
  <c r="AH166" i="2" a="1"/>
  <c r="AH166" i="2" s="1"/>
  <c r="AH90" i="2" a="1"/>
  <c r="AH90" i="2" s="1"/>
  <c r="AH19" i="2" a="1"/>
  <c r="AH19" i="2" s="1"/>
  <c r="AH151" i="2" a="1"/>
  <c r="AH151" i="2" s="1"/>
  <c r="FD107" i="2" a="1"/>
  <c r="FD107" i="2" s="1"/>
  <c r="FD44" i="2" a="1"/>
  <c r="FD44" i="2" s="1"/>
  <c r="FY42" i="2" a="1"/>
  <c r="FY42" i="2" s="1"/>
  <c r="EI153" i="2" a="1"/>
  <c r="EI153" i="2" s="1"/>
  <c r="FY34" i="2" a="1"/>
  <c r="FY34" i="2" s="1"/>
  <c r="FY72" i="2" a="1"/>
  <c r="FY72" i="2" s="1"/>
  <c r="FY174" i="2" a="1"/>
  <c r="FY174" i="2" s="1"/>
  <c r="FY173" i="2" a="1"/>
  <c r="FY173" i="2" s="1"/>
  <c r="FY66" i="2" a="1"/>
  <c r="FY66" i="2" s="1"/>
  <c r="FY165" i="2" a="1"/>
  <c r="FY165" i="2" s="1"/>
  <c r="FY109" i="2" a="1"/>
  <c r="FY109" i="2" s="1"/>
  <c r="HG203" i="2"/>
  <c r="FY164" i="2" a="1"/>
  <c r="FY164" i="2" s="1"/>
  <c r="FY99" i="2" a="1"/>
  <c r="FY99" i="2" s="1"/>
  <c r="FY159" i="2" a="1"/>
  <c r="FY159" i="2" s="1"/>
  <c r="FY120" i="2" a="1"/>
  <c r="FY120" i="2" s="1"/>
  <c r="FY146" i="2" a="1"/>
  <c r="FY146" i="2" s="1"/>
  <c r="FY79" i="2" a="1"/>
  <c r="FY79" i="2" s="1"/>
  <c r="FD187" i="2" a="1"/>
  <c r="FD187" i="2" s="1"/>
  <c r="FD131" i="2" a="1"/>
  <c r="FD131" i="2" s="1"/>
  <c r="FD60" i="2" a="1"/>
  <c r="FD60" i="2" s="1"/>
  <c r="FY82" i="2" a="1"/>
  <c r="FY82" i="2" s="1"/>
  <c r="EI178" i="2" a="1"/>
  <c r="EI178" i="2" s="1"/>
  <c r="EI198" i="2" a="1"/>
  <c r="EI198" i="2" s="1"/>
  <c r="FY149" i="2" a="1"/>
  <c r="FY149" i="2" s="1"/>
  <c r="FY178" i="2" a="1"/>
  <c r="FY178" i="2" s="1"/>
  <c r="FY116" i="2" a="1"/>
  <c r="FY116" i="2" s="1"/>
  <c r="FY143" i="2" a="1"/>
  <c r="FY143" i="2" s="1"/>
  <c r="FY71" i="2" a="1"/>
  <c r="FY71" i="2" s="1"/>
  <c r="FY32" i="2" a="1"/>
  <c r="FY32" i="2" s="1"/>
  <c r="FY47" i="2" a="1"/>
  <c r="FY47" i="2" s="1"/>
  <c r="FD194" i="2" a="1"/>
  <c r="FD194" i="2" s="1"/>
  <c r="FD43" i="2" a="1"/>
  <c r="FD43" i="2" s="1"/>
  <c r="FY121" i="2" a="1"/>
  <c r="FY121" i="2" s="1"/>
  <c r="FY182" i="2" a="1"/>
  <c r="FY182" i="2" s="1"/>
  <c r="EI145" i="2" a="1"/>
  <c r="EI145" i="2" s="1"/>
  <c r="FD59" i="2" a="1"/>
  <c r="FD59" i="2" s="1"/>
  <c r="FY24" i="2" a="1"/>
  <c r="FY24" i="2" s="1"/>
  <c r="FY55" i="2" a="1"/>
  <c r="FY55" i="2" s="1"/>
  <c r="FY92" i="2" a="1"/>
  <c r="FY92" i="2" s="1"/>
  <c r="FY191" i="2" a="1"/>
  <c r="FY191" i="2" s="1"/>
  <c r="FY18" i="2" a="1"/>
  <c r="FY18" i="2" s="1"/>
  <c r="FY22" i="2" a="1"/>
  <c r="FY22" i="2" s="1"/>
  <c r="FR203" i="2"/>
  <c r="FD19" i="2" a="1"/>
  <c r="FD19" i="2" s="1"/>
  <c r="FD64" i="2" a="1"/>
  <c r="FD64" i="2" s="1"/>
  <c r="FY167" i="2" a="1"/>
  <c r="FY167" i="2" s="1"/>
  <c r="FY115" i="2" a="1"/>
  <c r="FY115" i="2" s="1"/>
  <c r="EI162" i="2" a="1"/>
  <c r="EI162" i="2" s="1"/>
  <c r="FD144" i="2" a="1"/>
  <c r="FD144" i="2" s="1"/>
  <c r="FY124" i="2" a="1"/>
  <c r="FY124" i="2" s="1"/>
  <c r="FY126" i="2" a="1"/>
  <c r="FY126" i="2" s="1"/>
  <c r="FY111" i="2" a="1"/>
  <c r="FY111" i="2" s="1"/>
  <c r="FY110" i="2" a="1"/>
  <c r="FY110" i="2" s="1"/>
  <c r="FY133" i="2" a="1"/>
  <c r="FY133" i="2" s="1"/>
  <c r="FY90" i="2" a="1"/>
  <c r="FY90" i="2" s="1"/>
  <c r="FY86" i="2" a="1"/>
  <c r="FY86" i="2" s="1"/>
  <c r="EI150" i="2" a="1"/>
  <c r="EI150" i="2" s="1"/>
  <c r="FD21" i="2" a="1"/>
  <c r="FD21" i="2" s="1"/>
  <c r="FY169" i="2" a="1"/>
  <c r="FY169" i="2" s="1"/>
  <c r="FY188" i="2" a="1"/>
  <c r="FY188" i="2" s="1"/>
  <c r="FY73" i="2" a="1"/>
  <c r="FY73" i="2" s="1"/>
  <c r="FY153" i="2" a="1"/>
  <c r="FY153" i="2" s="1"/>
  <c r="FY140" i="2" a="1"/>
  <c r="FY140" i="2" s="1"/>
  <c r="FY57" i="2" a="1"/>
  <c r="FY57" i="2" s="1"/>
  <c r="FD137" i="2" a="1"/>
  <c r="FD137" i="2" s="1"/>
  <c r="FD14" i="2" a="1"/>
  <c r="FD14" i="2" s="1"/>
  <c r="FY80" i="2" a="1"/>
  <c r="FY80" i="2" s="1"/>
  <c r="FY58" i="2" a="1"/>
  <c r="FY58" i="2" s="1"/>
  <c r="EI29" i="2" a="1"/>
  <c r="EI29" i="2" s="1"/>
  <c r="FY172" i="2" a="1"/>
  <c r="FY172" i="2" s="1"/>
  <c r="FY62" i="2" a="1"/>
  <c r="FY62" i="2" s="1"/>
  <c r="FY28" i="2" a="1"/>
  <c r="FY28" i="2" s="1"/>
  <c r="FY152" i="2" a="1"/>
  <c r="FY152" i="2" s="1"/>
  <c r="FY102" i="2" a="1"/>
  <c r="FY102" i="2" s="1"/>
  <c r="FY29" i="2" a="1"/>
  <c r="FY29" i="2" s="1"/>
  <c r="FY54" i="2" a="1"/>
  <c r="FY54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8" i="2" l="1"/>
  <c r="FZ9" i="2" s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EY203" i="2"/>
  <c r="ED203" i="2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AN203" i="2" l="1"/>
  <c r="AN97" i="2"/>
  <c r="AN37" i="2"/>
  <c r="AN176" i="2"/>
  <c r="AN17" i="2"/>
  <c r="AN109" i="2"/>
  <c r="AN74" i="2"/>
  <c r="AN196" i="2"/>
  <c r="AN76" i="2"/>
  <c r="AN113" i="2"/>
  <c r="AN57" i="2"/>
  <c r="AN120" i="2"/>
  <c r="AN167" i="2"/>
  <c r="AN59" i="2"/>
  <c r="AN94" i="2"/>
  <c r="AN172" i="2"/>
  <c r="AN181" i="2"/>
  <c r="AN81" i="2"/>
  <c r="AN165" i="2"/>
  <c r="AN92" i="2"/>
  <c r="AN82" i="2"/>
  <c r="AN125" i="2"/>
  <c r="AN54" i="2"/>
  <c r="AN146" i="2"/>
  <c r="AN90" i="2"/>
  <c r="AN147" i="2"/>
  <c r="AN77" i="2"/>
  <c r="AN64" i="2"/>
  <c r="AN69" i="2"/>
  <c r="AN171" i="2"/>
  <c r="AN122" i="2"/>
  <c r="AN7" i="2"/>
  <c r="AN148" i="2"/>
  <c r="AN117" i="2"/>
  <c r="AN182" i="2"/>
  <c r="AN110" i="2"/>
  <c r="AN137" i="2"/>
  <c r="AN193" i="2"/>
  <c r="AN51" i="2"/>
  <c r="AN18" i="2"/>
  <c r="AN107" i="2"/>
  <c r="AN195" i="2"/>
  <c r="AN190" i="2"/>
  <c r="AN49" i="2"/>
  <c r="AN55" i="2"/>
  <c r="AN3" i="2"/>
  <c r="C7" i="4" s="1"/>
  <c r="E7" i="4" s="1"/>
  <c r="F7" i="4" s="1"/>
  <c r="G7" i="4" s="1"/>
  <c r="L7" i="4" s="1"/>
  <c r="AN183" i="2"/>
  <c r="AN185" i="2"/>
  <c r="AN88" i="2"/>
  <c r="AN83" i="2"/>
  <c r="AN73" i="2"/>
  <c r="AN39" i="2"/>
  <c r="AN53" i="2"/>
  <c r="AN100" i="2"/>
  <c r="AN175" i="2"/>
  <c r="AN62" i="2"/>
  <c r="AN105" i="2"/>
  <c r="AN121" i="2"/>
  <c r="AN188" i="2"/>
  <c r="AN124" i="2"/>
  <c r="AN20" i="2"/>
  <c r="AN47" i="2"/>
  <c r="AN96" i="2"/>
  <c r="AN104" i="2"/>
  <c r="AN56" i="2"/>
  <c r="AN136" i="2"/>
  <c r="AN140" i="2"/>
  <c r="AN58" i="2"/>
  <c r="AN145" i="2"/>
  <c r="AN108" i="2"/>
  <c r="AN72" i="2"/>
  <c r="AN19" i="2"/>
  <c r="AN200" i="2"/>
  <c r="AN194" i="2"/>
  <c r="AN12" i="2"/>
  <c r="AN186" i="2"/>
  <c r="AN134" i="2"/>
  <c r="AN33" i="2"/>
  <c r="AN132" i="2"/>
  <c r="AN31" i="2"/>
  <c r="AN91" i="2"/>
  <c r="AN103" i="2"/>
  <c r="AN198" i="2"/>
  <c r="AN173" i="2"/>
  <c r="AN142" i="2"/>
  <c r="AN66" i="2"/>
  <c r="AN35" i="2"/>
  <c r="AN111" i="2"/>
  <c r="AN155" i="2"/>
  <c r="AN179" i="2"/>
  <c r="AN40" i="2"/>
  <c r="AN154" i="2"/>
  <c r="AN80" i="2"/>
  <c r="AN16" i="2"/>
  <c r="AN101" i="2"/>
  <c r="AN21" i="2"/>
  <c r="AN112" i="2"/>
  <c r="AN14" i="2"/>
  <c r="AN158" i="2"/>
  <c r="AN32" i="2"/>
  <c r="AN10" i="2"/>
  <c r="AN187" i="2"/>
  <c r="AN166" i="2"/>
  <c r="AN184" i="2"/>
  <c r="AN163" i="2"/>
  <c r="AN68" i="2"/>
  <c r="AN118" i="2"/>
  <c r="AN23" i="2"/>
  <c r="AN116" i="2"/>
  <c r="AN135" i="2"/>
  <c r="AN27" i="2"/>
  <c r="AN156" i="2"/>
  <c r="AN70" i="2"/>
  <c r="AN180" i="2"/>
  <c r="AN131" i="2"/>
  <c r="AN28" i="2"/>
  <c r="AN202" i="2"/>
  <c r="AN159" i="2"/>
  <c r="AN168" i="2"/>
  <c r="AN115" i="2"/>
  <c r="AN60" i="2"/>
  <c r="AN177" i="2"/>
  <c r="AN119" i="2"/>
  <c r="AN78" i="2"/>
  <c r="AN30" i="2"/>
  <c r="AN149" i="2"/>
  <c r="AN178" i="2"/>
  <c r="AN36" i="2"/>
  <c r="AN102" i="2"/>
  <c r="AN87" i="2"/>
  <c r="AN71" i="2"/>
  <c r="AN128" i="2"/>
  <c r="AN129" i="2"/>
  <c r="AN43" i="2"/>
  <c r="AN67" i="2"/>
  <c r="AN157" i="2"/>
  <c r="AN138" i="2"/>
  <c r="AN199" i="2"/>
  <c r="AN15" i="2"/>
  <c r="AN41" i="2"/>
  <c r="AN130" i="2"/>
  <c r="AN86" i="2"/>
  <c r="AN13" i="2"/>
  <c r="AN170" i="2"/>
  <c r="AN191" i="2"/>
  <c r="AN99" i="2"/>
  <c r="AN85" i="2"/>
  <c r="AN63" i="2"/>
  <c r="AN11" i="2"/>
  <c r="AN161" i="2"/>
  <c r="AN160" i="2"/>
  <c r="AN38" i="2"/>
  <c r="AN52" i="2"/>
  <c r="AN162" i="2"/>
  <c r="AN169" i="2"/>
  <c r="AN197" i="2"/>
  <c r="AN44" i="2"/>
  <c r="AN106" i="2"/>
  <c r="AN4" i="2"/>
  <c r="AN133" i="2"/>
  <c r="AN164" i="2"/>
  <c r="AN50" i="2"/>
  <c r="AN5" i="2"/>
  <c r="AN143" i="2"/>
  <c r="AN75" i="2"/>
  <c r="AN8" i="2"/>
  <c r="AN192" i="2"/>
  <c r="AN89" i="2"/>
  <c r="AN201" i="2"/>
  <c r="AN34" i="2"/>
  <c r="AN127" i="2"/>
  <c r="AN144" i="2"/>
  <c r="AN123" i="2"/>
  <c r="AN84" i="2"/>
  <c r="AN29" i="2"/>
  <c r="AN6" i="2"/>
  <c r="AN150" i="2"/>
  <c r="AN79" i="2"/>
  <c r="AN152" i="2"/>
  <c r="AN153" i="2"/>
  <c r="AN65" i="2"/>
  <c r="AN93" i="2"/>
  <c r="AN9" i="2"/>
  <c r="AN26" i="2"/>
  <c r="AN174" i="2"/>
  <c r="AN139" i="2"/>
  <c r="AN98" i="2"/>
  <c r="AN25" i="2"/>
  <c r="AN126" i="2"/>
  <c r="AN151" i="2"/>
  <c r="AN48" i="2"/>
  <c r="AN189" i="2"/>
  <c r="AN24" i="2"/>
  <c r="AN61" i="2"/>
  <c r="AN42" i="2"/>
  <c r="AN141" i="2"/>
  <c r="AN45" i="2"/>
  <c r="AN46" i="2"/>
  <c r="AN114" i="2"/>
  <c r="AN22" i="2"/>
  <c r="AN95" i="2"/>
  <c r="FE188" i="2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CD83" i="2" l="1"/>
  <c r="CD11" i="2"/>
  <c r="CD203" i="2"/>
  <c r="CD118" i="2"/>
  <c r="CD158" i="2"/>
  <c r="CD5" i="2"/>
  <c r="CD94" i="2"/>
  <c r="CD32" i="2"/>
  <c r="CD159" i="2"/>
  <c r="CD48" i="2"/>
  <c r="CD50" i="2"/>
  <c r="CD18" i="2"/>
  <c r="CD97" i="2"/>
  <c r="CD183" i="2"/>
  <c r="CD3" i="2"/>
  <c r="C9" i="4" s="1"/>
  <c r="E9" i="4" s="1"/>
  <c r="F9" i="4" s="1"/>
  <c r="G9" i="4" s="1"/>
  <c r="L9" i="4" s="1"/>
  <c r="CD96" i="2"/>
  <c r="CD116" i="2"/>
  <c r="CD139" i="2"/>
  <c r="CD59" i="2"/>
  <c r="CD31" i="2"/>
  <c r="CD170" i="2"/>
  <c r="CD140" i="2"/>
  <c r="CD141" i="2"/>
  <c r="CD81" i="2"/>
  <c r="CD188" i="2"/>
  <c r="CD114" i="2"/>
  <c r="CD77" i="2"/>
  <c r="CD142" i="2"/>
  <c r="CD164" i="2"/>
  <c r="CD37" i="2"/>
  <c r="CD202" i="2"/>
  <c r="CD190" i="2"/>
  <c r="CD193" i="2"/>
  <c r="CD176" i="2"/>
  <c r="CD68" i="2"/>
  <c r="CD107" i="2"/>
  <c r="CD184" i="2"/>
  <c r="CD56" i="2"/>
  <c r="CD72" i="2"/>
  <c r="CD76" i="2"/>
  <c r="CD104" i="2"/>
  <c r="CD109" i="2"/>
  <c r="CD112" i="2"/>
  <c r="CD192" i="2"/>
  <c r="CD91" i="2"/>
  <c r="CD20" i="2"/>
  <c r="CD8" i="2"/>
  <c r="CD186" i="2"/>
  <c r="CD30" i="2"/>
  <c r="CD105" i="2"/>
  <c r="CD153" i="2"/>
  <c r="CD146" i="2"/>
  <c r="CD162" i="2"/>
  <c r="CD126" i="2"/>
  <c r="CD130" i="2"/>
  <c r="CD15" i="2"/>
  <c r="CD43" i="2"/>
  <c r="CD54" i="2"/>
  <c r="CD199" i="2"/>
  <c r="CD27" i="2"/>
  <c r="CD154" i="2"/>
  <c r="CD103" i="2"/>
  <c r="CD127" i="2"/>
  <c r="CD67" i="2"/>
  <c r="CD79" i="2"/>
  <c r="CD123" i="2"/>
  <c r="CD137" i="2"/>
  <c r="CD26" i="2"/>
  <c r="CD124" i="2"/>
  <c r="CD17" i="2"/>
  <c r="CD171" i="2"/>
  <c r="CD113" i="2"/>
  <c r="CD40" i="2"/>
  <c r="CD156" i="2"/>
  <c r="CD78" i="2"/>
  <c r="CD173" i="2"/>
  <c r="CD74" i="2"/>
  <c r="CD155" i="2"/>
  <c r="CD6" i="2"/>
  <c r="CD132" i="2"/>
  <c r="CD181" i="2"/>
  <c r="CD47" i="2"/>
  <c r="CD63" i="2"/>
  <c r="CD64" i="2"/>
  <c r="CD70" i="2"/>
  <c r="CD92" i="2"/>
  <c r="CD194" i="2"/>
  <c r="CD133" i="2"/>
  <c r="CD196" i="2"/>
  <c r="CD152" i="2"/>
  <c r="CD36" i="2"/>
  <c r="CD110" i="2"/>
  <c r="CD166" i="2"/>
  <c r="CD22" i="2"/>
  <c r="CD82" i="2"/>
  <c r="CD99" i="2"/>
  <c r="CD101" i="2"/>
  <c r="CD28" i="2"/>
  <c r="CD89" i="2"/>
  <c r="CD29" i="2"/>
  <c r="CD201" i="2"/>
  <c r="CD65" i="2"/>
  <c r="CD34" i="2"/>
  <c r="CD9" i="2"/>
  <c r="CD120" i="2"/>
  <c r="CD62" i="2"/>
  <c r="CD117" i="2"/>
  <c r="CD69" i="2"/>
  <c r="CD135" i="2"/>
  <c r="CD10" i="2"/>
  <c r="CD143" i="2"/>
  <c r="CD21" i="2"/>
  <c r="CD121" i="2"/>
  <c r="CD57" i="2"/>
  <c r="CD122" i="2"/>
  <c r="CD191" i="2"/>
  <c r="CD163" i="2"/>
  <c r="CD197" i="2"/>
  <c r="CD60" i="2"/>
  <c r="CD80" i="2"/>
  <c r="CD85" i="2"/>
  <c r="CD108" i="2"/>
  <c r="CD23" i="2"/>
  <c r="CD111" i="2"/>
  <c r="CD149" i="2"/>
  <c r="CD87" i="2"/>
  <c r="CD138" i="2"/>
  <c r="CD151" i="2"/>
  <c r="CD49" i="2"/>
  <c r="CD86" i="2"/>
  <c r="CD172" i="2"/>
  <c r="CD161" i="2"/>
  <c r="CD45" i="2"/>
  <c r="CD129" i="2"/>
  <c r="CD179" i="2"/>
  <c r="CD52" i="2"/>
  <c r="CD131" i="2"/>
  <c r="CD102" i="2"/>
  <c r="CD180" i="2"/>
  <c r="CD4" i="2"/>
  <c r="CD38" i="2"/>
  <c r="CD185" i="2"/>
  <c r="CD145" i="2"/>
  <c r="CD13" i="2"/>
  <c r="CD160" i="2"/>
  <c r="CD71" i="2"/>
  <c r="CD169" i="2"/>
  <c r="CD189" i="2"/>
  <c r="CD115" i="2"/>
  <c r="CD119" i="2"/>
  <c r="CD147" i="2"/>
  <c r="CD75" i="2"/>
  <c r="CD41" i="2"/>
  <c r="CD88" i="2"/>
  <c r="CD195" i="2"/>
  <c r="CD51" i="2"/>
  <c r="CD178" i="2"/>
  <c r="CD44" i="2"/>
  <c r="CD125" i="2"/>
  <c r="CD200" i="2"/>
  <c r="CD144" i="2"/>
  <c r="CD61" i="2"/>
  <c r="CD100" i="2"/>
  <c r="CD16" i="2"/>
  <c r="CD39" i="2"/>
  <c r="CD98" i="2"/>
  <c r="CD90" i="2"/>
  <c r="CD73" i="2"/>
  <c r="CD177" i="2"/>
  <c r="CD198" i="2"/>
  <c r="CD84" i="2"/>
  <c r="CD148" i="2"/>
  <c r="CD42" i="2"/>
  <c r="CD7" i="2"/>
  <c r="CD134" i="2"/>
  <c r="CD168" i="2"/>
  <c r="CD25" i="2"/>
  <c r="CD150" i="2"/>
  <c r="CD66" i="2"/>
  <c r="CD46" i="2"/>
  <c r="CD93" i="2"/>
  <c r="CD58" i="2"/>
  <c r="CD174" i="2"/>
  <c r="CD175" i="2"/>
  <c r="CD136" i="2"/>
  <c r="CD167" i="2"/>
  <c r="CD33" i="2"/>
  <c r="CD12" i="2"/>
  <c r="CD14" i="2"/>
  <c r="CD53" i="2"/>
  <c r="CD182" i="2"/>
  <c r="CD128" i="2"/>
  <c r="CD24" i="2"/>
  <c r="CD35" i="2"/>
  <c r="CD157" i="2"/>
  <c r="CD165" i="2"/>
  <c r="CD95" i="2"/>
  <c r="CD106" i="2"/>
  <c r="CD19" i="2"/>
  <c r="CD55" i="2"/>
  <c r="CD187" i="2"/>
  <c r="FE196" i="2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47" i="2" l="1"/>
  <c r="BI88" i="2"/>
  <c r="BI46" i="2"/>
  <c r="BI194" i="2"/>
  <c r="BI48" i="2"/>
  <c r="BI182" i="2"/>
  <c r="BI28" i="2"/>
  <c r="BI41" i="2"/>
  <c r="BI156" i="2"/>
  <c r="BI105" i="2"/>
  <c r="BI173" i="2"/>
  <c r="BI152" i="2"/>
  <c r="BI146" i="2"/>
  <c r="BI50" i="2"/>
  <c r="BI85" i="2"/>
  <c r="BI24" i="2"/>
  <c r="BI192" i="2"/>
  <c r="BI3" i="2"/>
  <c r="C8" i="4" s="1"/>
  <c r="E8" i="4" s="1"/>
  <c r="F8" i="4" s="1"/>
  <c r="G8" i="4" s="1"/>
  <c r="L8" i="4" s="1"/>
  <c r="BI10" i="2"/>
  <c r="BI34" i="2"/>
  <c r="BI59" i="2"/>
  <c r="BI116" i="2"/>
  <c r="BI96" i="2"/>
  <c r="BI114" i="2"/>
  <c r="BI130" i="2"/>
  <c r="BI43" i="2"/>
  <c r="BI29" i="2"/>
  <c r="BI185" i="2"/>
  <c r="BI42" i="2"/>
  <c r="BI129" i="2"/>
  <c r="BI4" i="2"/>
  <c r="BI13" i="2"/>
  <c r="BI122" i="2"/>
  <c r="BI69" i="2"/>
  <c r="BI25" i="2"/>
  <c r="BI143" i="2"/>
  <c r="BI170" i="2"/>
  <c r="BI109" i="2"/>
  <c r="BI9" i="2"/>
  <c r="BI151" i="2"/>
  <c r="BI175" i="2"/>
  <c r="BI60" i="2"/>
  <c r="BI7" i="2"/>
  <c r="BI136" i="2"/>
  <c r="BI66" i="2"/>
  <c r="BI198" i="2"/>
  <c r="BI168" i="2"/>
  <c r="BI95" i="2"/>
  <c r="BI196" i="2"/>
  <c r="BI38" i="2"/>
  <c r="BI23" i="2"/>
  <c r="BI99" i="2"/>
  <c r="BI148" i="2"/>
  <c r="BI70" i="2"/>
  <c r="BI62" i="2"/>
  <c r="BI51" i="2"/>
  <c r="BI153" i="2"/>
  <c r="BI98" i="2"/>
  <c r="BI57" i="2"/>
  <c r="BI139" i="2"/>
  <c r="BI134" i="2"/>
  <c r="BI172" i="2"/>
  <c r="BI183" i="2"/>
  <c r="BI91" i="2"/>
  <c r="BI178" i="2"/>
  <c r="BI169" i="2"/>
  <c r="BI61" i="2"/>
  <c r="BI92" i="2"/>
  <c r="BI27" i="2"/>
  <c r="BI123" i="2"/>
  <c r="BI72" i="2"/>
  <c r="BI78" i="2"/>
  <c r="BI20" i="2"/>
  <c r="BI5" i="2"/>
  <c r="BI82" i="2"/>
  <c r="BI184" i="2"/>
  <c r="BI12" i="2"/>
  <c r="BI115" i="2"/>
  <c r="BI16" i="2"/>
  <c r="BI64" i="2"/>
  <c r="BI119" i="2"/>
  <c r="BI127" i="2"/>
  <c r="BI90" i="2"/>
  <c r="BI157" i="2"/>
  <c r="BI79" i="2"/>
  <c r="BI197" i="2"/>
  <c r="BI58" i="2"/>
  <c r="BI30" i="2"/>
  <c r="BI201" i="2"/>
  <c r="BI104" i="2"/>
  <c r="BI68" i="2"/>
  <c r="BI177" i="2"/>
  <c r="BI73" i="2"/>
  <c r="BI165" i="2"/>
  <c r="BI171" i="2"/>
  <c r="BI40" i="2"/>
  <c r="BI199" i="2"/>
  <c r="BI101" i="2"/>
  <c r="BI200" i="2"/>
  <c r="BI103" i="2"/>
  <c r="BI167" i="2"/>
  <c r="BI160" i="2"/>
  <c r="BI100" i="2"/>
  <c r="BI77" i="2"/>
  <c r="BI142" i="2"/>
  <c r="BI8" i="2"/>
  <c r="BI112" i="2"/>
  <c r="BI138" i="2"/>
  <c r="BI125" i="2"/>
  <c r="BI195" i="2"/>
  <c r="BI97" i="2"/>
  <c r="BI35" i="2"/>
  <c r="BI141" i="2"/>
  <c r="BI186" i="2"/>
  <c r="BI190" i="2"/>
  <c r="BI53" i="2"/>
  <c r="BI39" i="2"/>
  <c r="BI54" i="2"/>
  <c r="BI102" i="2"/>
  <c r="BI76" i="2"/>
  <c r="BI149" i="2"/>
  <c r="BI71" i="2"/>
  <c r="BI6" i="2"/>
  <c r="BI188" i="2"/>
  <c r="BI191" i="2"/>
  <c r="BI94" i="2"/>
  <c r="BI22" i="2"/>
  <c r="BI15" i="2"/>
  <c r="BI33" i="2"/>
  <c r="BI162" i="2"/>
  <c r="BI154" i="2"/>
  <c r="BI37" i="2"/>
  <c r="BI126" i="2"/>
  <c r="BI63" i="2"/>
  <c r="BI202" i="2"/>
  <c r="BI83" i="2"/>
  <c r="BI56" i="2"/>
  <c r="BI17" i="2"/>
  <c r="BI128" i="2"/>
  <c r="BI44" i="2"/>
  <c r="BI161" i="2"/>
  <c r="BI87" i="2"/>
  <c r="BI84" i="2"/>
  <c r="BI158" i="2"/>
  <c r="BI26" i="2"/>
  <c r="BI137" i="2"/>
  <c r="BI106" i="2"/>
  <c r="BI189" i="2"/>
  <c r="BI89" i="2"/>
  <c r="BI180" i="2"/>
  <c r="BI55" i="2"/>
  <c r="BI67" i="2"/>
  <c r="BI135" i="2"/>
  <c r="BI131" i="2"/>
  <c r="BI118" i="2"/>
  <c r="BI155" i="2"/>
  <c r="BI166" i="2"/>
  <c r="BI75" i="2"/>
  <c r="BI31" i="2"/>
  <c r="BI179" i="2"/>
  <c r="BI164" i="2"/>
  <c r="BI144" i="2"/>
  <c r="BI21" i="2"/>
  <c r="BI187" i="2"/>
  <c r="BI14" i="2"/>
  <c r="BI52" i="2"/>
  <c r="BI150" i="2"/>
  <c r="BI159" i="2"/>
  <c r="BI147" i="2"/>
  <c r="BI176" i="2"/>
  <c r="BI193" i="2"/>
  <c r="BI121" i="2"/>
  <c r="BI110" i="2"/>
  <c r="BI45" i="2"/>
  <c r="BI113" i="2"/>
  <c r="BI163" i="2"/>
  <c r="BI132" i="2"/>
  <c r="BI86" i="2"/>
  <c r="BI133" i="2"/>
  <c r="BI174" i="2"/>
  <c r="BI124" i="2"/>
  <c r="BI111" i="2"/>
  <c r="BI140" i="2"/>
  <c r="BI108" i="2"/>
  <c r="BI117" i="2"/>
  <c r="BI18" i="2"/>
  <c r="BI74" i="2"/>
  <c r="BI93" i="2"/>
  <c r="BI181" i="2"/>
  <c r="BI49" i="2"/>
  <c r="BI32" i="2"/>
  <c r="BI36" i="2"/>
  <c r="BI11" i="2"/>
  <c r="BI203" i="2"/>
  <c r="BI81" i="2"/>
  <c r="BI65" i="2"/>
  <c r="BI145" i="2"/>
  <c r="BI19" i="2"/>
  <c r="BI80" i="2"/>
  <c r="BI107" i="2"/>
  <c r="BI120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<sst xmlns="http://schemas.openxmlformats.org/spreadsheetml/2006/main" count="1180" uniqueCount="330">
  <si>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</si>
  <si>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</si>
  <si>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</si>
  <si>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</si>
  <si>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</si>
  <si>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</si>
  <si>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</si>
  <si>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</si>
  <si>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</si>
  <si>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</si>
  <si>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</si>
  <si>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</si>
  <si>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</si>
  <si>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</si>
  <si>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</si>
  <si>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</si>
  <si>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</si>
  <si>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</si>
  <si>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</si>
  <si>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</si>
  <si>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</si>
  <si>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</si>
  <si>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</si>
  <si>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</si>
  <si>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</si>
  <si>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</si>
  <si>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</si>
  <si>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</si>
  <si>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</si>
  <si>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</si>
  <si>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</si>
  <si>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</si>
  <si>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</si>
  <si>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</si>
  <si>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</si>
  <si>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</si>
  <si>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</si>
  <si>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</si>
  <si>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</si>
  <si>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</si>
  <si>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</si>
  <si>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</si>
  <si>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</si>
  <si>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</si>
  <si>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</si>
  <si>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</si>
  <si>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</si>
  <si>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</si>
  <si>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</si>
  <si>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</si>
  <si>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</si>
  <si>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</si>
  <si>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</si>
  <si>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</si>
  <si>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</si>
  <si>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</si>
  <si>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</si>
  <si>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</si>
  <si>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</si>
  <si>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</si>
  <si>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</si>
  <si>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</si>
  <si>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</si>
  <si>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</si>
  <si>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</si>
  <si>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</si>
  <si>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</si>
  <si>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</si>
  <si>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</si>
  <si>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</si>
  <si>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</si>
  <si>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</si>
  <si>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</si>
  <si>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</si>
  <si>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</si>
  <si>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</si>
  <si>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</si>
  <si>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</si>
  <si>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</si>
  <si>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</si>
  <si>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</si>
  <si>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</si>
  <si>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</si>
  <si>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</si>
  <si>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</si>
  <si>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</si>
  <si>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</si>
  <si>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</si>
  <si>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</si>
  <si>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</si>
  <si>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</si>
  <si>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</si>
  <si>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</si>
  <si>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</si>
  <si>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</si>
  <si>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</si>
  <si>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</si>
  <si>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</si>
  <si>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</si>
  <si>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</si>
  <si>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</si>
  <si>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</si>
  <si>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</si>
  <si>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</si>
  <si>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</si>
  <si>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</si>
  <si>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</si>
  <si>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</si>
  <si>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</si>
  <si>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</si>
  <si>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</si>
  <si>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</si>
  <si>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</si>
  <si>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</si>
  <si>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</si>
  <si>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</si>
  <si>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</si>
  <si>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</si>
  <si>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</si>
  <si>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</si>
  <si>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</si>
  <si>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</si>
  <si>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</si>
  <si>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</si>
  <si>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</si>
  <si>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</si>
  <si>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</si>
  <si>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</si>
  <si>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</si>
  <si>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</si>
  <si>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</si>
  <si>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</si>
  <si>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</si>
  <si>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</si>
  <si>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</si>
  <si>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</si>
  <si>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</si>
  <si>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</si>
  <si>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</si>
  <si>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</si>
  <si>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</si>
  <si>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</si>
  <si>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</si>
  <si>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</si>
  <si>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</si>
  <si>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</si>
  <si>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</si>
  <si>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</si>
  <si>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</si>
  <si>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</si>
  <si>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</si>
  <si>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</si>
  <si>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</si>
  <si>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</si>
  <si>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</si>
  <si>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</si>
  <si>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</si>
  <si>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</si>
  <si>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</si>
  <si>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</si>
  <si>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</si>
  <si>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</si>
  <si>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</si>
  <si>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</si>
  <si>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</si>
  <si>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</si>
  <si>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</si>
  <si>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</si>
  <si>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</si>
  <si>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</si>
  <si>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</si>
  <si>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</si>
  <si>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</si>
  <si>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</si>
  <si>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</si>
  <si>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</si>
  <si>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</si>
  <si>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</si>
  <si>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</si>
  <si>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</si>
  <si>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</si>
  <si>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</si>
  <si>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</si>
  <si>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</si>
  <si>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</si>
  <si>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</si>
  <si>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</si>
  <si>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</si>
  <si>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</si>
  <si>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</si>
  <si>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</si>
  <si>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</si>
  <si>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</si>
  <si>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</si>
  <si>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</si>
  <si>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</si>
  <si>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</si>
  <si>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</si>
  <si>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</si>
  <si>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</si>
  <si>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</si>
  <si>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</si>
  <si>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</si>
  <si>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</si>
  <si>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</si>
  <si>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</si>
  <si>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</si>
  <si>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</si>
  <si>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</si>
  <si>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</si>
  <si>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</si>
  <si>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</si>
  <si>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</si>
  <si>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</si>
  <si>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</si>
  <si>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</si>
  <si>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</si>
  <si>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</si>
  <si>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</si>
  <si>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</si>
  <si>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</si>
  <si>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</si>
  <si>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</si>
  <si>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</si>
  <si>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</si>
  <si>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</si>
  <si>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</si>
  <si>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</si>
  <si>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</si>
  <si>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</si>
  <si>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</si>
  <si>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</si>
  <si>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</si>
  <si>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</si>
  <si>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</si>
  <si>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</si>
  <si>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</si>
  <si>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</si>
  <si>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</si>
  <si>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</si>
  <si>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</si>
  <si>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</si>
  <si>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</si>
  <si>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</si>
  <si>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</si>
  <si>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</si>
  <si>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</si>
  <si>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</si>
  <si>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</si>
  <si>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</si>
  <si>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</si>
  <si>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</si>
  <si>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</si>
  <si>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</si>
  <si>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</si>
  <si>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</si>
  <si>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</si>
  <si>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</si>
  <si>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</si>
  <si>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</si>
  <si>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</si>
  <si>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</si>
  <si>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</si>
  <si>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</si>
  <si>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</si>
  <si>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</si>
  <si>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</si>
  <si>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</si>
  <si>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</si>
  <si>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</si>
  <si>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</si>
  <si>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</si>
  <si>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</si>
  <si>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</si>
  <si>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</si>
  <si>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</si>
  <si>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</si>
  <si>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</si>
  <si>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</si>
  <si>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</si>
  <si>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</si>
  <si>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</si>
  <si>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</si>
  <si>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</si>
  <si>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</si>
  <si>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</si>
  <si>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</si>
  <si>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</si>
  <si>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</si>
  <si>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</si>
  <si>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</si>
  <si>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</si>
  <si>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</si>
  <si>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</si>
  <si>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</si>
  <si>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</si>
  <si>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</si>
  <si>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</si>
  <si>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</si>
  <si>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</si>
  <si>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</si>
  <si>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</si>
  <si>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</si>
  <si>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</si>
  <si>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</si>
  <si>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</si>
  <si>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</si>
  <si>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</si>
  <si>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</si>
  <si>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</si>
  <si>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</si>
  <si>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</si>
  <si>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</si>
  <si>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</si>
  <si>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</si>
  <si>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</si>
  <si>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</si>
  <si>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</si>
  <si>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</si>
  <si>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</si>
  <si>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</si>
  <si>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</si>
  <si>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</si>
  <si>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</si>
  <si>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ONF_CHS_Loire_F2</t>
  </si>
  <si>
    <t>ONF_CHP_F2_plantation</t>
  </si>
  <si>
    <t>ONF_CHS_F3</t>
  </si>
  <si>
    <t>SAB_F8</t>
  </si>
  <si>
    <t>ONF_F2</t>
  </si>
  <si>
    <t>ONF_CEA_F3_1600st/ha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</si>
</sst>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4.0314120456427114</c:v>
                </c:pt>
                <c:pt idx="2">
                  <c:v>7.0405503140081294</c:v>
                </c:pt>
                <c:pt idx="3">
                  <c:v>12.307212485213155</c:v>
                </c:pt>
                <c:pt idx="4">
                  <c:v>21.533015338685924</c:v>
                </c:pt>
                <c:pt idx="5">
                  <c:v>37.707704103648119</c:v>
                </c:pt>
                <c:pt idx="6">
                  <c:v>46.832627798125863</c:v>
                </c:pt>
                <c:pt idx="7">
                  <c:v>61.079169954302529</c:v>
                </c:pt>
                <c:pt idx="8">
                  <c:v>75.238784467416025</c:v>
                </c:pt>
                <c:pt idx="9">
                  <c:v>89.330252747047155</c:v>
                </c:pt>
                <c:pt idx="10">
                  <c:v>103.36588424837055</c:v>
                </c:pt>
                <c:pt idx="11">
                  <c:v>90.608375672715923</c:v>
                </c:pt>
                <c:pt idx="12">
                  <c:v>104.63940219017199</c:v>
                </c:pt>
                <c:pt idx="13">
                  <c:v>118.62392438500717</c:v>
                </c:pt>
                <c:pt idx="14">
                  <c:v>132.56820659164794</c:v>
                </c:pt>
                <c:pt idx="15">
                  <c:v>146.47708309397845</c:v>
                </c:pt>
                <c:pt idx="16">
                  <c:v>137.37688179441133</c:v>
                </c:pt>
                <c:pt idx="17">
                  <c:v>149.75989707906271</c:v>
                </c:pt>
                <c:pt idx="18">
                  <c:v>162.11849646009097</c:v>
                </c:pt>
                <c:pt idx="19">
                  <c:v>174.45480497972014</c:v>
                </c:pt>
                <c:pt idx="20">
                  <c:v>186.77062214790314</c:v>
                </c:pt>
                <c:pt idx="21">
                  <c:v>179.73542628722291</c:v>
                </c:pt>
                <c:pt idx="22">
                  <c:v>190.28588472022409</c:v>
                </c:pt>
                <c:pt idx="23">
                  <c:v>200.82271925784713</c:v>
                </c:pt>
                <c:pt idx="24">
                  <c:v>211.34674608887232</c:v>
                </c:pt>
                <c:pt idx="25">
                  <c:v>221.85869339182841</c:v>
                </c:pt>
                <c:pt idx="26">
                  <c:v>216.60418722547536</c:v>
                </c:pt>
                <c:pt idx="27">
                  <c:v>225.1100470395813</c:v>
                </c:pt>
                <c:pt idx="28">
                  <c:v>233.60854393979471</c:v>
                </c:pt>
                <c:pt idx="29">
                  <c:v>242.09998385215556</c:v>
                </c:pt>
                <c:pt idx="30">
                  <c:v>250.58464946575782</c:v>
                </c:pt>
                <c:pt idx="31">
                  <c:v>246.59269241215881</c:v>
                </c:pt>
                <c:pt idx="32">
                  <c:v>253.82705165012138</c:v>
                </c:pt>
                <c:pt idx="33">
                  <c:v>261.05674262117452</c:v>
                </c:pt>
                <c:pt idx="34">
                  <c:v>268.28191300600139</c:v>
                </c:pt>
                <c:pt idx="35">
                  <c:v>275.50270187165785</c:v>
                </c:pt>
                <c:pt idx="36">
                  <c:v>272.76428922914408</c:v>
                </c:pt>
                <c:pt idx="37">
                  <c:v>278.73821994624086</c:v>
                </c:pt>
                <c:pt idx="38">
                  <c:v>284.70927836833965</c:v>
                </c:pt>
                <c:pt idx="39">
                  <c:v>290.67753331810212</c:v>
                </c:pt>
                <c:pt idx="40">
                  <c:v>296.64305055749878</c:v>
                </c:pt>
                <c:pt idx="41">
                  <c:v>295.40045709321811</c:v>
                </c:pt>
                <c:pt idx="42">
                  <c:v>301.61226907653236</c:v>
                </c:pt>
                <c:pt idx="43">
                  <c:v>307.82123332343713</c:v>
                </c:pt>
                <c:pt idx="44">
                  <c:v>314.02741545065192</c:v>
                </c:pt>
                <c:pt idx="45">
                  <c:v>320.23087826647179</c:v>
                </c:pt>
                <c:pt idx="46">
                  <c:v>1.5435705246133045E-12</c:v>
                </c:pt>
                <c:pt idx="47">
                  <c:v>1.5435705246133045E-12</c:v>
                </c:pt>
                <c:pt idx="48">
                  <c:v>1.5435705246133045E-12</c:v>
                </c:pt>
                <c:pt idx="49">
                  <c:v>1.5435705246133045E-12</c:v>
                </c:pt>
                <c:pt idx="50">
                  <c:v>1.5435705246133045E-12</c:v>
                </c:pt>
                <c:pt idx="51">
                  <c:v>1.5435705246133045E-12</c:v>
                </c:pt>
                <c:pt idx="52">
                  <c:v>1.5435705246133045E-12</c:v>
                </c:pt>
                <c:pt idx="53">
                  <c:v>1.5435705246133045E-12</c:v>
                </c:pt>
                <c:pt idx="54">
                  <c:v>1.5435705246133045E-12</c:v>
                </c:pt>
                <c:pt idx="55">
                  <c:v>1.5435705246133045E-12</c:v>
                </c:pt>
                <c:pt idx="56">
                  <c:v>1.5435705246133045E-12</c:v>
                </c:pt>
                <c:pt idx="57">
                  <c:v>1.5435705246133045E-12</c:v>
                </c:pt>
                <c:pt idx="58">
                  <c:v>1.5435705246133045E-12</c:v>
                </c:pt>
                <c:pt idx="59">
                  <c:v>1.5435705246133045E-12</c:v>
                </c:pt>
                <c:pt idx="60">
                  <c:v>1.5435705246133045E-12</c:v>
                </c:pt>
                <c:pt idx="61">
                  <c:v>1.5435705246133045E-12</c:v>
                </c:pt>
                <c:pt idx="62">
                  <c:v>1.5435705246133045E-12</c:v>
                </c:pt>
                <c:pt idx="63">
                  <c:v>1.5435705246133045E-12</c:v>
                </c:pt>
                <c:pt idx="64">
                  <c:v>1.5435705246133045E-12</c:v>
                </c:pt>
                <c:pt idx="65">
                  <c:v>1.5435705246133045E-12</c:v>
                </c:pt>
                <c:pt idx="66">
                  <c:v>1.5435705246133045E-12</c:v>
                </c:pt>
                <c:pt idx="67">
                  <c:v>1.5435705246133045E-12</c:v>
                </c:pt>
                <c:pt idx="68">
                  <c:v>1.5435705246133045E-12</c:v>
                </c:pt>
                <c:pt idx="69">
                  <c:v>1.5435705246133045E-12</c:v>
                </c:pt>
                <c:pt idx="70">
                  <c:v>1.5435705246133045E-12</c:v>
                </c:pt>
                <c:pt idx="71">
                  <c:v>1.5435705246133045E-12</c:v>
                </c:pt>
                <c:pt idx="72">
                  <c:v>1.5435705246133045E-12</c:v>
                </c:pt>
                <c:pt idx="73">
                  <c:v>1.5435705246133045E-12</c:v>
                </c:pt>
                <c:pt idx="74">
                  <c:v>1.5435705246133045E-12</c:v>
                </c:pt>
                <c:pt idx="75">
                  <c:v>1.5435705246133045E-12</c:v>
                </c:pt>
                <c:pt idx="76">
                  <c:v>1.5435705246133045E-12</c:v>
                </c:pt>
                <c:pt idx="77">
                  <c:v>1.5435705246133045E-12</c:v>
                </c:pt>
                <c:pt idx="78">
                  <c:v>1.5435705246133045E-12</c:v>
                </c:pt>
                <c:pt idx="79">
                  <c:v>1.5435705246133045E-12</c:v>
                </c:pt>
                <c:pt idx="80">
                  <c:v>1.5435705246133045E-12</c:v>
                </c:pt>
                <c:pt idx="81">
                  <c:v>1.5435705246133045E-12</c:v>
                </c:pt>
                <c:pt idx="82">
                  <c:v>1.5435705246133045E-12</c:v>
                </c:pt>
                <c:pt idx="83">
                  <c:v>1.5435705246133045E-12</c:v>
                </c:pt>
                <c:pt idx="84">
                  <c:v>1.5435705246133045E-12</c:v>
                </c:pt>
                <c:pt idx="85">
                  <c:v>1.5435705246133045E-12</c:v>
                </c:pt>
                <c:pt idx="86">
                  <c:v>1.5435705246133045E-12</c:v>
                </c:pt>
                <c:pt idx="87">
                  <c:v>1.5435705246133045E-12</c:v>
                </c:pt>
                <c:pt idx="88">
                  <c:v>1.5435705246133045E-12</c:v>
                </c:pt>
                <c:pt idx="89">
                  <c:v>1.5435705246133045E-12</c:v>
                </c:pt>
                <c:pt idx="90">
                  <c:v>1.5435705246133045E-12</c:v>
                </c:pt>
                <c:pt idx="91">
                  <c:v>1.5435705246133045E-12</c:v>
                </c:pt>
                <c:pt idx="92">
                  <c:v>1.5435705246133045E-12</c:v>
                </c:pt>
                <c:pt idx="93">
                  <c:v>1.5435705246133045E-12</c:v>
                </c:pt>
                <c:pt idx="94">
                  <c:v>1.5435705246133045E-12</c:v>
                </c:pt>
                <c:pt idx="95">
                  <c:v>1.5435705246133045E-12</c:v>
                </c:pt>
                <c:pt idx="96">
                  <c:v>1.5435705246133045E-12</c:v>
                </c:pt>
                <c:pt idx="97">
                  <c:v>1.5435705246133045E-12</c:v>
                </c:pt>
                <c:pt idx="98">
                  <c:v>1.5435705246133045E-12</c:v>
                </c:pt>
                <c:pt idx="99">
                  <c:v>1.5435705246133045E-12</c:v>
                </c:pt>
                <c:pt idx="100">
                  <c:v>1.5435705246133045E-12</c:v>
                </c:pt>
                <c:pt idx="101">
                  <c:v>1.5435705246133045E-12</c:v>
                </c:pt>
                <c:pt idx="102">
                  <c:v>1.5435705246133045E-12</c:v>
                </c:pt>
                <c:pt idx="103">
                  <c:v>1.5435705246133045E-12</c:v>
                </c:pt>
                <c:pt idx="104">
                  <c:v>1.5435705246133045E-12</c:v>
                </c:pt>
                <c:pt idx="105">
                  <c:v>1.5435705246133045E-12</c:v>
                </c:pt>
                <c:pt idx="106">
                  <c:v>1.5435705246133045E-12</c:v>
                </c:pt>
                <c:pt idx="107">
                  <c:v>1.5435705246133045E-12</c:v>
                </c:pt>
                <c:pt idx="108">
                  <c:v>1.5435705246133045E-12</c:v>
                </c:pt>
                <c:pt idx="109">
                  <c:v>1.5435705246133045E-12</c:v>
                </c:pt>
                <c:pt idx="110">
                  <c:v>1.5435705246133045E-12</c:v>
                </c:pt>
                <c:pt idx="111">
                  <c:v>1.5435705246133045E-12</c:v>
                </c:pt>
                <c:pt idx="112">
                  <c:v>1.5435705246133045E-12</c:v>
                </c:pt>
                <c:pt idx="113">
                  <c:v>1.5435705246133045E-12</c:v>
                </c:pt>
                <c:pt idx="114">
                  <c:v>1.5435705246133045E-12</c:v>
                </c:pt>
                <c:pt idx="115">
                  <c:v>1.5435705246133045E-12</c:v>
                </c:pt>
                <c:pt idx="116">
                  <c:v>1.5435705246133045E-12</c:v>
                </c:pt>
                <c:pt idx="117">
                  <c:v>1.5435705246133045E-12</c:v>
                </c:pt>
                <c:pt idx="118">
                  <c:v>1.5435705246133045E-12</c:v>
                </c:pt>
                <c:pt idx="119">
                  <c:v>1.5435705246133045E-12</c:v>
                </c:pt>
                <c:pt idx="120">
                  <c:v>1.5435705246133045E-12</c:v>
                </c:pt>
                <c:pt idx="121">
                  <c:v>1.5435705246133045E-12</c:v>
                </c:pt>
                <c:pt idx="122">
                  <c:v>1.5435705246133045E-12</c:v>
                </c:pt>
                <c:pt idx="123">
                  <c:v>1.5435705246133045E-12</c:v>
                </c:pt>
                <c:pt idx="124">
                  <c:v>1.5435705246133045E-12</c:v>
                </c:pt>
                <c:pt idx="125">
                  <c:v>1.5435705246133045E-12</c:v>
                </c:pt>
                <c:pt idx="126">
                  <c:v>1.5435705246133045E-12</c:v>
                </c:pt>
                <c:pt idx="127">
                  <c:v>1.5435705246133045E-12</c:v>
                </c:pt>
                <c:pt idx="128">
                  <c:v>1.5435705246133045E-12</c:v>
                </c:pt>
                <c:pt idx="129">
                  <c:v>1.5435705246133045E-12</c:v>
                </c:pt>
                <c:pt idx="130">
                  <c:v>1.5435705246133045E-12</c:v>
                </c:pt>
                <c:pt idx="131">
                  <c:v>1.5435705246133045E-12</c:v>
                </c:pt>
                <c:pt idx="132">
                  <c:v>1.5435705246133045E-12</c:v>
                </c:pt>
                <c:pt idx="133">
                  <c:v>1.5435705246133045E-12</c:v>
                </c:pt>
                <c:pt idx="134">
                  <c:v>1.5435705246133045E-12</c:v>
                </c:pt>
                <c:pt idx="135">
                  <c:v>1.5435705246133045E-12</c:v>
                </c:pt>
                <c:pt idx="136">
                  <c:v>1.5435705246133045E-12</c:v>
                </c:pt>
                <c:pt idx="137">
                  <c:v>1.5435705246133045E-12</c:v>
                </c:pt>
                <c:pt idx="138">
                  <c:v>1.5435705246133045E-12</c:v>
                </c:pt>
                <c:pt idx="139">
                  <c:v>1.5435705246133045E-12</c:v>
                </c:pt>
                <c:pt idx="140">
                  <c:v>1.5435705246133045E-12</c:v>
                </c:pt>
                <c:pt idx="141">
                  <c:v>1.5435705246133045E-12</c:v>
                </c:pt>
                <c:pt idx="142">
                  <c:v>1.5435705246133045E-12</c:v>
                </c:pt>
                <c:pt idx="143">
                  <c:v>1.5435705246133045E-12</c:v>
                </c:pt>
                <c:pt idx="144">
                  <c:v>1.5435705246133045E-12</c:v>
                </c:pt>
                <c:pt idx="145">
                  <c:v>1.5435705246133045E-12</c:v>
                </c:pt>
                <c:pt idx="146">
                  <c:v>1.5435705246133045E-12</c:v>
                </c:pt>
                <c:pt idx="147">
                  <c:v>1.5435705246133045E-12</c:v>
                </c:pt>
                <c:pt idx="148">
                  <c:v>1.5435705246133045E-12</c:v>
                </c:pt>
                <c:pt idx="149">
                  <c:v>1.5435705246133045E-12</c:v>
                </c:pt>
                <c:pt idx="150">
                  <c:v>1.5435705246133045E-12</c:v>
                </c:pt>
                <c:pt idx="151">
                  <c:v>1.5435705246133045E-12</c:v>
                </c:pt>
                <c:pt idx="152">
                  <c:v>1.5435705246133045E-12</c:v>
                </c:pt>
                <c:pt idx="153">
                  <c:v>1.5435705246133045E-12</c:v>
                </c:pt>
                <c:pt idx="154">
                  <c:v>1.5435705246133045E-12</c:v>
                </c:pt>
                <c:pt idx="155">
                  <c:v>1.5435705246133045E-12</c:v>
                </c:pt>
                <c:pt idx="156">
                  <c:v>1.5435705246133045E-12</c:v>
                </c:pt>
                <c:pt idx="157">
                  <c:v>1.5435705246133045E-12</c:v>
                </c:pt>
                <c:pt idx="158">
                  <c:v>1.5435705246133045E-12</c:v>
                </c:pt>
                <c:pt idx="159">
                  <c:v>1.5435705246133045E-12</c:v>
                </c:pt>
                <c:pt idx="160">
                  <c:v>1.5435705246133045E-12</c:v>
                </c:pt>
                <c:pt idx="161">
                  <c:v>1.5435705246133045E-12</c:v>
                </c:pt>
                <c:pt idx="162">
                  <c:v>1.5435705246133045E-12</c:v>
                </c:pt>
                <c:pt idx="163">
                  <c:v>1.5435705246133045E-12</c:v>
                </c:pt>
                <c:pt idx="164">
                  <c:v>1.5435705246133045E-12</c:v>
                </c:pt>
                <c:pt idx="165">
                  <c:v>1.5435705246133045E-12</c:v>
                </c:pt>
                <c:pt idx="166">
                  <c:v>1.5435705246133045E-12</c:v>
                </c:pt>
                <c:pt idx="167">
                  <c:v>1.5435705246133045E-12</c:v>
                </c:pt>
                <c:pt idx="168">
                  <c:v>1.5435705246133045E-12</c:v>
                </c:pt>
                <c:pt idx="169">
                  <c:v>1.5435705246133045E-12</c:v>
                </c:pt>
                <c:pt idx="170">
                  <c:v>1.5435705246133045E-12</c:v>
                </c:pt>
                <c:pt idx="171">
                  <c:v>1.5435705246133045E-12</c:v>
                </c:pt>
                <c:pt idx="172">
                  <c:v>1.5435705246133045E-12</c:v>
                </c:pt>
                <c:pt idx="173">
                  <c:v>1.5435705246133045E-12</c:v>
                </c:pt>
                <c:pt idx="174">
                  <c:v>1.5435705246133045E-12</c:v>
                </c:pt>
                <c:pt idx="175">
                  <c:v>1.5435705246133045E-12</c:v>
                </c:pt>
                <c:pt idx="176">
                  <c:v>1.5435705246133045E-12</c:v>
                </c:pt>
                <c:pt idx="177">
                  <c:v>1.5435705246133045E-12</c:v>
                </c:pt>
                <c:pt idx="178">
                  <c:v>1.5435705246133045E-12</c:v>
                </c:pt>
                <c:pt idx="179">
                  <c:v>1.5435705246133045E-12</c:v>
                </c:pt>
                <c:pt idx="180">
                  <c:v>1.5435705246133045E-12</c:v>
                </c:pt>
                <c:pt idx="181">
                  <c:v>1.5435705246133045E-12</c:v>
                </c:pt>
                <c:pt idx="182">
                  <c:v>1.5435705246133045E-12</c:v>
                </c:pt>
                <c:pt idx="183">
                  <c:v>1.5435705246133045E-12</c:v>
                </c:pt>
                <c:pt idx="184">
                  <c:v>1.5435705246133045E-12</c:v>
                </c:pt>
                <c:pt idx="185">
                  <c:v>1.5435705246133045E-12</c:v>
                </c:pt>
                <c:pt idx="186">
                  <c:v>1.5435705246133045E-12</c:v>
                </c:pt>
                <c:pt idx="187">
                  <c:v>1.5435705246133045E-12</c:v>
                </c:pt>
                <c:pt idx="188">
                  <c:v>1.5435705246133045E-12</c:v>
                </c:pt>
                <c:pt idx="189">
                  <c:v>1.5435705246133045E-12</c:v>
                </c:pt>
                <c:pt idx="190">
                  <c:v>1.5435705246133045E-12</c:v>
                </c:pt>
                <c:pt idx="191">
                  <c:v>1.5435705246133045E-12</c:v>
                </c:pt>
                <c:pt idx="192">
                  <c:v>1.5435705246133045E-12</c:v>
                </c:pt>
                <c:pt idx="193">
                  <c:v>1.5435705246133045E-12</c:v>
                </c:pt>
                <c:pt idx="194">
                  <c:v>1.5435705246133045E-12</c:v>
                </c:pt>
                <c:pt idx="195">
                  <c:v>1.5435705246133045E-12</c:v>
                </c:pt>
                <c:pt idx="196">
                  <c:v>1.5435705246133045E-12</c:v>
                </c:pt>
                <c:pt idx="197">
                  <c:v>1.5435705246133045E-12</c:v>
                </c:pt>
                <c:pt idx="198">
                  <c:v>1.5435705246133045E-12</c:v>
                </c:pt>
                <c:pt idx="199">
                  <c:v>1.5435705246133045E-12</c:v>
                </c:pt>
                <c:pt idx="200">
                  <c:v>1.5435705246133045E-12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10.054116155559297</c:v>
                </c:pt>
                <c:pt idx="2">
                  <c:v>19.670529704904983</c:v>
                </c:pt>
                <c:pt idx="3">
                  <c:v>29.145587283740067</c:v>
                </c:pt>
                <c:pt idx="4">
                  <c:v>38.533509753361791</c:v>
                </c:pt>
                <c:pt idx="5">
                  <c:v>47.858871785587461</c:v>
                </c:pt>
                <c:pt idx="6">
                  <c:v>57.135691799242814</c:v>
                </c:pt>
                <c:pt idx="7">
                  <c:v>66.373006926914783</c:v>
                </c:pt>
                <c:pt idx="8">
                  <c:v>75.577111888235933</c:v>
                </c:pt>
                <c:pt idx="9">
                  <c:v>84.752633382211499</c:v>
                </c:pt>
                <c:pt idx="10">
                  <c:v>93.903109635645436</c:v>
                </c:pt>
                <c:pt idx="11">
                  <c:v>103.03133028043521</c:v>
                </c:pt>
                <c:pt idx="12">
                  <c:v>112.13954865102259</c:v>
                </c:pt>
                <c:pt idx="13">
                  <c:v>121.22962111033615</c:v>
                </c:pt>
                <c:pt idx="14">
                  <c:v>130.30310220341408</c:v>
                </c:pt>
                <c:pt idx="15">
                  <c:v>139.36131181345283</c:v>
                </c:pt>
                <c:pt idx="16">
                  <c:v>148.40538388297122</c:v>
                </c:pt>
                <c:pt idx="17">
                  <c:v>157.43630260034357</c:v>
                </c:pt>
                <c:pt idx="18">
                  <c:v>166.45492982619194</c:v>
                </c:pt>
                <c:pt idx="19">
                  <c:v>175.462026250294</c:v>
                </c:pt>
                <c:pt idx="20">
                  <c:v>184.45826796733903</c:v>
                </c:pt>
                <c:pt idx="21">
                  <c:v>193.44425964332299</c:v>
                </c:pt>
                <c:pt idx="22">
                  <c:v>202.42054510300082</c:v>
                </c:pt>
                <c:pt idx="23">
                  <c:v>211.38761593793268</c:v>
                </c:pt>
                <c:pt idx="24">
                  <c:v>220.34591857523677</c:v>
                </c:pt>
                <c:pt idx="25">
                  <c:v>229.29586013501878</c:v>
                </c:pt>
                <c:pt idx="26">
                  <c:v>238.23781332423221</c:v>
                </c:pt>
                <c:pt idx="27">
                  <c:v>247.17212055645965</c:v>
                </c:pt>
                <c:pt idx="28">
                  <c:v>256.09909744419912</c:v>
                </c:pt>
                <c:pt idx="29">
                  <c:v>265.01903577823191</c:v>
                </c:pt>
                <c:pt idx="30">
                  <c:v>273.93220608449866</c:v>
                </c:pt>
                <c:pt idx="31">
                  <c:v>282.83885983048071</c:v>
                </c:pt>
                <c:pt idx="32">
                  <c:v>291.73923133889144</c:v>
                </c:pt>
                <c:pt idx="33">
                  <c:v>300.63353945543383</c:v>
                </c:pt>
                <c:pt idx="34">
                  <c:v>309.52198900872827</c:v>
                </c:pt>
                <c:pt idx="35">
                  <c:v>318.40477209365588</c:v>
                </c:pt>
                <c:pt idx="36">
                  <c:v>327.2820692039133</c:v>
                </c:pt>
                <c:pt idx="37">
                  <c:v>336.15405023518832</c:v>
                </c:pt>
                <c:pt idx="38">
                  <c:v>345.02087537683605</c:v>
                </c:pt>
                <c:pt idx="39">
                  <c:v>353.88269590705289</c:v>
                </c:pt>
                <c:pt idx="40">
                  <c:v>362.73965490420022</c:v>
                </c:pt>
                <c:pt idx="41">
                  <c:v>371.59188788499273</c:v>
                </c:pt>
                <c:pt idx="42">
                  <c:v>380.43952337867154</c:v>
                </c:pt>
                <c:pt idx="43">
                  <c:v>305.94993325599131</c:v>
                </c:pt>
                <c:pt idx="44">
                  <c:v>327.87968452851231</c:v>
                </c:pt>
                <c:pt idx="45">
                  <c:v>349.77706400653625</c:v>
                </c:pt>
                <c:pt idx="46">
                  <c:v>371.64438205650396</c:v>
                </c:pt>
                <c:pt idx="47">
                  <c:v>393.48365507240305</c:v>
                </c:pt>
                <c:pt idx="48">
                  <c:v>415.29665745757416</c:v>
                </c:pt>
                <c:pt idx="49">
                  <c:v>437.08496211206631</c:v>
                </c:pt>
                <c:pt idx="50">
                  <c:v>458.84997242486565</c:v>
                </c:pt>
                <c:pt idx="51">
                  <c:v>400.29082381282961</c:v>
                </c:pt>
                <c:pt idx="52">
                  <c:v>422.64292900434634</c:v>
                </c:pt>
                <c:pt idx="53">
                  <c:v>444.96959590667331</c:v>
                </c:pt>
                <c:pt idx="54">
                  <c:v>467.27227938549885</c:v>
                </c:pt>
                <c:pt idx="55">
                  <c:v>489.55228419968324</c:v>
                </c:pt>
                <c:pt idx="56">
                  <c:v>511.8107867537222</c:v>
                </c:pt>
                <c:pt idx="57">
                  <c:v>534.04885287027707</c:v>
                </c:pt>
                <c:pt idx="58">
                  <c:v>556.26745244958261</c:v>
                </c:pt>
                <c:pt idx="59">
                  <c:v>475.38496601817178</c:v>
                </c:pt>
                <c:pt idx="60">
                  <c:v>497.1065828061349</c:v>
                </c:pt>
                <c:pt idx="61">
                  <c:v>518.80810289935755</c:v>
                </c:pt>
                <c:pt idx="62">
                  <c:v>540.49048445786013</c:v>
                </c:pt>
                <c:pt idx="63">
                  <c:v>562.1546025644958</c:v>
                </c:pt>
                <c:pt idx="64">
                  <c:v>583.80125941670201</c:v>
                </c:pt>
                <c:pt idx="65">
                  <c:v>605.43119292893903</c:v>
                </c:pt>
                <c:pt idx="66">
                  <c:v>627.04508404267926</c:v>
                </c:pt>
                <c:pt idx="67">
                  <c:v>532.94961868501457</c:v>
                </c:pt>
                <c:pt idx="68">
                  <c:v>553.81900027056327</c:v>
                </c:pt>
                <c:pt idx="69">
                  <c:v>574.67190958891786</c:v>
                </c:pt>
                <c:pt idx="70">
                  <c:v>595.50902793448722</c:v>
                </c:pt>
                <c:pt idx="71">
                  <c:v>616.3309850808954</c:v>
                </c:pt>
                <c:pt idx="72">
                  <c:v>637.13836482110844</c:v>
                </c:pt>
                <c:pt idx="73">
                  <c:v>657.93170974676843</c:v>
                </c:pt>
                <c:pt idx="74">
                  <c:v>678.71152539242337</c:v>
                </c:pt>
                <c:pt idx="75">
                  <c:v>589.39248343066197</c:v>
                </c:pt>
                <c:pt idx="76">
                  <c:v>609.81939965343656</c:v>
                </c:pt>
                <c:pt idx="77">
                  <c:v>630.23212138343479</c:v>
                </c:pt>
                <c:pt idx="78">
                  <c:v>650.63117263740162</c:v>
                </c:pt>
                <c:pt idx="79">
                  <c:v>671.0170419270911</c:v>
                </c:pt>
                <c:pt idx="80">
                  <c:v>691.39018569222901</c:v>
                </c:pt>
                <c:pt idx="81">
                  <c:v>711.75103130816262</c:v>
                </c:pt>
                <c:pt idx="82">
                  <c:v>732.09997973179236</c:v>
                </c:pt>
                <c:pt idx="83">
                  <c:v>752.43740783832027</c:v>
                </c:pt>
                <c:pt idx="84">
                  <c:v>772.76367049249313</c:v>
                </c:pt>
                <c:pt idx="85">
                  <c:v>650.12920889874385</c:v>
                </c:pt>
                <c:pt idx="86">
                  <c:v>669.71701867432307</c:v>
                </c:pt>
                <c:pt idx="87">
                  <c:v>689.29305455282781</c:v>
                </c:pt>
                <c:pt idx="88">
                  <c:v>708.85769765774864</c:v>
                </c:pt>
                <c:pt idx="89">
                  <c:v>728.41130638097991</c:v>
                </c:pt>
                <c:pt idx="90">
                  <c:v>747.95421832473903</c:v>
                </c:pt>
                <c:pt idx="91">
                  <c:v>767.48675203017956</c:v>
                </c:pt>
                <c:pt idx="92">
                  <c:v>787.00920852106856</c:v>
                </c:pt>
                <c:pt idx="93">
                  <c:v>806.52187268649811</c:v>
                </c:pt>
                <c:pt idx="94">
                  <c:v>826.02501452298031</c:v>
                </c:pt>
                <c:pt idx="95">
                  <c:v>701.67129024281076</c:v>
                </c:pt>
                <c:pt idx="96">
                  <c:v>720.73653490537436</c:v>
                </c:pt>
                <c:pt idx="97">
                  <c:v>739.79149113437143</c:v>
                </c:pt>
                <c:pt idx="98">
                  <c:v>758.83646096992186</c:v>
                </c:pt>
                <c:pt idx="99">
                  <c:v>777.87173007154217</c:v>
                </c:pt>
                <c:pt idx="100">
                  <c:v>796.89756899371525</c:v>
                </c:pt>
                <c:pt idx="101">
                  <c:v>815.91423433344517</c:v>
                </c:pt>
                <c:pt idx="102">
                  <c:v>834.9219697653848</c:v>
                </c:pt>
                <c:pt idx="103">
                  <c:v>853.92100697791045</c:v>
                </c:pt>
                <c:pt idx="104">
                  <c:v>872.91156652165955</c:v>
                </c:pt>
                <c:pt idx="105">
                  <c:v>751.18515125457725</c:v>
                </c:pt>
                <c:pt idx="106">
                  <c:v>770.01780601548671</c:v>
                </c:pt>
                <c:pt idx="107">
                  <c:v>788.84112658247284</c:v>
                </c:pt>
                <c:pt idx="108">
                  <c:v>807.65536680926198</c:v>
                </c:pt>
                <c:pt idx="109">
                  <c:v>826.4607677718451</c:v>
                </c:pt>
                <c:pt idx="110">
                  <c:v>845.25755869361831</c:v>
                </c:pt>
                <c:pt idx="111">
                  <c:v>864.04595778405246</c:v>
                </c:pt>
                <c:pt idx="112">
                  <c:v>882.82617300070933</c:v>
                </c:pt>
                <c:pt idx="113">
                  <c:v>901.59840274312739</c:v>
                </c:pt>
                <c:pt idx="114">
                  <c:v>920.3628364859884</c:v>
                </c:pt>
                <c:pt idx="115">
                  <c:v>807.92331757574232</c:v>
                </c:pt>
                <c:pt idx="116">
                  <c:v>826.87951165846027</c:v>
                </c:pt>
                <c:pt idx="117">
                  <c:v>845.82696195992901</c:v>
                </c:pt>
                <c:pt idx="118">
                  <c:v>864.76589170258092</c:v>
                </c:pt>
                <c:pt idx="119">
                  <c:v>883.69651354629275</c:v>
                </c:pt>
                <c:pt idx="120">
                  <c:v>902.61903030830717</c:v>
                </c:pt>
                <c:pt idx="121">
                  <c:v>921.53363561972344</c:v>
                </c:pt>
                <c:pt idx="122">
                  <c:v>940.44051452535894</c:v>
                </c:pt>
                <c:pt idx="123">
                  <c:v>959.33984403292789</c:v>
                </c:pt>
                <c:pt idx="124">
                  <c:v>978.23179361675386</c:v>
                </c:pt>
                <c:pt idx="125">
                  <c:v>874.76515272876622</c:v>
                </c:pt>
                <c:pt idx="126">
                  <c:v>893.91855298893552</c:v>
                </c:pt>
                <c:pt idx="127">
                  <c:v>913.06376068907173</c:v>
                </c:pt>
                <c:pt idx="128">
                  <c:v>932.20097158344367</c:v>
                </c:pt>
                <c:pt idx="129">
                  <c:v>951.33037274444223</c:v>
                </c:pt>
                <c:pt idx="130">
                  <c:v>970.45214311796599</c:v>
                </c:pt>
                <c:pt idx="131">
                  <c:v>989.56645403281527</c:v>
                </c:pt>
                <c:pt idx="132">
                  <c:v>1008.6734696687436</c:v>
                </c:pt>
                <c:pt idx="133">
                  <c:v>1027.7733474872464</c:v>
                </c:pt>
                <c:pt idx="134">
                  <c:v>1046.8662386287169</c:v>
                </c:pt>
                <c:pt idx="135">
                  <c:v>937.50616413149157</c:v>
                </c:pt>
                <c:pt idx="136">
                  <c:v>956.88987982155186</c:v>
                </c:pt>
                <c:pt idx="137">
                  <c:v>976.26581060894898</c:v>
                </c:pt>
                <c:pt idx="138">
                  <c:v>995.63413254764862</c:v>
                </c:pt>
                <c:pt idx="139">
                  <c:v>1014.9950142932879</c:v>
                </c:pt>
                <c:pt idx="140">
                  <c:v>1034.348617552087</c:v>
                </c:pt>
                <c:pt idx="141">
                  <c:v>1053.6950974944727</c:v>
                </c:pt>
                <c:pt idx="142">
                  <c:v>1073.0346031367867</c:v>
                </c:pt>
                <c:pt idx="143">
                  <c:v>1092.3672776940891</c:v>
                </c:pt>
                <c:pt idx="144">
                  <c:v>1111.6932589067299</c:v>
                </c:pt>
                <c:pt idx="145">
                  <c:v>1000.7143247071086</c:v>
                </c:pt>
                <c:pt idx="146">
                  <c:v>1020.4775739626069</c:v>
                </c:pt>
                <c:pt idx="147">
                  <c:v>1040.2332839460321</c:v>
                </c:pt>
                <c:pt idx="148">
                  <c:v>1059.9816177943073</c:v>
                </c:pt>
                <c:pt idx="149">
                  <c:v>1079.7227320792654</c:v>
                </c:pt>
                <c:pt idx="150">
                  <c:v>1099.4567771894424</c:v>
                </c:pt>
                <c:pt idx="151">
                  <c:v>1119.18389768308</c:v>
                </c:pt>
                <c:pt idx="152">
                  <c:v>1138.9042326149813</c:v>
                </c:pt>
                <c:pt idx="153">
                  <c:v>1158.6179158395955</c:v>
                </c:pt>
                <c:pt idx="154">
                  <c:v>1178.3250762924317</c:v>
                </c:pt>
                <c:pt idx="155">
                  <c:v>1069.3888801992859</c:v>
                </c:pt>
                <c:pt idx="156">
                  <c:v>1089.4500490111525</c:v>
                </c:pt>
                <c:pt idx="157">
                  <c:v>1109.5039893416961</c:v>
                </c:pt>
                <c:pt idx="158">
                  <c:v>1129.5508500388312</c:v>
                </c:pt>
                <c:pt idx="159">
                  <c:v>1149.5907742448753</c:v>
                </c:pt>
                <c:pt idx="160">
                  <c:v>1169.6238997128767</c:v>
                </c:pt>
                <c:pt idx="161">
                  <c:v>1189.6503591001856</c:v>
                </c:pt>
                <c:pt idx="162">
                  <c:v>1209.6702802412601</c:v>
                </c:pt>
                <c:pt idx="163">
                  <c:v>1229.6837864015072</c:v>
                </c:pt>
                <c:pt idx="164">
                  <c:v>1249.6909965137713</c:v>
                </c:pt>
                <c:pt idx="165">
                  <c:v>1130.6704624928343</c:v>
                </c:pt>
                <c:pt idx="166">
                  <c:v>1150.9929748829218</c:v>
                </c:pt>
                <c:pt idx="167">
                  <c:v>1171.3085048429873</c:v>
                </c:pt>
                <c:pt idx="168">
                  <c:v>1191.6171903343427</c:v>
                </c:pt>
                <c:pt idx="169">
                  <c:v>1211.9191642403603</c:v>
                </c:pt>
                <c:pt idx="170">
                  <c:v>1232.2145546369943</c:v>
                </c:pt>
                <c:pt idx="171">
                  <c:v>1252.5034850445916</c:v>
                </c:pt>
                <c:pt idx="172">
                  <c:v>1272.7860746625593</c:v>
                </c:pt>
                <c:pt idx="173">
                  <c:v>1293.0624385883307</c:v>
                </c:pt>
                <c:pt idx="174">
                  <c:v>1313.332688021904</c:v>
                </c:pt>
                <c:pt idx="175">
                  <c:v>818.64838934960699</c:v>
                </c:pt>
                <c:pt idx="176">
                  <c:v>831.70007355677342</c:v>
                </c:pt>
                <c:pt idx="177">
                  <c:v>844.74763878272279</c:v>
                </c:pt>
                <c:pt idx="178">
                  <c:v>578.41661778916796</c:v>
                </c:pt>
                <c:pt idx="179">
                  <c:v>586.46643387783058</c:v>
                </c:pt>
                <c:pt idx="180">
                  <c:v>594.51394828220111</c:v>
                </c:pt>
                <c:pt idx="181">
                  <c:v>412.651388094487</c:v>
                </c:pt>
                <c:pt idx="182">
                  <c:v>417.59659621587792</c:v>
                </c:pt>
                <c:pt idx="183">
                  <c:v>422.54054218163583</c:v>
                </c:pt>
                <c:pt idx="184">
                  <c:v>1.7963379770041364E-11</c:v>
                </c:pt>
                <c:pt idx="185">
                  <c:v>1.7963379770041364E-11</c:v>
                </c:pt>
                <c:pt idx="186">
                  <c:v>1.7963379770041364E-11</c:v>
                </c:pt>
                <c:pt idx="187">
                  <c:v>1.7963379770041364E-11</c:v>
                </c:pt>
                <c:pt idx="188">
                  <c:v>1.7963379770041364E-11</c:v>
                </c:pt>
                <c:pt idx="189">
                  <c:v>1.7963379770041364E-11</c:v>
                </c:pt>
                <c:pt idx="190">
                  <c:v>1.7963379770041364E-11</c:v>
                </c:pt>
                <c:pt idx="191">
                  <c:v>1.7963379770041364E-11</c:v>
                </c:pt>
                <c:pt idx="192">
                  <c:v>1.7963379770041364E-11</c:v>
                </c:pt>
                <c:pt idx="193">
                  <c:v>1.7963379770041364E-11</c:v>
                </c:pt>
                <c:pt idx="194">
                  <c:v>1.7963379770041364E-11</c:v>
                </c:pt>
                <c:pt idx="195">
                  <c:v>1.7963379770041364E-11</c:v>
                </c:pt>
                <c:pt idx="196">
                  <c:v>1.7963379770041364E-11</c:v>
                </c:pt>
                <c:pt idx="197">
                  <c:v>1.7963379770041364E-11</c:v>
                </c:pt>
                <c:pt idx="198">
                  <c:v>1.7963379770041364E-11</c:v>
                </c:pt>
                <c:pt idx="199">
                  <c:v>1.7963379770041364E-11</c:v>
                </c:pt>
                <c:pt idx="200">
                  <c:v>1.7963379770041364E-11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9.0050020993719304</c:v>
                </c:pt>
                <c:pt idx="2">
                  <c:v>17.614224179099281</c:v>
                </c:pt>
                <c:pt idx="3">
                  <c:v>26.095629179395626</c:v>
                </c:pt>
                <c:pt idx="4">
                  <c:v>34.49824475795532</c:v>
                </c:pt>
                <c:pt idx="5">
                  <c:v>42.84429185647835</c:v>
                </c:pt>
                <c:pt idx="6">
                  <c:v>51.146446227860601</c:v>
                </c:pt>
                <c:pt idx="7">
                  <c:v>59.412879439878935</c:v>
                </c:pt>
                <c:pt idx="8">
                  <c:v>67.649283312103222</c:v>
                </c:pt>
                <c:pt idx="9">
                  <c:v>75.85984140432312</c:v>
                </c:pt>
                <c:pt idx="10">
                  <c:v>84.04775305657931</c:v>
                </c:pt>
                <c:pt idx="11">
                  <c:v>92.215540713452924</c:v>
                </c:pt>
                <c:pt idx="12">
                  <c:v>100.36524188794243</c:v>
                </c:pt>
                <c:pt idx="13">
                  <c:v>108.4985351429486</c:v>
                </c:pt>
                <c:pt idx="14">
                  <c:v>116.61682613120678</c:v>
                </c:pt>
                <c:pt idx="15">
                  <c:v>124.72130831921697</c:v>
                </c:pt>
                <c:pt idx="16">
                  <c:v>132.81300704195772</c:v>
                </c:pt>
                <c:pt idx="17">
                  <c:v>140.89281222352039</c:v>
                </c:pt>
                <c:pt idx="18">
                  <c:v>148.96150317663719</c:v>
                </c:pt>
                <c:pt idx="19">
                  <c:v>157.01976773320771</c:v>
                </c:pt>
                <c:pt idx="20">
                  <c:v>165.06821723245113</c:v>
                </c:pt>
                <c:pt idx="21">
                  <c:v>173.10739842624028</c:v>
                </c:pt>
                <c:pt idx="22">
                  <c:v>181.13780305250211</c:v>
                </c:pt>
                <c:pt idx="23">
                  <c:v>189.15987561879626</c:v>
                </c:pt>
                <c:pt idx="24">
                  <c:v>197.17401979403192</c:v>
                </c:pt>
                <c:pt idx="25">
                  <c:v>205.18060370488044</c:v>
                </c:pt>
                <c:pt idx="26">
                  <c:v>213.1799643609078</c:v>
                </c:pt>
                <c:pt idx="27">
                  <c:v>221.17241137976885</c:v>
                </c:pt>
                <c:pt idx="28">
                  <c:v>229.15823014500677</c:v>
                </c:pt>
                <c:pt idx="29">
                  <c:v>237.13768450006134</c:v>
                </c:pt>
                <c:pt idx="30">
                  <c:v>245.11101906025024</c:v>
                </c:pt>
                <c:pt idx="31">
                  <c:v>253.07846120782642</c:v>
                </c:pt>
                <c:pt idx="32">
                  <c:v>261.04022282237821</c:v>
                </c:pt>
                <c:pt idx="33">
                  <c:v>268.99650178885196</c:v>
                </c:pt>
                <c:pt idx="34">
                  <c:v>276.94748331764885</c:v>
                </c:pt>
                <c:pt idx="35">
                  <c:v>284.89334110505234</c:v>
                </c:pt>
                <c:pt idx="36">
                  <c:v>292.83423835730713</c:v>
                </c:pt>
                <c:pt idx="37">
                  <c:v>300.77032869771307</c:v>
                </c:pt>
                <c:pt idx="38">
                  <c:v>308.70175697289704</c:v>
                </c:pt>
                <c:pt idx="39">
                  <c:v>316.62865997182678</c:v>
                </c:pt>
                <c:pt idx="40">
                  <c:v>324.55116706900372</c:v>
                </c:pt>
                <c:pt idx="41">
                  <c:v>332.46940080152797</c:v>
                </c:pt>
                <c:pt idx="42">
                  <c:v>340.3834773882773</c:v>
                </c:pt>
                <c:pt idx="43">
                  <c:v>273.75218029395825</c:v>
                </c:pt>
                <c:pt idx="44">
                  <c:v>293.36881382704775</c:v>
                </c:pt>
                <c:pt idx="45">
                  <c:v>312.95617609403075</c:v>
                </c:pt>
                <c:pt idx="46">
                  <c:v>332.51635617745427</c:v>
                </c:pt>
                <c:pt idx="47">
                  <c:v>352.05117734371078</c:v>
                </c:pt>
                <c:pt idx="48">
                  <c:v>371.56224404609662</c:v>
                </c:pt>
                <c:pt idx="49">
                  <c:v>391.0509785343383</c:v>
                </c:pt>
                <c:pt idx="50">
                  <c:v>410.51864978264985</c:v>
                </c:pt>
                <c:pt idx="51">
                  <c:v>358.14000932688845</c:v>
                </c:pt>
                <c:pt idx="52">
                  <c:v>378.133205362853</c:v>
                </c:pt>
                <c:pt idx="53">
                  <c:v>398.10339955589421</c:v>
                </c:pt>
                <c:pt idx="54">
                  <c:v>418.05190742655623</c:v>
                </c:pt>
                <c:pt idx="55">
                  <c:v>437.97990876559203</c:v>
                </c:pt>
                <c:pt idx="56">
                  <c:v>457.88846730300457</c:v>
                </c:pt>
                <c:pt idx="57">
                  <c:v>477.7785467783458</c:v>
                </c:pt>
                <c:pt idx="58">
                  <c:v>497.651024196067</c:v>
                </c:pt>
                <c:pt idx="59">
                  <c:v>425.3081979788314</c:v>
                </c:pt>
                <c:pt idx="60">
                  <c:v>444.73668447776726</c:v>
                </c:pt>
                <c:pt idx="61">
                  <c:v>464.14699911725734</c:v>
                </c:pt>
                <c:pt idx="62">
                  <c:v>483.54000828600118</c:v>
                </c:pt>
                <c:pt idx="63">
                  <c:v>502.91650325255364</c:v>
                </c:pt>
                <c:pt idx="64">
                  <c:v>522.27720938092455</c:v>
                </c:pt>
                <c:pt idx="65">
                  <c:v>541.62279390908645</c:v>
                </c:pt>
                <c:pt idx="66">
                  <c:v>560.95387255882349</c:v>
                </c:pt>
                <c:pt idx="67">
                  <c:v>476.79537882809342</c:v>
                </c:pt>
                <c:pt idx="68">
                  <c:v>495.46111981441936</c:v>
                </c:pt>
                <c:pt idx="69">
                  <c:v>514.11196622588784</c:v>
                </c:pt>
                <c:pt idx="70">
                  <c:v>532.74853410341427</c:v>
                </c:pt>
                <c:pt idx="71">
                  <c:v>551.37139290172445</c:v>
                </c:pt>
                <c:pt idx="72">
                  <c:v>569.98107049885277</c:v>
                </c:pt>
                <c:pt idx="73">
                  <c:v>588.57805751771946</c:v>
                </c:pt>
                <c:pt idx="74">
                  <c:v>607.16281107343082</c:v>
                </c:pt>
                <c:pt idx="75">
                  <c:v>527.27795667733812</c:v>
                </c:pt>
                <c:pt idx="76">
                  <c:v>545.54754028313835</c:v>
                </c:pt>
                <c:pt idx="77">
                  <c:v>563.80428892622592</c:v>
                </c:pt>
                <c:pt idx="78">
                  <c:v>582.04867643370324</c:v>
                </c:pt>
                <c:pt idx="79">
                  <c:v>600.28114452830425</c:v>
                </c:pt>
                <c:pt idx="80">
                  <c:v>618.50210593255088</c:v>
                </c:pt>
                <c:pt idx="81">
                  <c:v>636.71194708833502</c:v>
                </c:pt>
                <c:pt idx="82">
                  <c:v>654.91103054942675</c:v>
                </c:pt>
                <c:pt idx="83">
                  <c:v>673.09969709441123</c:v>
                </c:pt>
                <c:pt idx="84">
                  <c:v>691.27826759955133</c:v>
                </c:pt>
                <c:pt idx="85">
                  <c:v>581.59973453568659</c:v>
                </c:pt>
                <c:pt idx="86">
                  <c:v>599.11844918899601</c:v>
                </c:pt>
                <c:pt idx="87">
                  <c:v>616.62651763378562</c:v>
                </c:pt>
                <c:pt idx="88">
                  <c:v>634.12428449003357</c:v>
                </c:pt>
                <c:pt idx="89">
                  <c:v>651.61207382332452</c:v>
                </c:pt>
                <c:pt idx="90">
                  <c:v>669.09019090077402</c:v>
                </c:pt>
                <c:pt idx="91">
                  <c:v>686.55892375407859</c:v>
                </c:pt>
                <c:pt idx="92">
                  <c:v>704.01854457534034</c:v>
                </c:pt>
                <c:pt idx="93">
                  <c:v>721.46931096734397</c:v>
                </c:pt>
                <c:pt idx="94">
                  <c:v>738.91146706668712</c:v>
                </c:pt>
                <c:pt idx="95">
                  <c:v>627.697086725389</c:v>
                </c:pt>
                <c:pt idx="96">
                  <c:v>644.74814711906788</c:v>
                </c:pt>
                <c:pt idx="97">
                  <c:v>661.78990449197136</c:v>
                </c:pt>
                <c:pt idx="98">
                  <c:v>678.82263195520943</c:v>
                </c:pt>
                <c:pt idx="99">
                  <c:v>695.84658780820121</c:v>
                </c:pt>
                <c:pt idx="100">
                  <c:v>712.86201669207321</c:v>
                </c:pt>
                <c:pt idx="101">
                  <c:v>729.86915062730213</c:v>
                </c:pt>
                <c:pt idx="102">
                  <c:v>746.86820994969855</c:v>
                </c:pt>
                <c:pt idx="103">
                  <c:v>763.85940415682887</c:v>
                </c:pt>
                <c:pt idx="104">
                  <c:v>780.84293267527562</c:v>
                </c:pt>
                <c:pt idx="105">
                  <c:v>671.97975155410234</c:v>
                </c:pt>
                <c:pt idx="106">
                  <c:v>688.82254008714096</c:v>
                </c:pt>
                <c:pt idx="107">
                  <c:v>705.65688844321483</c:v>
                </c:pt>
                <c:pt idx="108">
                  <c:v>722.4830261622709</c:v>
                </c:pt>
                <c:pt idx="109">
                  <c:v>739.30117123035416</c:v>
                </c:pt>
                <c:pt idx="110">
                  <c:v>756.11153091614267</c:v>
                </c:pt>
                <c:pt idx="111">
                  <c:v>772.91430252928774</c:v>
                </c:pt>
                <c:pt idx="112">
                  <c:v>789.70967410944593</c:v>
                </c:pt>
                <c:pt idx="113">
                  <c:v>806.49782505370615</c:v>
                </c:pt>
                <c:pt idx="114">
                  <c:v>823.27892668911102</c:v>
                </c:pt>
                <c:pt idx="115">
                  <c:v>722.72266190929292</c:v>
                </c:pt>
                <c:pt idx="116">
                  <c:v>739.67566348659057</c:v>
                </c:pt>
                <c:pt idx="117">
                  <c:v>756.62075875063954</c:v>
                </c:pt>
                <c:pt idx="118">
                  <c:v>773.55814954391769</c:v>
                </c:pt>
                <c:pt idx="119">
                  <c:v>790.48802815801503</c:v>
                </c:pt>
                <c:pt idx="120">
                  <c:v>807.41057798460258</c:v>
                </c:pt>
                <c:pt idx="121">
                  <c:v>824.32597410904464</c:v>
                </c:pt>
                <c:pt idx="122">
                  <c:v>841.23438385280679</c:v>
                </c:pt>
                <c:pt idx="123">
                  <c:v>858.13596727003414</c:v>
                </c:pt>
                <c:pt idx="124">
                  <c:v>875.03087760302014</c:v>
                </c:pt>
                <c:pt idx="125">
                  <c:v>782.50061686170341</c:v>
                </c:pt>
                <c:pt idx="126">
                  <c:v>799.62968518227046</c:v>
                </c:pt>
                <c:pt idx="127">
                  <c:v>816.75134561555353</c:v>
                </c:pt>
                <c:pt idx="128">
                  <c:v>833.86577516673162</c:v>
                </c:pt>
                <c:pt idx="129">
                  <c:v>850.97314299064567</c:v>
                </c:pt>
                <c:pt idx="130">
                  <c:v>868.07361089398819</c:v>
                </c:pt>
                <c:pt idx="131">
                  <c:v>885.16733379591051</c:v>
                </c:pt>
                <c:pt idx="132">
                  <c:v>902.2544601512418</c:v>
                </c:pt>
                <c:pt idx="133">
                  <c:v>919.33513234002146</c:v>
                </c:pt>
                <c:pt idx="134">
                  <c:v>936.40948702661092</c:v>
                </c:pt>
                <c:pt idx="135">
                  <c:v>838.6102011221443</c:v>
                </c:pt>
                <c:pt idx="136">
                  <c:v>855.94497971688827</c:v>
                </c:pt>
                <c:pt idx="137">
                  <c:v>873.27271903682515</c:v>
                </c:pt>
                <c:pt idx="138">
                  <c:v>890.5935782737007</c:v>
                </c:pt>
                <c:pt idx="139">
                  <c:v>907.90770992953412</c:v>
                </c:pt>
                <c:pt idx="140">
                  <c:v>925.21526022253431</c:v>
                </c:pt>
                <c:pt idx="141">
                  <c:v>942.51636946110614</c:v>
                </c:pt>
                <c:pt idx="142">
                  <c:v>959.81117238899981</c:v>
                </c:pt>
                <c:pt idx="143">
                  <c:v>977.0997985043233</c:v>
                </c:pt>
                <c:pt idx="144">
                  <c:v>994.38237235483496</c:v>
                </c:pt>
                <c:pt idx="145">
                  <c:v>895.13672120800663</c:v>
                </c:pt>
                <c:pt idx="146">
                  <c:v>912.81066349155742</c:v>
                </c:pt>
                <c:pt idx="147">
                  <c:v>930.4777886047126</c:v>
                </c:pt>
                <c:pt idx="148">
                  <c:v>948.13824405935259</c:v>
                </c:pt>
                <c:pt idx="149">
                  <c:v>965.79217143106382</c:v>
                </c:pt>
                <c:pt idx="150">
                  <c:v>983.43970670436431</c:v>
                </c:pt>
                <c:pt idx="151">
                  <c:v>1001.0809805918944</c:v>
                </c:pt>
                <c:pt idx="152">
                  <c:v>1018.71611882997</c:v>
                </c:pt>
                <c:pt idx="153">
                  <c:v>1036.3452424526342</c:v>
                </c:pt>
                <c:pt idx="154">
                  <c:v>1053.9684680461214</c:v>
                </c:pt>
                <c:pt idx="155">
                  <c:v>956.55090506127237</c:v>
                </c:pt>
                <c:pt idx="156">
                  <c:v>974.49101342927031</c:v>
                </c:pt>
                <c:pt idx="157">
                  <c:v>992.4245856504881</c:v>
                </c:pt>
                <c:pt idx="158">
                  <c:v>1010.3517563163817</c:v>
                </c:pt>
                <c:pt idx="159">
                  <c:v>1028.272654859283</c:v>
                </c:pt>
                <c:pt idx="160">
                  <c:v>1046.1874058384321</c:v>
                </c:pt>
                <c:pt idx="161">
                  <c:v>1064.0961292054305</c:v>
                </c:pt>
                <c:pt idx="162">
                  <c:v>1081.9989405509189</c:v>
                </c:pt>
                <c:pt idx="163">
                  <c:v>1099.8959513341035</c:v>
                </c:pt>
                <c:pt idx="164">
                  <c:v>1117.7872690965953</c:v>
                </c:pt>
                <c:pt idx="165">
                  <c:v>1011.3529825308154</c:v>
                </c:pt>
                <c:pt idx="166">
                  <c:v>1029.5265839652609</c:v>
                </c:pt>
                <c:pt idx="167">
                  <c:v>1047.6938717377543</c:v>
                </c:pt>
                <c:pt idx="168">
                  <c:v>1065.8549705958526</c:v>
                </c:pt>
                <c:pt idx="169">
                  <c:v>1084.0100006955302</c:v>
                </c:pt>
                <c:pt idx="170">
                  <c:v>1102.1590778457946</c:v>
                </c:pt>
                <c:pt idx="171">
                  <c:v>1120.3023137363737</c:v>
                </c:pt>
                <c:pt idx="172">
                  <c:v>1138.4398161499098</c:v>
                </c:pt>
                <c:pt idx="173">
                  <c:v>1156.5716891599543</c:v>
                </c:pt>
                <c:pt idx="174">
                  <c:v>1174.698033315914</c:v>
                </c:pt>
                <c:pt idx="175">
                  <c:v>732.31437435591215</c:v>
                </c:pt>
                <c:pt idx="176">
                  <c:v>743.98679945215974</c:v>
                </c:pt>
                <c:pt idx="177">
                  <c:v>755.65550007785635</c:v>
                </c:pt>
                <c:pt idx="178">
                  <c:v>517.46121739591933</c:v>
                </c:pt>
                <c:pt idx="179">
                  <c:v>524.66092206348958</c:v>
                </c:pt>
                <c:pt idx="180">
                  <c:v>531.85854549909652</c:v>
                </c:pt>
                <c:pt idx="181">
                  <c:v>369.1961442433323</c:v>
                </c:pt>
                <c:pt idx="182">
                  <c:v>373.61945496476648</c:v>
                </c:pt>
                <c:pt idx="183">
                  <c:v>378.04162441819318</c:v>
                </c:pt>
                <c:pt idx="184">
                  <c:v>1.6226126790761848E-11</c:v>
                </c:pt>
                <c:pt idx="185">
                  <c:v>1.6226126790761848E-11</c:v>
                </c:pt>
                <c:pt idx="186">
                  <c:v>1.6226126790761848E-11</c:v>
                </c:pt>
                <c:pt idx="187">
                  <c:v>1.6226126790761848E-11</c:v>
                </c:pt>
                <c:pt idx="188">
                  <c:v>1.6226126790761848E-11</c:v>
                </c:pt>
                <c:pt idx="189">
                  <c:v>1.6226126790761848E-11</c:v>
                </c:pt>
                <c:pt idx="190">
                  <c:v>1.6226126790761848E-11</c:v>
                </c:pt>
                <c:pt idx="191">
                  <c:v>1.6226126790761848E-11</c:v>
                </c:pt>
                <c:pt idx="192">
                  <c:v>1.6226126790761848E-11</c:v>
                </c:pt>
                <c:pt idx="193">
                  <c:v>1.6226126790761848E-11</c:v>
                </c:pt>
                <c:pt idx="194">
                  <c:v>1.6226126790761848E-11</c:v>
                </c:pt>
                <c:pt idx="195">
                  <c:v>1.6226126790761848E-11</c:v>
                </c:pt>
                <c:pt idx="196">
                  <c:v>1.6226126790761848E-11</c:v>
                </c:pt>
                <c:pt idx="197">
                  <c:v>1.6226126790761848E-11</c:v>
                </c:pt>
                <c:pt idx="198">
                  <c:v>1.6226126790761848E-11</c:v>
                </c:pt>
                <c:pt idx="199">
                  <c:v>1.6226126790761848E-11</c:v>
                </c:pt>
                <c:pt idx="200">
                  <c:v>1.6226126790761848E-11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2.226622737697221</c:v>
                </c:pt>
                <c:pt idx="2">
                  <c:v>2.8625265097424397</c:v>
                </c:pt>
                <c:pt idx="3">
                  <c:v>3.6807673232046039</c:v>
                </c:pt>
                <c:pt idx="4">
                  <c:v>4.7338249191760466</c:v>
                </c:pt>
                <c:pt idx="5">
                  <c:v>6.0893366647592657</c:v>
                </c:pt>
                <c:pt idx="6">
                  <c:v>7.8344897360718626</c:v>
                </c:pt>
                <c:pt idx="7">
                  <c:v>10.081689817520575</c:v>
                </c:pt>
                <c:pt idx="8">
                  <c:v>12.975878330143091</c:v>
                </c:pt>
                <c:pt idx="9">
                  <c:v>16.70397888629628</c:v>
                </c:pt>
                <c:pt idx="10">
                  <c:v>21.507094176298665</c:v>
                </c:pt>
                <c:pt idx="11">
                  <c:v>27.696256162013025</c:v>
                </c:pt>
                <c:pt idx="12">
                  <c:v>35.672767364515572</c:v>
                </c:pt>
                <c:pt idx="13">
                  <c:v>45.954474822239945</c:v>
                </c:pt>
                <c:pt idx="14">
                  <c:v>59.209711195430032</c:v>
                </c:pt>
                <c:pt idx="15">
                  <c:v>76.301145689172856</c:v>
                </c:pt>
                <c:pt idx="16">
                  <c:v>73.254680870054571</c:v>
                </c:pt>
                <c:pt idx="17">
                  <c:v>85.422490193978277</c:v>
                </c:pt>
                <c:pt idx="18">
                  <c:v>97.546597090535627</c:v>
                </c:pt>
                <c:pt idx="19">
                  <c:v>109.63321184045054</c:v>
                </c:pt>
                <c:pt idx="20">
                  <c:v>121.68705766035139</c:v>
                </c:pt>
                <c:pt idx="21">
                  <c:v>113.40336758500625</c:v>
                </c:pt>
                <c:pt idx="22">
                  <c:v>125.82369159890273</c:v>
                </c:pt>
                <c:pt idx="23">
                  <c:v>138.21427227726232</c:v>
                </c:pt>
                <c:pt idx="24">
                  <c:v>150.57815464878283</c:v>
                </c:pt>
                <c:pt idx="25">
                  <c:v>162.91784180635725</c:v>
                </c:pt>
                <c:pt idx="26">
                  <c:v>151.32668038460238</c:v>
                </c:pt>
                <c:pt idx="27">
                  <c:v>163.10463194167394</c:v>
                </c:pt>
                <c:pt idx="28">
                  <c:v>174.86247286052671</c:v>
                </c:pt>
                <c:pt idx="29">
                  <c:v>186.60174701218966</c:v>
                </c:pt>
                <c:pt idx="30">
                  <c:v>198.3237879023018</c:v>
                </c:pt>
                <c:pt idx="31">
                  <c:v>185.29825703239024</c:v>
                </c:pt>
                <c:pt idx="32">
                  <c:v>196.46424765821192</c:v>
                </c:pt>
                <c:pt idx="33">
                  <c:v>207.61550464114839</c:v>
                </c:pt>
                <c:pt idx="34">
                  <c:v>218.7529314533075</c:v>
                </c:pt>
                <c:pt idx="35">
                  <c:v>229.87733196669731</c:v>
                </c:pt>
                <c:pt idx="36">
                  <c:v>215.22752536323196</c:v>
                </c:pt>
                <c:pt idx="37">
                  <c:v>225.61447053517372</c:v>
                </c:pt>
                <c:pt idx="38">
                  <c:v>235.99046358292779</c:v>
                </c:pt>
                <c:pt idx="39">
                  <c:v>246.3560542968282</c:v>
                </c:pt>
                <c:pt idx="40">
                  <c:v>256.71174238331622</c:v>
                </c:pt>
                <c:pt idx="41">
                  <c:v>241.5447193683236</c:v>
                </c:pt>
                <c:pt idx="42">
                  <c:v>251.35018250509077</c:v>
                </c:pt>
                <c:pt idx="43">
                  <c:v>261.14697743122923</c:v>
                </c:pt>
                <c:pt idx="44">
                  <c:v>270.93547543188356</c:v>
                </c:pt>
                <c:pt idx="45">
                  <c:v>280.71601875158382</c:v>
                </c:pt>
                <c:pt idx="46">
                  <c:v>265.76520570407035</c:v>
                </c:pt>
                <c:pt idx="47">
                  <c:v>274.81171839209094</c:v>
                </c:pt>
                <c:pt idx="48">
                  <c:v>283.85154171752504</c:v>
                </c:pt>
                <c:pt idx="49">
                  <c:v>292.88491893596603</c:v>
                </c:pt>
                <c:pt idx="50">
                  <c:v>301.91207706001939</c:v>
                </c:pt>
                <c:pt idx="51">
                  <c:v>287.17066187581446</c:v>
                </c:pt>
                <c:pt idx="52">
                  <c:v>295.46473202474721</c:v>
                </c:pt>
                <c:pt idx="53">
                  <c:v>303.75360952955964</c:v>
                </c:pt>
                <c:pt idx="54">
                  <c:v>312.03745619949137</c:v>
                </c:pt>
                <c:pt idx="55">
                  <c:v>320.31642454362617</c:v>
                </c:pt>
                <c:pt idx="56">
                  <c:v>305.96312075604675</c:v>
                </c:pt>
                <c:pt idx="57">
                  <c:v>313.69363540885178</c:v>
                </c:pt>
                <c:pt idx="58">
                  <c:v>321.41992623463273</c:v>
                </c:pt>
                <c:pt idx="59">
                  <c:v>329.14210918127696</c:v>
                </c:pt>
                <c:pt idx="60">
                  <c:v>336.86029430705378</c:v>
                </c:pt>
                <c:pt idx="61">
                  <c:v>323.07502170283419</c:v>
                </c:pt>
                <c:pt idx="62">
                  <c:v>330.42874810515195</c:v>
                </c:pt>
                <c:pt idx="63">
                  <c:v>337.77886455023247</c:v>
                </c:pt>
                <c:pt idx="64">
                  <c:v>345.12546074519736</c:v>
                </c:pt>
                <c:pt idx="65">
                  <c:v>352.46862226287652</c:v>
                </c:pt>
                <c:pt idx="66">
                  <c:v>340.35056918220135</c:v>
                </c:pt>
                <c:pt idx="67">
                  <c:v>347.51236094515156</c:v>
                </c:pt>
                <c:pt idx="68">
                  <c:v>354.67091326876124</c:v>
                </c:pt>
                <c:pt idx="69">
                  <c:v>361.82630081896741</c:v>
                </c:pt>
                <c:pt idx="70">
                  <c:v>368.9785950649777</c:v>
                </c:pt>
                <c:pt idx="71">
                  <c:v>355.40494358786822</c:v>
                </c:pt>
                <c:pt idx="72">
                  <c:v>362.0097313214273</c:v>
                </c:pt>
                <c:pt idx="73">
                  <c:v>368.61188489876866</c:v>
                </c:pt>
                <c:pt idx="74">
                  <c:v>375.21145820009184</c:v>
                </c:pt>
                <c:pt idx="75">
                  <c:v>381.80850305381131</c:v>
                </c:pt>
                <c:pt idx="76">
                  <c:v>368.61188489876872</c:v>
                </c:pt>
                <c:pt idx="77">
                  <c:v>374.66159103269365</c:v>
                </c:pt>
                <c:pt idx="78">
                  <c:v>380.70916902435778</c:v>
                </c:pt>
                <c:pt idx="79">
                  <c:v>386.75465748199412</c:v>
                </c:pt>
                <c:pt idx="80">
                  <c:v>392.79809370720199</c:v>
                </c:pt>
                <c:pt idx="81">
                  <c:v>380.34270900980073</c:v>
                </c:pt>
                <c:pt idx="82">
                  <c:v>386.20515297660967</c:v>
                </c:pt>
                <c:pt idx="83">
                  <c:v>392.06566407054515</c:v>
                </c:pt>
                <c:pt idx="84">
                  <c:v>397.92427528799885</c:v>
                </c:pt>
                <c:pt idx="85">
                  <c:v>403.78101857356393</c:v>
                </c:pt>
                <c:pt idx="86">
                  <c:v>391.8825520256982</c:v>
                </c:pt>
                <c:pt idx="87">
                  <c:v>397.37511032418206</c:v>
                </c:pt>
                <c:pt idx="88">
                  <c:v>402.86602430053199</c:v>
                </c:pt>
                <c:pt idx="89">
                  <c:v>408.35531955034395</c:v>
                </c:pt>
                <c:pt idx="90">
                  <c:v>413.84302092427475</c:v>
                </c:pt>
                <c:pt idx="91">
                  <c:v>401.76797181151147</c:v>
                </c:pt>
                <c:pt idx="92">
                  <c:v>407.07462745738638</c:v>
                </c:pt>
                <c:pt idx="93">
                  <c:v>412.37978836079873</c:v>
                </c:pt>
                <c:pt idx="94">
                  <c:v>417.68347648311237</c:v>
                </c:pt>
                <c:pt idx="95">
                  <c:v>422.98571318193211</c:v>
                </c:pt>
                <c:pt idx="96">
                  <c:v>411.6481300794</c:v>
                </c:pt>
                <c:pt idx="97">
                  <c:v>416.76915163430607</c:v>
                </c:pt>
                <c:pt idx="98">
                  <c:v>421.88881674752491</c:v>
                </c:pt>
                <c:pt idx="99">
                  <c:v>427.00714421800649</c:v>
                </c:pt>
                <c:pt idx="100">
                  <c:v>432.12415235683983</c:v>
                </c:pt>
                <c:pt idx="101">
                  <c:v>421.15751834664792</c:v>
                </c:pt>
                <c:pt idx="102">
                  <c:v>425.72768674484399</c:v>
                </c:pt>
                <c:pt idx="103">
                  <c:v>430.29679977258553</c:v>
                </c:pt>
                <c:pt idx="104">
                  <c:v>434.86487022897182</c:v>
                </c:pt>
                <c:pt idx="105">
                  <c:v>439.43191062199884</c:v>
                </c:pt>
                <c:pt idx="106">
                  <c:v>428.65203984890587</c:v>
                </c:pt>
                <c:pt idx="107">
                  <c:v>433.40320034685732</c:v>
                </c:pt>
                <c:pt idx="108">
                  <c:v>438.15324243063105</c:v>
                </c:pt>
                <c:pt idx="109">
                  <c:v>442.90217994739697</c:v>
                </c:pt>
                <c:pt idx="110">
                  <c:v>447.65002642287322</c:v>
                </c:pt>
                <c:pt idx="111">
                  <c:v>4.0650021179971913E-12</c:v>
                </c:pt>
                <c:pt idx="112">
                  <c:v>4.0650021179971913E-12</c:v>
                </c:pt>
                <c:pt idx="113">
                  <c:v>4.0650021179971913E-12</c:v>
                </c:pt>
                <c:pt idx="114">
                  <c:v>4.0650021179971913E-12</c:v>
                </c:pt>
                <c:pt idx="115">
                  <c:v>4.0650021179971913E-12</c:v>
                </c:pt>
                <c:pt idx="116">
                  <c:v>4.0650021179971913E-12</c:v>
                </c:pt>
                <c:pt idx="117">
                  <c:v>4.0650021179971913E-12</c:v>
                </c:pt>
                <c:pt idx="118">
                  <c:v>4.0650021179971913E-12</c:v>
                </c:pt>
                <c:pt idx="119">
                  <c:v>4.0650021179971913E-12</c:v>
                </c:pt>
                <c:pt idx="120">
                  <c:v>4.0650021179971913E-12</c:v>
                </c:pt>
                <c:pt idx="121">
                  <c:v>4.0650021179971913E-12</c:v>
                </c:pt>
                <c:pt idx="122">
                  <c:v>4.0650021179971913E-12</c:v>
                </c:pt>
                <c:pt idx="123">
                  <c:v>4.0650021179971913E-12</c:v>
                </c:pt>
                <c:pt idx="124">
                  <c:v>4.0650021179971913E-12</c:v>
                </c:pt>
                <c:pt idx="125">
                  <c:v>4.0650021179971913E-12</c:v>
                </c:pt>
                <c:pt idx="126">
                  <c:v>4.0650021179971913E-12</c:v>
                </c:pt>
                <c:pt idx="127">
                  <c:v>4.0650021179971913E-12</c:v>
                </c:pt>
                <c:pt idx="128">
                  <c:v>4.0650021179971913E-12</c:v>
                </c:pt>
                <c:pt idx="129">
                  <c:v>4.0650021179971913E-12</c:v>
                </c:pt>
                <c:pt idx="130">
                  <c:v>4.0650021179971913E-12</c:v>
                </c:pt>
                <c:pt idx="131">
                  <c:v>4.0650021179971913E-12</c:v>
                </c:pt>
                <c:pt idx="132">
                  <c:v>4.0650021179971913E-12</c:v>
                </c:pt>
                <c:pt idx="133">
                  <c:v>4.0650021179971913E-12</c:v>
                </c:pt>
                <c:pt idx="134">
                  <c:v>4.0650021179971913E-12</c:v>
                </c:pt>
                <c:pt idx="135">
                  <c:v>4.0650021179971913E-12</c:v>
                </c:pt>
                <c:pt idx="136">
                  <c:v>4.0650021179971913E-12</c:v>
                </c:pt>
                <c:pt idx="137">
                  <c:v>4.0650021179971913E-12</c:v>
                </c:pt>
                <c:pt idx="138">
                  <c:v>4.0650021179971913E-12</c:v>
                </c:pt>
                <c:pt idx="139">
                  <c:v>4.0650021179971913E-12</c:v>
                </c:pt>
                <c:pt idx="140">
                  <c:v>4.0650021179971913E-12</c:v>
                </c:pt>
                <c:pt idx="141">
                  <c:v>4.0650021179971913E-12</c:v>
                </c:pt>
                <c:pt idx="142">
                  <c:v>4.0650021179971913E-12</c:v>
                </c:pt>
                <c:pt idx="143">
                  <c:v>4.0650021179971913E-12</c:v>
                </c:pt>
                <c:pt idx="144">
                  <c:v>4.0650021179971913E-12</c:v>
                </c:pt>
                <c:pt idx="145">
                  <c:v>4.0650021179971913E-12</c:v>
                </c:pt>
                <c:pt idx="146">
                  <c:v>4.0650021179971913E-12</c:v>
                </c:pt>
                <c:pt idx="147">
                  <c:v>4.0650021179971913E-12</c:v>
                </c:pt>
                <c:pt idx="148">
                  <c:v>4.0650021179971913E-12</c:v>
                </c:pt>
                <c:pt idx="149">
                  <c:v>4.0650021179971913E-12</c:v>
                </c:pt>
                <c:pt idx="150">
                  <c:v>4.0650021179971913E-12</c:v>
                </c:pt>
                <c:pt idx="151">
                  <c:v>4.0650021179971913E-12</c:v>
                </c:pt>
                <c:pt idx="152">
                  <c:v>4.0650021179971913E-12</c:v>
                </c:pt>
                <c:pt idx="153">
                  <c:v>4.0650021179971913E-12</c:v>
                </c:pt>
                <c:pt idx="154">
                  <c:v>4.0650021179971913E-12</c:v>
                </c:pt>
                <c:pt idx="155">
                  <c:v>4.0650021179971913E-12</c:v>
                </c:pt>
                <c:pt idx="156">
                  <c:v>4.0650021179971913E-12</c:v>
                </c:pt>
                <c:pt idx="157">
                  <c:v>4.0650021179971913E-12</c:v>
                </c:pt>
                <c:pt idx="158">
                  <c:v>4.0650021179971913E-12</c:v>
                </c:pt>
                <c:pt idx="159">
                  <c:v>4.0650021179971913E-12</c:v>
                </c:pt>
                <c:pt idx="160">
                  <c:v>4.0650021179971913E-12</c:v>
                </c:pt>
                <c:pt idx="161">
                  <c:v>4.0650021179971913E-12</c:v>
                </c:pt>
                <c:pt idx="162">
                  <c:v>4.0650021179971913E-12</c:v>
                </c:pt>
                <c:pt idx="163">
                  <c:v>4.0650021179971913E-12</c:v>
                </c:pt>
                <c:pt idx="164">
                  <c:v>4.0650021179971913E-12</c:v>
                </c:pt>
                <c:pt idx="165">
                  <c:v>4.0650021179971913E-12</c:v>
                </c:pt>
                <c:pt idx="166">
                  <c:v>4.0650021179971913E-12</c:v>
                </c:pt>
                <c:pt idx="167">
                  <c:v>4.0650021179971913E-12</c:v>
                </c:pt>
                <c:pt idx="168">
                  <c:v>4.0650021179971913E-12</c:v>
                </c:pt>
                <c:pt idx="169">
                  <c:v>4.0650021179971913E-12</c:v>
                </c:pt>
                <c:pt idx="170">
                  <c:v>4.0650021179971913E-12</c:v>
                </c:pt>
                <c:pt idx="171">
                  <c:v>4.0650021179971913E-12</c:v>
                </c:pt>
                <c:pt idx="172">
                  <c:v>4.0650021179971913E-12</c:v>
                </c:pt>
                <c:pt idx="173">
                  <c:v>4.0650021179971913E-12</c:v>
                </c:pt>
                <c:pt idx="174">
                  <c:v>4.0650021179971913E-12</c:v>
                </c:pt>
                <c:pt idx="175">
                  <c:v>4.0650021179971913E-12</c:v>
                </c:pt>
                <c:pt idx="176">
                  <c:v>4.0650021179971913E-12</c:v>
                </c:pt>
                <c:pt idx="177">
                  <c:v>4.0650021179971913E-12</c:v>
                </c:pt>
                <c:pt idx="178">
                  <c:v>4.0650021179971913E-12</c:v>
                </c:pt>
                <c:pt idx="179">
                  <c:v>4.0650021179971913E-12</c:v>
                </c:pt>
                <c:pt idx="180">
                  <c:v>4.0650021179971913E-12</c:v>
                </c:pt>
                <c:pt idx="181">
                  <c:v>4.0650021179971913E-12</c:v>
                </c:pt>
                <c:pt idx="182">
                  <c:v>4.0650021179971913E-12</c:v>
                </c:pt>
                <c:pt idx="183">
                  <c:v>4.0650021179971913E-12</c:v>
                </c:pt>
                <c:pt idx="184">
                  <c:v>4.0650021179971913E-12</c:v>
                </c:pt>
                <c:pt idx="185">
                  <c:v>4.0650021179971913E-12</c:v>
                </c:pt>
                <c:pt idx="186">
                  <c:v>4.0650021179971913E-12</c:v>
                </c:pt>
                <c:pt idx="187">
                  <c:v>4.0650021179971913E-12</c:v>
                </c:pt>
                <c:pt idx="188">
                  <c:v>4.0650021179971913E-12</c:v>
                </c:pt>
                <c:pt idx="189">
                  <c:v>4.0650021179971913E-12</c:v>
                </c:pt>
                <c:pt idx="190">
                  <c:v>4.0650021179971913E-12</c:v>
                </c:pt>
                <c:pt idx="191">
                  <c:v>4.0650021179971913E-12</c:v>
                </c:pt>
                <c:pt idx="192">
                  <c:v>4.0650021179971913E-12</c:v>
                </c:pt>
                <c:pt idx="193">
                  <c:v>4.0650021179971913E-12</c:v>
                </c:pt>
                <c:pt idx="194">
                  <c:v>4.0650021179971913E-12</c:v>
                </c:pt>
                <c:pt idx="195">
                  <c:v>4.0650021179971913E-12</c:v>
                </c:pt>
                <c:pt idx="196">
                  <c:v>4.0650021179971913E-12</c:v>
                </c:pt>
                <c:pt idx="197">
                  <c:v>4.0650021179971913E-12</c:v>
                </c:pt>
                <c:pt idx="198">
                  <c:v>4.0650021179971913E-12</c:v>
                </c:pt>
                <c:pt idx="199">
                  <c:v>4.0650021179971913E-12</c:v>
                </c:pt>
                <c:pt idx="200">
                  <c:v>4.0650021179971913E-12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2.0372769670101483</c:v>
                </c:pt>
                <c:pt idx="2">
                  <c:v>2.676486199143135</c:v>
                </c:pt>
                <c:pt idx="3">
                  <c:v>3.5170759077395513</c:v>
                </c:pt>
                <c:pt idx="4">
                  <c:v>4.6227351394646172</c:v>
                </c:pt>
                <c:pt idx="5">
                  <c:v>6.0773678328619782</c:v>
                </c:pt>
                <c:pt idx="6">
                  <c:v>7.9915303734957925</c:v>
                </c:pt>
                <c:pt idx="7">
                  <c:v>10.510925497936862</c:v>
                </c:pt>
                <c:pt idx="8">
                  <c:v>13.827611241534122</c:v>
                </c:pt>
                <c:pt idx="9">
                  <c:v>18.194795155280449</c:v>
                </c:pt>
                <c:pt idx="10">
                  <c:v>23.946363633196558</c:v>
                </c:pt>
                <c:pt idx="11">
                  <c:v>31.522665853656651</c:v>
                </c:pt>
                <c:pt idx="12">
                  <c:v>41.504560602143492</c:v>
                </c:pt>
                <c:pt idx="13">
                  <c:v>54.658380558021626</c:v>
                </c:pt>
                <c:pt idx="14">
                  <c:v>71.995323377039924</c:v>
                </c:pt>
                <c:pt idx="15">
                  <c:v>94.849909428740133</c:v>
                </c:pt>
                <c:pt idx="16">
                  <c:v>124.98364149297942</c:v>
                </c:pt>
                <c:pt idx="17">
                  <c:v>164.72198008050322</c:v>
                </c:pt>
                <c:pt idx="18">
                  <c:v>134.28250989030781</c:v>
                </c:pt>
                <c:pt idx="19">
                  <c:v>157.45506117882073</c:v>
                </c:pt>
                <c:pt idx="20">
                  <c:v>180.54657390777126</c:v>
                </c:pt>
                <c:pt idx="21">
                  <c:v>203.56888236001612</c:v>
                </c:pt>
                <c:pt idx="22">
                  <c:v>226.53091750255075</c:v>
                </c:pt>
                <c:pt idx="23">
                  <c:v>249.43964844709606</c:v>
                </c:pt>
                <c:pt idx="24">
                  <c:v>198.2631718527642</c:v>
                </c:pt>
                <c:pt idx="25">
                  <c:v>222.37968742634794</c:v>
                </c:pt>
                <c:pt idx="26">
                  <c:v>246.4361891457107</c:v>
                </c:pt>
                <c:pt idx="27">
                  <c:v>270.43935829312153</c:v>
                </c:pt>
                <c:pt idx="28">
                  <c:v>294.39459227178389</c:v>
                </c:pt>
                <c:pt idx="29">
                  <c:v>318.30633801047736</c:v>
                </c:pt>
                <c:pt idx="30">
                  <c:v>270.68449172782698</c:v>
                </c:pt>
                <c:pt idx="31">
                  <c:v>293.51930351408345</c:v>
                </c:pt>
                <c:pt idx="32">
                  <c:v>316.31447172414227</c:v>
                </c:pt>
                <c:pt idx="33">
                  <c:v>339.07325336996888</c:v>
                </c:pt>
                <c:pt idx="34">
                  <c:v>361.7984326115573</c:v>
                </c:pt>
                <c:pt idx="35">
                  <c:v>384.49241541397896</c:v>
                </c:pt>
                <c:pt idx="36">
                  <c:v>407.15730067263689</c:v>
                </c:pt>
                <c:pt idx="37">
                  <c:v>330.75137896983284</c:v>
                </c:pt>
                <c:pt idx="38">
                  <c:v>351.93090381479277</c:v>
                </c:pt>
                <c:pt idx="39">
                  <c:v>373.08249524821412</c:v>
                </c:pt>
                <c:pt idx="40">
                  <c:v>394.20795870969431</c:v>
                </c:pt>
                <c:pt idx="41">
                  <c:v>415.30889042922746</c:v>
                </c:pt>
                <c:pt idx="42">
                  <c:v>436.38671128579443</c:v>
                </c:pt>
                <c:pt idx="43">
                  <c:v>457.44269378262044</c:v>
                </c:pt>
                <c:pt idx="44">
                  <c:v>478.47798379712521</c:v>
                </c:pt>
                <c:pt idx="45">
                  <c:v>397.753227063145</c:v>
                </c:pt>
                <c:pt idx="46">
                  <c:v>416.44223811477758</c:v>
                </c:pt>
                <c:pt idx="47">
                  <c:v>435.11317365477458</c:v>
                </c:pt>
                <c:pt idx="48">
                  <c:v>453.76691805289994</c:v>
                </c:pt>
                <c:pt idx="49">
                  <c:v>472.40427707439738</c:v>
                </c:pt>
                <c:pt idx="50">
                  <c:v>491.0259877555323</c:v>
                </c:pt>
                <c:pt idx="51">
                  <c:v>509.63272670342303</c:v>
                </c:pt>
                <c:pt idx="52">
                  <c:v>528.22511712105825</c:v>
                </c:pt>
                <c:pt idx="53">
                  <c:v>448.98126779829232</c:v>
                </c:pt>
                <c:pt idx="54">
                  <c:v>465.70732350694396</c:v>
                </c:pt>
                <c:pt idx="55">
                  <c:v>482.42057605284941</c:v>
                </c:pt>
                <c:pt idx="56">
                  <c:v>499.12153124405523</c:v>
                </c:pt>
                <c:pt idx="57">
                  <c:v>515.81065829469196</c:v>
                </c:pt>
                <c:pt idx="58">
                  <c:v>532.48839359517024</c:v>
                </c:pt>
                <c:pt idx="59">
                  <c:v>549.15514398564108</c:v>
                </c:pt>
                <c:pt idx="60">
                  <c:v>565.81128961154946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12" zoomScale="80" zoomScaleNormal="80" workbookViewId="0">
      <selection activeCell="B18" sqref="B18:M31"/>
    </sheetView>
  </sheetViews>
  <sheetFormatPr baseColWidth="10" defaultRowHeight="14.5" x14ac:dyDescent="0.35"/>
  <cols>
    <col min="1" max="1" width="6.6328125" customWidth="1"/>
    <col min="2" max="13" width="15.90625" customWidth="1"/>
  </cols>
  <sheetData>
    <row r="12" spans="2:13" ht="15" customHeight="1" x14ac:dyDescent="0.35">
      <c r="B12" s="263" t="s">
        <v>291</v>
      </c>
      <c r="C12" s="263"/>
      <c r="D12" s="263"/>
      <c r="E12" s="263"/>
      <c r="F12" s="263"/>
      <c r="G12" s="263"/>
      <c r="H12" s="263"/>
      <c r="I12" s="263"/>
      <c r="J12" s="263"/>
      <c r="K12" s="263"/>
      <c r="L12" s="263"/>
      <c r="M12" s="263"/>
    </row>
    <row r="13" spans="2:13" ht="15" customHeight="1" x14ac:dyDescent="0.35">
      <c r="B13" s="263"/>
      <c r="C13" s="263"/>
      <c r="D13" s="263"/>
      <c r="E13" s="263"/>
      <c r="F13" s="263"/>
      <c r="G13" s="263"/>
      <c r="H13" s="263"/>
      <c r="I13" s="263"/>
      <c r="J13" s="263"/>
      <c r="K13" s="263"/>
      <c r="L13" s="263"/>
      <c r="M13" s="263"/>
    </row>
    <row r="14" spans="2:13" ht="15" customHeight="1" x14ac:dyDescent="0.35">
      <c r="B14" s="263"/>
      <c r="C14" s="263"/>
      <c r="D14" s="263"/>
      <c r="E14" s="263"/>
      <c r="F14" s="263"/>
      <c r="G14" s="263"/>
      <c r="H14" s="263"/>
      <c r="I14" s="263"/>
      <c r="J14" s="263"/>
      <c r="K14" s="263"/>
      <c r="L14" s="263"/>
      <c r="M14" s="263"/>
    </row>
    <row r="15" spans="2:13" ht="18.75" customHeight="1" x14ac:dyDescent="0.35">
      <c r="B15" s="263"/>
      <c r="C15" s="263"/>
      <c r="D15" s="263"/>
      <c r="E15" s="263"/>
      <c r="F15" s="263"/>
      <c r="G15" s="263"/>
      <c r="H15" s="263"/>
      <c r="I15" s="263"/>
      <c r="J15" s="263"/>
      <c r="K15" s="263"/>
      <c r="L15" s="263"/>
      <c r="M15" s="263"/>
    </row>
    <row r="16" spans="2:13" ht="18.75" customHeight="1" x14ac:dyDescent="0.35">
      <c r="B16" s="263"/>
      <c r="C16" s="263"/>
      <c r="D16" s="263"/>
      <c r="E16" s="263"/>
      <c r="F16" s="263"/>
      <c r="G16" s="263"/>
      <c r="H16" s="263"/>
      <c r="I16" s="263"/>
      <c r="J16" s="263"/>
      <c r="K16" s="263"/>
      <c r="L16" s="263"/>
      <c r="M16" s="263"/>
    </row>
    <row r="18" spans="2:13" ht="12" customHeight="1" x14ac:dyDescent="0.35">
      <c r="B18" s="263" t="s">
        <v>292</v>
      </c>
      <c r="C18" s="263"/>
      <c r="D18" s="263"/>
      <c r="E18" s="263"/>
      <c r="F18" s="263"/>
      <c r="G18" s="263"/>
      <c r="H18" s="263"/>
      <c r="I18" s="263"/>
      <c r="J18" s="263"/>
      <c r="K18" s="263"/>
      <c r="L18" s="263"/>
      <c r="M18" s="263"/>
    </row>
    <row r="19" spans="2:13" ht="12" customHeight="1" x14ac:dyDescent="0.35">
      <c r="B19" s="263"/>
      <c r="C19" s="263"/>
      <c r="D19" s="263"/>
      <c r="E19" s="263"/>
      <c r="F19" s="263"/>
      <c r="G19" s="263"/>
      <c r="H19" s="263"/>
      <c r="I19" s="263"/>
      <c r="J19" s="263"/>
      <c r="K19" s="263"/>
      <c r="L19" s="263"/>
      <c r="M19" s="263"/>
    </row>
    <row r="20" spans="2:13" ht="12" customHeight="1" x14ac:dyDescent="0.35">
      <c r="B20" s="263"/>
      <c r="C20" s="263"/>
      <c r="D20" s="263"/>
      <c r="E20" s="263"/>
      <c r="F20" s="263"/>
      <c r="G20" s="263"/>
      <c r="H20" s="263"/>
      <c r="I20" s="263"/>
      <c r="J20" s="263"/>
      <c r="K20" s="263"/>
      <c r="L20" s="263"/>
      <c r="M20" s="263"/>
    </row>
    <row r="21" spans="2:13" ht="12" customHeight="1" x14ac:dyDescent="0.35">
      <c r="B21" s="263"/>
      <c r="C21" s="263"/>
      <c r="D21" s="263"/>
      <c r="E21" s="263"/>
      <c r="F21" s="263"/>
      <c r="G21" s="263"/>
      <c r="H21" s="263"/>
      <c r="I21" s="263"/>
      <c r="J21" s="263"/>
      <c r="K21" s="263"/>
      <c r="L21" s="263"/>
      <c r="M21" s="263"/>
    </row>
    <row r="22" spans="2:13" ht="12" customHeight="1" x14ac:dyDescent="0.35">
      <c r="B22" s="263"/>
      <c r="C22" s="263"/>
      <c r="D22" s="263"/>
      <c r="E22" s="263"/>
      <c r="F22" s="263"/>
      <c r="G22" s="263"/>
      <c r="H22" s="263"/>
      <c r="I22" s="263"/>
      <c r="J22" s="263"/>
      <c r="K22" s="263"/>
      <c r="L22" s="263"/>
      <c r="M22" s="263"/>
    </row>
    <row r="23" spans="2:13" ht="12" customHeight="1" x14ac:dyDescent="0.35">
      <c r="B23" s="263"/>
      <c r="C23" s="263"/>
      <c r="D23" s="263"/>
      <c r="E23" s="263"/>
      <c r="F23" s="263"/>
      <c r="G23" s="263"/>
      <c r="H23" s="263"/>
      <c r="I23" s="263"/>
      <c r="J23" s="263"/>
      <c r="K23" s="263"/>
      <c r="L23" s="263"/>
      <c r="M23" s="263"/>
    </row>
    <row r="24" spans="2:13" ht="12" customHeight="1" x14ac:dyDescent="0.35"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</row>
    <row r="25" spans="2:13" ht="12" customHeight="1" x14ac:dyDescent="0.35">
      <c r="B25" s="263"/>
      <c r="C25" s="263"/>
      <c r="D25" s="263"/>
      <c r="E25" s="263"/>
      <c r="F25" s="263"/>
      <c r="G25" s="263"/>
      <c r="H25" s="263"/>
      <c r="I25" s="263"/>
      <c r="J25" s="263"/>
      <c r="K25" s="263"/>
      <c r="L25" s="263"/>
      <c r="M25" s="263"/>
    </row>
    <row r="26" spans="2:13" ht="12" customHeight="1" x14ac:dyDescent="0.35">
      <c r="B26" s="263"/>
      <c r="C26" s="263"/>
      <c r="D26" s="263"/>
      <c r="E26" s="263"/>
      <c r="F26" s="263"/>
      <c r="G26" s="263"/>
      <c r="H26" s="263"/>
      <c r="I26" s="263"/>
      <c r="J26" s="263"/>
      <c r="K26" s="263"/>
      <c r="L26" s="263"/>
      <c r="M26" s="263"/>
    </row>
    <row r="27" spans="2:13" ht="12" customHeight="1" x14ac:dyDescent="0.35">
      <c r="B27" s="263"/>
      <c r="C27" s="263"/>
      <c r="D27" s="263"/>
      <c r="E27" s="263"/>
      <c r="F27" s="263"/>
      <c r="G27" s="263"/>
      <c r="H27" s="263"/>
      <c r="I27" s="263"/>
      <c r="J27" s="263"/>
      <c r="K27" s="263"/>
      <c r="L27" s="263"/>
      <c r="M27" s="263"/>
    </row>
    <row r="28" spans="2:13" ht="12" customHeight="1" x14ac:dyDescent="0.35">
      <c r="B28" s="263"/>
      <c r="C28" s="263"/>
      <c r="D28" s="263"/>
      <c r="E28" s="263"/>
      <c r="F28" s="263"/>
      <c r="G28" s="263"/>
      <c r="H28" s="263"/>
      <c r="I28" s="263"/>
      <c r="J28" s="263"/>
      <c r="K28" s="263"/>
      <c r="L28" s="263"/>
      <c r="M28" s="263"/>
    </row>
    <row r="29" spans="2:13" ht="12" customHeight="1" x14ac:dyDescent="0.35">
      <c r="B29" s="263"/>
      <c r="C29" s="263"/>
      <c r="D29" s="263"/>
      <c r="E29" s="263"/>
      <c r="F29" s="263"/>
      <c r="G29" s="263"/>
      <c r="H29" s="263"/>
      <c r="I29" s="263"/>
      <c r="J29" s="263"/>
      <c r="K29" s="263"/>
      <c r="L29" s="263"/>
      <c r="M29" s="263"/>
    </row>
    <row r="30" spans="2:13" ht="12" customHeight="1" x14ac:dyDescent="0.35">
      <c r="B30" s="263"/>
      <c r="C30" s="263"/>
      <c r="D30" s="263"/>
      <c r="E30" s="263"/>
      <c r="F30" s="263"/>
      <c r="G30" s="263"/>
      <c r="H30" s="263"/>
      <c r="I30" s="263"/>
      <c r="J30" s="263"/>
      <c r="K30" s="263"/>
      <c r="L30" s="263"/>
      <c r="M30" s="263"/>
    </row>
    <row r="31" spans="2:13" ht="12" customHeight="1" x14ac:dyDescent="0.35">
      <c r="B31" s="263"/>
      <c r="C31" s="263"/>
      <c r="D31" s="263"/>
      <c r="E31" s="263"/>
      <c r="F31" s="263"/>
      <c r="G31" s="263"/>
      <c r="H31" s="263"/>
      <c r="I31" s="263"/>
      <c r="J31" s="263"/>
      <c r="K31" s="263"/>
      <c r="L31" s="263"/>
      <c r="M31" s="263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3" zoomScale="80" zoomScaleNormal="80" workbookViewId="0">
      <selection activeCell="D8" sqref="D8"/>
    </sheetView>
  </sheetViews>
  <sheetFormatPr baseColWidth="10" defaultColWidth="11.453125" defaultRowHeight="14.5" x14ac:dyDescent="0.35"/>
  <cols>
    <col min="1" max="1" width="13.6328125" style="23" customWidth="1"/>
    <col min="2" max="2" width="36.08984375" style="23" customWidth="1"/>
    <col min="3" max="3" width="14.90625" style="23" bestFit="1" customWidth="1"/>
    <col min="4" max="4" width="16.453125" style="23" customWidth="1"/>
    <col min="5" max="5" width="23.26953125" style="23" customWidth="1"/>
    <col min="6" max="6" width="28.90625" style="23" bestFit="1" customWidth="1"/>
    <col min="7" max="8" width="14.6328125" style="23" customWidth="1"/>
    <col min="9" max="9" width="17" style="23" customWidth="1"/>
    <col min="10" max="10" width="13.90625" style="23" customWidth="1"/>
    <col min="11" max="16384" width="11.453125" style="23"/>
  </cols>
  <sheetData>
    <row r="1" spans="1:38" x14ac:dyDescent="0.35">
      <c r="A1" s="4"/>
      <c r="B1" s="4"/>
      <c r="C1" s="268" t="s">
        <v>190</v>
      </c>
      <c r="D1" s="268"/>
      <c r="E1" s="26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69" t="s">
        <v>192</v>
      </c>
      <c r="C3" s="270"/>
      <c r="D3" s="270"/>
      <c r="E3" s="270"/>
      <c r="F3" s="271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74" t="s">
        <v>231</v>
      </c>
      <c r="B5" s="274"/>
      <c r="C5" s="24">
        <v>2.23</v>
      </c>
      <c r="D5" s="275" t="s">
        <v>229</v>
      </c>
      <c r="E5" s="276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73" t="s">
        <v>226</v>
      </c>
      <c r="B7" s="273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165</v>
      </c>
      <c r="B9" s="31" t="s">
        <v>44</v>
      </c>
      <c r="C9" s="32">
        <v>0.11</v>
      </c>
      <c r="D9" s="33">
        <f t="shared" ref="D9:D18" si="0">C9*$C$5</f>
        <v>0.24529999999999999</v>
      </c>
      <c r="E9" s="34">
        <v>45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166</v>
      </c>
      <c r="B10" s="31" t="s">
        <v>12</v>
      </c>
      <c r="C10" s="32">
        <v>0.13</v>
      </c>
      <c r="D10" s="33">
        <f t="shared" si="0"/>
        <v>0.28989999999999999</v>
      </c>
      <c r="E10" s="34">
        <v>183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167</v>
      </c>
      <c r="B11" s="31" t="s">
        <v>14</v>
      </c>
      <c r="C11" s="32">
        <v>0.13</v>
      </c>
      <c r="D11" s="33">
        <f t="shared" si="0"/>
        <v>0.28989999999999999</v>
      </c>
      <c r="E11" s="34">
        <v>183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168</v>
      </c>
      <c r="B12" s="31" t="s">
        <v>50</v>
      </c>
      <c r="C12" s="32">
        <v>0.01</v>
      </c>
      <c r="D12" s="33">
        <f t="shared" si="0"/>
        <v>2.23E-2</v>
      </c>
      <c r="E12" s="34">
        <v>110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169</v>
      </c>
      <c r="B13" s="31" t="s">
        <v>36</v>
      </c>
      <c r="C13" s="32">
        <v>0.62</v>
      </c>
      <c r="D13" s="33">
        <f t="shared" si="0"/>
        <v>1.3826000000000001</v>
      </c>
      <c r="E13" s="34">
        <v>60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8"/>
      <c r="B19" s="36" t="s">
        <v>175</v>
      </c>
      <c r="C19" s="37">
        <f>SUM(C9:C18)</f>
        <v>1</v>
      </c>
      <c r="D19" s="38">
        <f>SUM(D9:D18)</f>
        <v>2.23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72" t="s">
        <v>232</v>
      </c>
      <c r="B22" s="272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222</v>
      </c>
      <c r="B26" s="42" t="s">
        <v>221</v>
      </c>
      <c r="C26" s="43">
        <v>0.15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73" t="s">
        <v>227</v>
      </c>
      <c r="B30" s="273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C31" s="23" t="s">
        <v>324</v>
      </c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165</v>
      </c>
      <c r="B32" s="47" t="str">
        <f>IF(B9="","",B9)</f>
        <v>Robinier faux-acacia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5" t="s">
        <v>185</v>
      </c>
      <c r="C34" s="264" t="s">
        <v>186</v>
      </c>
      <c r="D34" s="264"/>
      <c r="E34" s="265" t="s">
        <v>187</v>
      </c>
      <c r="F34" s="266"/>
      <c r="G34" s="266"/>
      <c r="H34" s="267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50">
        <v>5</v>
      </c>
      <c r="B36" s="60">
        <v>17.948717948717949</v>
      </c>
      <c r="C36" s="60">
        <v>1</v>
      </c>
      <c r="D36" s="60">
        <v>2.5641025641025639</v>
      </c>
      <c r="E36" s="51">
        <v>0.1</v>
      </c>
      <c r="F36" s="51">
        <v>0.4</v>
      </c>
      <c r="G36" s="51">
        <v>0</v>
      </c>
      <c r="H36" s="51">
        <v>0.5</v>
      </c>
      <c r="I36" s="49">
        <f>IFERROR(B36/A36,"")</f>
        <v>3.5897435897435899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50">
        <v>10</v>
      </c>
      <c r="B37" s="60">
        <v>50.641025641025642</v>
      </c>
      <c r="C37" s="60">
        <v>2</v>
      </c>
      <c r="D37" s="60">
        <v>13.461538461538462</v>
      </c>
      <c r="E37" s="51">
        <v>0.1</v>
      </c>
      <c r="F37" s="51">
        <v>0.4</v>
      </c>
      <c r="G37" s="51">
        <v>0</v>
      </c>
      <c r="H37" s="51">
        <v>0.5</v>
      </c>
      <c r="I37" s="53">
        <f t="shared" ref="I37:I55" si="1">IF(A37&lt;&gt;0,(B37-(B36-D36))/(A37-A36),"")</f>
        <v>7.0512820512820511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50">
        <v>15</v>
      </c>
      <c r="B38" s="60">
        <v>72.435897435897431</v>
      </c>
      <c r="C38" s="60">
        <v>3</v>
      </c>
      <c r="D38" s="60">
        <v>10.897435897435898</v>
      </c>
      <c r="E38" s="51">
        <v>0.1</v>
      </c>
      <c r="F38" s="51">
        <v>0.4</v>
      </c>
      <c r="G38" s="51">
        <v>0</v>
      </c>
      <c r="H38" s="51">
        <v>0.5</v>
      </c>
      <c r="I38" s="53">
        <f t="shared" si="1"/>
        <v>7.0512820512820493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50">
        <v>20</v>
      </c>
      <c r="B39" s="60">
        <v>92.948717948717942</v>
      </c>
      <c r="C39" s="60">
        <v>4</v>
      </c>
      <c r="D39" s="60">
        <v>8.9743589743589745</v>
      </c>
      <c r="E39" s="51">
        <v>0.1</v>
      </c>
      <c r="F39" s="51">
        <v>0.4</v>
      </c>
      <c r="G39" s="51">
        <v>0</v>
      </c>
      <c r="H39" s="51">
        <v>0.5</v>
      </c>
      <c r="I39" s="49">
        <f t="shared" si="1"/>
        <v>6.2820512820512819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50">
        <v>25</v>
      </c>
      <c r="B40" s="60">
        <v>110.8974358974359</v>
      </c>
      <c r="C40" s="60">
        <v>5</v>
      </c>
      <c r="D40" s="60">
        <v>7.0512820512820511</v>
      </c>
      <c r="E40" s="51">
        <v>0.1</v>
      </c>
      <c r="F40" s="51">
        <v>0.4</v>
      </c>
      <c r="G40" s="51">
        <v>0</v>
      </c>
      <c r="H40" s="51">
        <v>0.5</v>
      </c>
      <c r="I40" s="49">
        <f t="shared" si="1"/>
        <v>5.3846153846153868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50">
        <v>30</v>
      </c>
      <c r="B41" s="60">
        <v>125.64102564102564</v>
      </c>
      <c r="C41" s="60">
        <v>6</v>
      </c>
      <c r="D41" s="60">
        <v>5.7692307692307692</v>
      </c>
      <c r="E41" s="51">
        <v>0.1</v>
      </c>
      <c r="F41" s="51">
        <v>0.4</v>
      </c>
      <c r="G41" s="51">
        <v>0</v>
      </c>
      <c r="H41" s="51">
        <v>0.5</v>
      </c>
      <c r="I41" s="53">
        <f t="shared" si="1"/>
        <v>4.3589743589743595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50">
        <v>35</v>
      </c>
      <c r="B42" s="60">
        <v>138.46153846153845</v>
      </c>
      <c r="C42" s="60">
        <v>7</v>
      </c>
      <c r="D42" s="60">
        <v>4.4871794871794872</v>
      </c>
      <c r="E42" s="51">
        <v>0.1</v>
      </c>
      <c r="F42" s="51">
        <v>0.4</v>
      </c>
      <c r="G42" s="51">
        <v>0</v>
      </c>
      <c r="H42" s="51">
        <v>0.5</v>
      </c>
      <c r="I42" s="53">
        <f t="shared" si="1"/>
        <v>3.7179487179487181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50">
        <v>40</v>
      </c>
      <c r="B43" s="60">
        <v>149.35897435897436</v>
      </c>
      <c r="C43" s="60">
        <v>8</v>
      </c>
      <c r="D43" s="60">
        <v>3.8461538461538458</v>
      </c>
      <c r="E43" s="51">
        <v>0.1</v>
      </c>
      <c r="F43" s="51">
        <v>0.4</v>
      </c>
      <c r="G43" s="51">
        <v>0</v>
      </c>
      <c r="H43" s="51">
        <v>0.5</v>
      </c>
      <c r="I43" s="49">
        <f t="shared" si="1"/>
        <v>3.0769230769230775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50">
        <v>45</v>
      </c>
      <c r="B44" s="60">
        <v>161.53846153846152</v>
      </c>
      <c r="C44" s="60">
        <v>9</v>
      </c>
      <c r="D44" s="60">
        <v>161.53846153846152</v>
      </c>
      <c r="E44" s="51">
        <v>0.3</v>
      </c>
      <c r="F44" s="51">
        <v>0.2</v>
      </c>
      <c r="G44" s="51">
        <v>0.1</v>
      </c>
      <c r="H44" s="51">
        <v>0.4</v>
      </c>
      <c r="I44" s="49">
        <f t="shared" si="1"/>
        <v>3.2051282051281986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C57" s="23" t="s">
        <v>325</v>
      </c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166</v>
      </c>
      <c r="B58" s="52" t="str">
        <f>IF(B10="","",B10)</f>
        <v>Chêne pubescent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5" t="s">
        <v>185</v>
      </c>
      <c r="C60" s="264" t="s">
        <v>186</v>
      </c>
      <c r="D60" s="264"/>
      <c r="E60" s="265" t="s">
        <v>187</v>
      </c>
      <c r="F60" s="266"/>
      <c r="G60" s="266"/>
      <c r="H60" s="267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50">
        <v>42</v>
      </c>
      <c r="B62" s="60">
        <v>171.96</v>
      </c>
      <c r="C62" s="60">
        <v>1</v>
      </c>
      <c r="D62" s="60">
        <v>44.510000000000005</v>
      </c>
      <c r="E62" s="51">
        <v>0</v>
      </c>
      <c r="F62" s="51">
        <v>0.8</v>
      </c>
      <c r="G62" s="51">
        <v>0.2</v>
      </c>
      <c r="H62" s="51">
        <v>0</v>
      </c>
      <c r="I62" s="53">
        <f>IFERROR(B62/A62,"")</f>
        <v>4.0942857142857143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50">
        <v>50</v>
      </c>
      <c r="B63" s="60">
        <v>208.33</v>
      </c>
      <c r="C63" s="60">
        <v>2</v>
      </c>
      <c r="D63" s="60">
        <v>37.54000000000002</v>
      </c>
      <c r="E63" s="51">
        <v>0</v>
      </c>
      <c r="F63" s="51">
        <v>0.8</v>
      </c>
      <c r="G63" s="51">
        <v>0.2</v>
      </c>
      <c r="H63" s="51">
        <v>0</v>
      </c>
      <c r="I63" s="49">
        <f>IF(A63&lt;&gt;0,(B63-(B62-D62))/(A63-A62),"")</f>
        <v>10.110000000000001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50">
        <v>58</v>
      </c>
      <c r="B64" s="60">
        <v>253.7</v>
      </c>
      <c r="C64" s="60">
        <v>3</v>
      </c>
      <c r="D64" s="60">
        <v>47.789999999999992</v>
      </c>
      <c r="E64" s="51">
        <v>0</v>
      </c>
      <c r="F64" s="51">
        <v>0.8</v>
      </c>
      <c r="G64" s="51">
        <v>0.2</v>
      </c>
      <c r="H64" s="51">
        <v>0</v>
      </c>
      <c r="I64" s="49">
        <f>IF(A64&lt;&gt;0,(B64-(B63-D63))/(A64-A63),"")</f>
        <v>10.36375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50">
        <v>66</v>
      </c>
      <c r="B65" s="60">
        <v>286.77</v>
      </c>
      <c r="C65" s="60">
        <v>4</v>
      </c>
      <c r="D65" s="60">
        <v>53.679999999999978</v>
      </c>
      <c r="E65" s="51">
        <v>0.35</v>
      </c>
      <c r="F65" s="51">
        <v>0.2</v>
      </c>
      <c r="G65" s="51">
        <v>0.1</v>
      </c>
      <c r="H65" s="51">
        <v>0.35</v>
      </c>
      <c r="I65" s="49">
        <f>IF(A65&lt;&gt;0,(B65-(B64-D64))/(A65-A64),"")</f>
        <v>10.107499999999998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50">
        <v>74</v>
      </c>
      <c r="B66" s="60">
        <v>310.95999999999998</v>
      </c>
      <c r="C66" s="60">
        <v>5</v>
      </c>
      <c r="D66" s="60">
        <v>51.339999999999975</v>
      </c>
      <c r="E66" s="51">
        <v>0.35</v>
      </c>
      <c r="F66" s="51">
        <v>0.2</v>
      </c>
      <c r="G66" s="51">
        <v>0.1</v>
      </c>
      <c r="H66" s="51">
        <v>0.35</v>
      </c>
      <c r="I66" s="49">
        <f t="shared" ref="I66:I81" si="2">IF(A66&lt;&gt;0,(B66-(B65-D65))/(A66-A65),"")</f>
        <v>9.733749999999997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50">
        <v>84</v>
      </c>
      <c r="B67" s="60">
        <v>355.09</v>
      </c>
      <c r="C67" s="60">
        <v>6</v>
      </c>
      <c r="D67" s="60">
        <v>66.69</v>
      </c>
      <c r="E67" s="51">
        <v>0.35</v>
      </c>
      <c r="F67" s="51">
        <v>0.2</v>
      </c>
      <c r="G67" s="51">
        <v>0.1</v>
      </c>
      <c r="H67" s="51">
        <v>0.35</v>
      </c>
      <c r="I67" s="49">
        <f t="shared" si="2"/>
        <v>9.546999999999997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50">
        <v>94</v>
      </c>
      <c r="B68" s="60">
        <v>380.13</v>
      </c>
      <c r="C68" s="60">
        <v>7</v>
      </c>
      <c r="D68" s="60">
        <v>67.350000000000023</v>
      </c>
      <c r="E68" s="51">
        <v>0.35</v>
      </c>
      <c r="F68" s="51">
        <v>0.2</v>
      </c>
      <c r="G68" s="51">
        <v>0.1</v>
      </c>
      <c r="H68" s="51">
        <v>0.35</v>
      </c>
      <c r="I68" s="49">
        <f t="shared" si="2"/>
        <v>9.1730000000000018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50">
        <v>104</v>
      </c>
      <c r="B69" s="50">
        <v>402.2</v>
      </c>
      <c r="C69" s="50">
        <v>8</v>
      </c>
      <c r="D69" s="50">
        <v>66.089999999999975</v>
      </c>
      <c r="E69" s="51">
        <v>0.35</v>
      </c>
      <c r="F69" s="51">
        <v>0.2</v>
      </c>
      <c r="G69" s="51">
        <v>0.1</v>
      </c>
      <c r="H69" s="51">
        <v>0.35</v>
      </c>
      <c r="I69" s="49">
        <f t="shared" si="2"/>
        <v>8.9420000000000019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50">
        <v>114</v>
      </c>
      <c r="B70" s="50">
        <v>424.56</v>
      </c>
      <c r="C70" s="50">
        <v>9</v>
      </c>
      <c r="D70" s="50">
        <v>61.860000000000014</v>
      </c>
      <c r="E70" s="51">
        <v>0.35</v>
      </c>
      <c r="F70" s="51">
        <v>0.2</v>
      </c>
      <c r="G70" s="51">
        <v>0.1</v>
      </c>
      <c r="H70" s="51">
        <v>0.35</v>
      </c>
      <c r="I70" s="49">
        <f t="shared" si="2"/>
        <v>8.8449999999999989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50">
        <v>124</v>
      </c>
      <c r="B71" s="50">
        <v>451.86</v>
      </c>
      <c r="C71" s="50">
        <v>10</v>
      </c>
      <c r="D71" s="50">
        <v>57.81</v>
      </c>
      <c r="E71" s="51">
        <v>0.35</v>
      </c>
      <c r="F71" s="51">
        <v>0.2</v>
      </c>
      <c r="G71" s="51">
        <v>0.1</v>
      </c>
      <c r="H71" s="51">
        <v>0.35</v>
      </c>
      <c r="I71" s="49">
        <f t="shared" si="2"/>
        <v>8.9160000000000021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50">
        <v>134</v>
      </c>
      <c r="B72" s="50">
        <v>484.28</v>
      </c>
      <c r="C72" s="50">
        <v>11</v>
      </c>
      <c r="D72" s="50">
        <v>60.779999999999973</v>
      </c>
      <c r="E72" s="51">
        <v>0.5</v>
      </c>
      <c r="F72" s="51">
        <v>0.2</v>
      </c>
      <c r="G72" s="51">
        <v>0</v>
      </c>
      <c r="H72" s="51">
        <v>0.3</v>
      </c>
      <c r="I72" s="49">
        <f t="shared" si="2"/>
        <v>9.0229999999999961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50">
        <v>144</v>
      </c>
      <c r="B73" s="50">
        <v>514.94000000000005</v>
      </c>
      <c r="C73" s="50">
        <v>12</v>
      </c>
      <c r="D73" s="50">
        <v>61.800000000000068</v>
      </c>
      <c r="E73" s="51">
        <v>0.5</v>
      </c>
      <c r="F73" s="51">
        <v>0.2</v>
      </c>
      <c r="G73" s="51">
        <v>0</v>
      </c>
      <c r="H73" s="51">
        <v>0.3</v>
      </c>
      <c r="I73" s="49">
        <f t="shared" si="2"/>
        <v>9.1440000000000055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50">
        <v>154</v>
      </c>
      <c r="B74" s="50">
        <v>546.49</v>
      </c>
      <c r="C74" s="50">
        <v>13</v>
      </c>
      <c r="D74" s="50">
        <v>61.050000000000011</v>
      </c>
      <c r="E74" s="51">
        <v>0.5</v>
      </c>
      <c r="F74" s="51">
        <v>0.2</v>
      </c>
      <c r="G74" s="51">
        <v>0</v>
      </c>
      <c r="H74" s="51">
        <v>0.3</v>
      </c>
      <c r="I74" s="49">
        <f t="shared" si="2"/>
        <v>9.3350000000000026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50">
        <v>164</v>
      </c>
      <c r="B75" s="50">
        <v>580.32000000000005</v>
      </c>
      <c r="C75" s="50">
        <v>14</v>
      </c>
      <c r="D75" s="50">
        <v>66.020000000000095</v>
      </c>
      <c r="E75" s="51">
        <v>0.5</v>
      </c>
      <c r="F75" s="51">
        <v>0.2</v>
      </c>
      <c r="G75" s="51">
        <v>0</v>
      </c>
      <c r="H75" s="51">
        <v>0.3</v>
      </c>
      <c r="I75" s="49">
        <f t="shared" si="2"/>
        <v>9.4880000000000049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50">
        <v>174</v>
      </c>
      <c r="B76" s="50">
        <v>610.52</v>
      </c>
      <c r="C76" s="50">
        <v>15</v>
      </c>
      <c r="D76" s="50">
        <v>240</v>
      </c>
      <c r="E76" s="51">
        <v>0.45</v>
      </c>
      <c r="F76" s="51">
        <v>0.05</v>
      </c>
      <c r="G76" s="51">
        <v>0.05</v>
      </c>
      <c r="H76" s="51">
        <v>0.45</v>
      </c>
      <c r="I76" s="49">
        <f t="shared" si="2"/>
        <v>9.6220000000000034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50">
        <v>177</v>
      </c>
      <c r="B77" s="50">
        <v>388.94</v>
      </c>
      <c r="C77" s="50">
        <v>16</v>
      </c>
      <c r="D77" s="50">
        <v>128.66000000000003</v>
      </c>
      <c r="E77" s="51">
        <v>0.45</v>
      </c>
      <c r="F77" s="51">
        <v>0.05</v>
      </c>
      <c r="G77" s="51">
        <v>0.05</v>
      </c>
      <c r="H77" s="51">
        <v>0.45</v>
      </c>
      <c r="I77" s="49">
        <f t="shared" si="2"/>
        <v>6.140000000000005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50">
        <v>180</v>
      </c>
      <c r="B78" s="50">
        <v>271.56</v>
      </c>
      <c r="C78" s="50">
        <v>17</v>
      </c>
      <c r="D78" s="50">
        <v>86.97</v>
      </c>
      <c r="E78" s="51">
        <v>0.45</v>
      </c>
      <c r="F78" s="51">
        <v>0.05</v>
      </c>
      <c r="G78" s="51">
        <v>0.05</v>
      </c>
      <c r="H78" s="51">
        <v>0.45</v>
      </c>
      <c r="I78" s="49">
        <f t="shared" si="2"/>
        <v>3.76000000000001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50">
        <v>183</v>
      </c>
      <c r="B79" s="50">
        <v>191.47</v>
      </c>
      <c r="C79" s="50">
        <v>18</v>
      </c>
      <c r="D79" s="50">
        <v>191.47</v>
      </c>
      <c r="E79" s="51">
        <v>0.45</v>
      </c>
      <c r="F79" s="51">
        <v>0.05</v>
      </c>
      <c r="G79" s="51">
        <v>0.05</v>
      </c>
      <c r="H79" s="51">
        <v>0.45</v>
      </c>
      <c r="I79" s="49">
        <f t="shared" si="2"/>
        <v>2.2933333333333317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167</v>
      </c>
      <c r="B84" s="52" t="str">
        <f>IF(B11="","",B11)</f>
        <v>Chêne sessile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5" t="s">
        <v>185</v>
      </c>
      <c r="C86" s="264" t="s">
        <v>186</v>
      </c>
      <c r="D86" s="264"/>
      <c r="E86" s="265" t="s">
        <v>187</v>
      </c>
      <c r="F86" s="266"/>
      <c r="G86" s="266"/>
      <c r="H86" s="267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50">
        <v>42</v>
      </c>
      <c r="B88" s="60">
        <v>171.96</v>
      </c>
      <c r="C88" s="60">
        <v>1</v>
      </c>
      <c r="D88" s="60">
        <v>44.510000000000005</v>
      </c>
      <c r="E88" s="51">
        <v>0</v>
      </c>
      <c r="F88" s="51">
        <v>0.8</v>
      </c>
      <c r="G88" s="51">
        <v>0.2</v>
      </c>
      <c r="H88" s="87">
        <v>0</v>
      </c>
      <c r="I88" s="53">
        <f>IFERROR(B88/A88,"")</f>
        <v>4.0942857142857143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50">
        <v>50</v>
      </c>
      <c r="B89" s="60">
        <v>208.33</v>
      </c>
      <c r="C89" s="60">
        <v>2</v>
      </c>
      <c r="D89" s="60">
        <v>37.54000000000002</v>
      </c>
      <c r="E89" s="51">
        <v>0</v>
      </c>
      <c r="F89" s="51">
        <v>0.8</v>
      </c>
      <c r="G89" s="51">
        <v>0.2</v>
      </c>
      <c r="H89" s="87">
        <v>0</v>
      </c>
      <c r="I89" s="53">
        <f t="shared" ref="I89:I107" si="3">IF(A89&lt;&gt;0,(B89-(B88-D88))/(A89-A88),"")</f>
        <v>10.110000000000001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50">
        <v>58</v>
      </c>
      <c r="B90" s="60">
        <v>253.7</v>
      </c>
      <c r="C90" s="60">
        <v>3</v>
      </c>
      <c r="D90" s="60">
        <v>47.789999999999992</v>
      </c>
      <c r="E90" s="87">
        <v>0</v>
      </c>
      <c r="F90" s="87">
        <v>0.8</v>
      </c>
      <c r="G90" s="87">
        <v>0.2</v>
      </c>
      <c r="H90" s="87">
        <v>0</v>
      </c>
      <c r="I90" s="53">
        <f t="shared" si="3"/>
        <v>10.36375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50">
        <v>66</v>
      </c>
      <c r="B91" s="60">
        <v>286.77</v>
      </c>
      <c r="C91" s="60">
        <v>4</v>
      </c>
      <c r="D91" s="60">
        <v>53.679999999999978</v>
      </c>
      <c r="E91" s="87">
        <v>0.35</v>
      </c>
      <c r="F91" s="87">
        <v>0.2</v>
      </c>
      <c r="G91" s="87">
        <v>0.1</v>
      </c>
      <c r="H91" s="87">
        <v>0.35</v>
      </c>
      <c r="I91" s="53">
        <f t="shared" si="3"/>
        <v>10.107499999999998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50">
        <v>74</v>
      </c>
      <c r="B92" s="60">
        <v>310.95999999999998</v>
      </c>
      <c r="C92" s="60">
        <v>5</v>
      </c>
      <c r="D92" s="60">
        <v>51.339999999999975</v>
      </c>
      <c r="E92" s="87">
        <v>0.35</v>
      </c>
      <c r="F92" s="87">
        <v>0.2</v>
      </c>
      <c r="G92" s="87">
        <v>0.1</v>
      </c>
      <c r="H92" s="87">
        <v>0.35</v>
      </c>
      <c r="I92" s="53">
        <f t="shared" si="3"/>
        <v>9.733749999999997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50">
        <v>84</v>
      </c>
      <c r="B93" s="60">
        <v>355.09</v>
      </c>
      <c r="C93" s="60">
        <v>6</v>
      </c>
      <c r="D93" s="60">
        <v>66.69</v>
      </c>
      <c r="E93" s="87">
        <v>0.35</v>
      </c>
      <c r="F93" s="87">
        <v>0.2</v>
      </c>
      <c r="G93" s="87">
        <v>0.1</v>
      </c>
      <c r="H93" s="87">
        <v>0.35</v>
      </c>
      <c r="I93" s="53">
        <f t="shared" si="3"/>
        <v>9.546999999999997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50">
        <v>94</v>
      </c>
      <c r="B94" s="60">
        <v>380.13</v>
      </c>
      <c r="C94" s="60">
        <v>7</v>
      </c>
      <c r="D94" s="60">
        <v>67.350000000000023</v>
      </c>
      <c r="E94" s="87">
        <v>0.35</v>
      </c>
      <c r="F94" s="87">
        <v>0.2</v>
      </c>
      <c r="G94" s="87">
        <v>0.1</v>
      </c>
      <c r="H94" s="87">
        <v>0.35</v>
      </c>
      <c r="I94" s="53">
        <f t="shared" si="3"/>
        <v>9.1730000000000018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60">
        <v>104</v>
      </c>
      <c r="B95" s="60">
        <v>402.2</v>
      </c>
      <c r="C95" s="60">
        <v>8</v>
      </c>
      <c r="D95" s="60">
        <v>66.089999999999975</v>
      </c>
      <c r="E95" s="87">
        <v>0.35</v>
      </c>
      <c r="F95" s="87">
        <v>0.2</v>
      </c>
      <c r="G95" s="87">
        <v>0.1</v>
      </c>
      <c r="H95" s="87">
        <v>0.35</v>
      </c>
      <c r="I95" s="53">
        <f t="shared" si="3"/>
        <v>8.9420000000000019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60">
        <v>114</v>
      </c>
      <c r="B96" s="60">
        <v>424.56</v>
      </c>
      <c r="C96" s="60">
        <v>9</v>
      </c>
      <c r="D96" s="60">
        <v>61.860000000000014</v>
      </c>
      <c r="E96" s="87">
        <v>0.35</v>
      </c>
      <c r="F96" s="87">
        <v>0.2</v>
      </c>
      <c r="G96" s="87">
        <v>0.1</v>
      </c>
      <c r="H96" s="87">
        <v>0.35</v>
      </c>
      <c r="I96" s="53">
        <f t="shared" si="3"/>
        <v>8.8449999999999989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60">
        <v>124</v>
      </c>
      <c r="B97" s="60">
        <v>451.86</v>
      </c>
      <c r="C97" s="60">
        <v>10</v>
      </c>
      <c r="D97" s="60">
        <v>57.81</v>
      </c>
      <c r="E97" s="87">
        <v>0.35</v>
      </c>
      <c r="F97" s="87">
        <v>0.2</v>
      </c>
      <c r="G97" s="87">
        <v>0.1</v>
      </c>
      <c r="H97" s="87">
        <v>0.35</v>
      </c>
      <c r="I97" s="53">
        <f t="shared" si="3"/>
        <v>8.9160000000000021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60">
        <v>134</v>
      </c>
      <c r="B98" s="60">
        <v>484.28</v>
      </c>
      <c r="C98" s="60">
        <v>11</v>
      </c>
      <c r="D98" s="60">
        <v>60.779999999999973</v>
      </c>
      <c r="E98" s="87">
        <v>0.5</v>
      </c>
      <c r="F98" s="87">
        <v>0.2</v>
      </c>
      <c r="G98" s="87">
        <v>0</v>
      </c>
      <c r="H98" s="87">
        <v>0.3</v>
      </c>
      <c r="I98" s="53">
        <f t="shared" si="3"/>
        <v>9.0229999999999961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60">
        <v>144</v>
      </c>
      <c r="B99" s="60">
        <v>514.94000000000005</v>
      </c>
      <c r="C99" s="60">
        <v>12</v>
      </c>
      <c r="D99" s="60">
        <v>61.800000000000068</v>
      </c>
      <c r="E99" s="87">
        <v>0.5</v>
      </c>
      <c r="F99" s="87">
        <v>0.2</v>
      </c>
      <c r="G99" s="87">
        <v>0</v>
      </c>
      <c r="H99" s="87">
        <v>0.3</v>
      </c>
      <c r="I99" s="53">
        <f t="shared" si="3"/>
        <v>9.1440000000000055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60">
        <v>154</v>
      </c>
      <c r="B100" s="60">
        <v>546.49</v>
      </c>
      <c r="C100" s="60">
        <v>13</v>
      </c>
      <c r="D100" s="60">
        <v>61.050000000000011</v>
      </c>
      <c r="E100" s="65">
        <v>0.5</v>
      </c>
      <c r="F100" s="65">
        <v>0.2</v>
      </c>
      <c r="G100" s="65">
        <v>0</v>
      </c>
      <c r="H100" s="65">
        <v>0.3</v>
      </c>
      <c r="I100" s="53">
        <f t="shared" si="3"/>
        <v>9.3350000000000026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60">
        <v>164</v>
      </c>
      <c r="B101" s="60">
        <v>580.32000000000005</v>
      </c>
      <c r="C101" s="60">
        <v>14</v>
      </c>
      <c r="D101" s="60">
        <v>66.020000000000095</v>
      </c>
      <c r="E101" s="65">
        <v>0.5</v>
      </c>
      <c r="F101" s="65">
        <v>0.2</v>
      </c>
      <c r="G101" s="65">
        <v>0</v>
      </c>
      <c r="H101" s="65">
        <v>0.3</v>
      </c>
      <c r="I101" s="53">
        <f t="shared" si="3"/>
        <v>9.4880000000000049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60">
        <v>174</v>
      </c>
      <c r="B102" s="50">
        <v>610.52</v>
      </c>
      <c r="C102" s="60">
        <v>15</v>
      </c>
      <c r="D102" s="50">
        <v>240</v>
      </c>
      <c r="E102" s="54">
        <v>0.45</v>
      </c>
      <c r="F102" s="54">
        <v>0.05</v>
      </c>
      <c r="G102" s="54">
        <v>0.05</v>
      </c>
      <c r="H102" s="54">
        <v>0.45</v>
      </c>
      <c r="I102" s="53">
        <f t="shared" si="3"/>
        <v>9.6220000000000034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60">
        <v>177</v>
      </c>
      <c r="B103" s="50">
        <v>388.94</v>
      </c>
      <c r="C103" s="60">
        <v>16</v>
      </c>
      <c r="D103" s="50">
        <v>128.66000000000003</v>
      </c>
      <c r="E103" s="54">
        <v>0.45</v>
      </c>
      <c r="F103" s="54">
        <v>0.05</v>
      </c>
      <c r="G103" s="54">
        <v>0.05</v>
      </c>
      <c r="H103" s="54">
        <v>0.45</v>
      </c>
      <c r="I103" s="53">
        <f t="shared" si="3"/>
        <v>6.140000000000005</v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60">
        <v>180</v>
      </c>
      <c r="B104" s="50">
        <v>271.56</v>
      </c>
      <c r="C104" s="60">
        <v>17</v>
      </c>
      <c r="D104" s="50">
        <v>86.97</v>
      </c>
      <c r="E104" s="54">
        <v>0.45</v>
      </c>
      <c r="F104" s="54">
        <v>0.05</v>
      </c>
      <c r="G104" s="54">
        <v>0.05</v>
      </c>
      <c r="H104" s="54">
        <v>0.45</v>
      </c>
      <c r="I104" s="53">
        <f t="shared" si="3"/>
        <v>3.76000000000001</v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50">
        <v>183</v>
      </c>
      <c r="B105" s="50">
        <v>191.47</v>
      </c>
      <c r="C105" s="50">
        <v>18</v>
      </c>
      <c r="D105" s="50">
        <v>191.47</v>
      </c>
      <c r="E105" s="54">
        <v>0.45</v>
      </c>
      <c r="F105" s="54">
        <v>0.05</v>
      </c>
      <c r="G105" s="54">
        <v>0.05</v>
      </c>
      <c r="H105" s="54">
        <v>0.45</v>
      </c>
      <c r="I105" s="53">
        <f t="shared" si="3"/>
        <v>2.2933333333333317</v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168</v>
      </c>
      <c r="B110" s="52" t="str">
        <f>IF(B12="","",B12)</f>
        <v>Tilleul</v>
      </c>
      <c r="C110" s="23" t="s">
        <v>326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5" t="s">
        <v>185</v>
      </c>
      <c r="C112" s="264" t="s">
        <v>186</v>
      </c>
      <c r="D112" s="264"/>
      <c r="E112" s="265" t="s">
        <v>187</v>
      </c>
      <c r="F112" s="266"/>
      <c r="G112" s="266"/>
      <c r="H112" s="267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50">
        <v>15</v>
      </c>
      <c r="B114" s="60">
        <v>50</v>
      </c>
      <c r="C114" s="50">
        <v>1</v>
      </c>
      <c r="D114" s="60">
        <v>10.256410256410255</v>
      </c>
      <c r="E114" s="51">
        <v>0</v>
      </c>
      <c r="F114" s="51">
        <v>0.25</v>
      </c>
      <c r="G114" s="51">
        <v>0.25</v>
      </c>
      <c r="H114" s="51">
        <v>0.5</v>
      </c>
      <c r="I114" s="53">
        <f>IFERROR(B114/A114,"")</f>
        <v>3.3333333333333335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50">
        <v>20</v>
      </c>
      <c r="B115" s="60">
        <v>80.769230769230759</v>
      </c>
      <c r="C115" s="50">
        <v>2</v>
      </c>
      <c r="D115" s="60">
        <v>14.102564102564102</v>
      </c>
      <c r="E115" s="51">
        <v>0</v>
      </c>
      <c r="F115" s="51">
        <v>0.25</v>
      </c>
      <c r="G115" s="51">
        <v>0.25</v>
      </c>
      <c r="H115" s="51">
        <v>0.5</v>
      </c>
      <c r="I115" s="53">
        <f t="shared" ref="I115:I133" si="4">IF(A115&lt;&gt;0,(B115-(B114-D114))/(A115-A114),"")</f>
        <v>8.2051282051282026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50">
        <v>25</v>
      </c>
      <c r="B116" s="60">
        <v>108.97435897435896</v>
      </c>
      <c r="C116" s="50">
        <v>3</v>
      </c>
      <c r="D116" s="60">
        <v>16.025641025641026</v>
      </c>
      <c r="E116" s="51">
        <v>0</v>
      </c>
      <c r="F116" s="51">
        <v>0.25</v>
      </c>
      <c r="G116" s="51">
        <v>0.25</v>
      </c>
      <c r="H116" s="51">
        <v>0.5</v>
      </c>
      <c r="I116" s="53">
        <f t="shared" si="4"/>
        <v>8.4615384615384617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50">
        <v>30</v>
      </c>
      <c r="B117" s="60">
        <v>133.33333333333334</v>
      </c>
      <c r="C117" s="50">
        <v>4</v>
      </c>
      <c r="D117" s="60">
        <v>16.666666666666668</v>
      </c>
      <c r="E117" s="51">
        <v>0</v>
      </c>
      <c r="F117" s="51">
        <v>0.25</v>
      </c>
      <c r="G117" s="51">
        <v>0.25</v>
      </c>
      <c r="H117" s="51">
        <v>0.5</v>
      </c>
      <c r="I117" s="53">
        <f t="shared" si="4"/>
        <v>8.0769230769230802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50">
        <v>35</v>
      </c>
      <c r="B118" s="60">
        <v>155.12820512820511</v>
      </c>
      <c r="C118" s="50">
        <v>5</v>
      </c>
      <c r="D118" s="60">
        <v>17.307692307692307</v>
      </c>
      <c r="E118" s="51">
        <v>0</v>
      </c>
      <c r="F118" s="51">
        <v>0.25</v>
      </c>
      <c r="G118" s="51">
        <v>0.25</v>
      </c>
      <c r="H118" s="51">
        <v>0.5</v>
      </c>
      <c r="I118" s="53">
        <f t="shared" si="4"/>
        <v>7.6923076923076881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50">
        <v>40</v>
      </c>
      <c r="B119" s="60">
        <v>173.7179487179487</v>
      </c>
      <c r="C119" s="50">
        <v>6</v>
      </c>
      <c r="D119" s="60">
        <v>17.307692307692307</v>
      </c>
      <c r="E119" s="51">
        <v>0</v>
      </c>
      <c r="F119" s="51">
        <v>0.25</v>
      </c>
      <c r="G119" s="51">
        <v>0.25</v>
      </c>
      <c r="H119" s="51">
        <v>0.5</v>
      </c>
      <c r="I119" s="53">
        <f t="shared" si="4"/>
        <v>7.1794871794871771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60">
        <v>45</v>
      </c>
      <c r="B120" s="60">
        <v>190.38461538461539</v>
      </c>
      <c r="C120" s="60">
        <v>7</v>
      </c>
      <c r="D120" s="60">
        <v>16.666666666666668</v>
      </c>
      <c r="E120" s="87">
        <v>0</v>
      </c>
      <c r="F120" s="87">
        <v>0.25</v>
      </c>
      <c r="G120" s="87">
        <v>0.25</v>
      </c>
      <c r="H120" s="87">
        <v>0.5</v>
      </c>
      <c r="I120" s="53">
        <f t="shared" si="4"/>
        <v>6.7948717948717956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60">
        <v>50</v>
      </c>
      <c r="B121" s="60">
        <v>205.12820512820511</v>
      </c>
      <c r="C121" s="60">
        <v>8</v>
      </c>
      <c r="D121" s="60">
        <v>16.025641025641026</v>
      </c>
      <c r="E121" s="87">
        <v>0</v>
      </c>
      <c r="F121" s="87">
        <v>0.25</v>
      </c>
      <c r="G121" s="87">
        <v>0.25</v>
      </c>
      <c r="H121" s="87">
        <v>0.5</v>
      </c>
      <c r="I121" s="53">
        <f t="shared" si="4"/>
        <v>6.2820512820512757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60">
        <v>55</v>
      </c>
      <c r="B122" s="60">
        <v>217.94871794871793</v>
      </c>
      <c r="C122" s="60">
        <v>9</v>
      </c>
      <c r="D122" s="60">
        <v>15.384615384615383</v>
      </c>
      <c r="E122" s="87">
        <v>0</v>
      </c>
      <c r="F122" s="87">
        <v>0.25</v>
      </c>
      <c r="G122" s="87">
        <v>0.25</v>
      </c>
      <c r="H122" s="87">
        <v>0.5</v>
      </c>
      <c r="I122" s="53">
        <f t="shared" si="4"/>
        <v>5.7692307692307683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60">
        <v>60</v>
      </c>
      <c r="B123" s="60">
        <v>229.48717948717947</v>
      </c>
      <c r="C123" s="60">
        <v>10</v>
      </c>
      <c r="D123" s="60">
        <v>14.743589743589743</v>
      </c>
      <c r="E123" s="87">
        <v>0.25</v>
      </c>
      <c r="F123" s="87">
        <v>0.25</v>
      </c>
      <c r="G123" s="87">
        <v>0.25</v>
      </c>
      <c r="H123" s="87">
        <v>0.25</v>
      </c>
      <c r="I123" s="53">
        <f t="shared" si="4"/>
        <v>5.3846153846153868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60">
        <v>65</v>
      </c>
      <c r="B124" s="60">
        <v>240.38461538461539</v>
      </c>
      <c r="C124" s="60">
        <v>11</v>
      </c>
      <c r="D124" s="60">
        <v>13.461538461538462</v>
      </c>
      <c r="E124" s="87">
        <v>0.25</v>
      </c>
      <c r="F124" s="87">
        <v>0.25</v>
      </c>
      <c r="G124" s="87">
        <v>0.25</v>
      </c>
      <c r="H124" s="87">
        <v>0.25</v>
      </c>
      <c r="I124" s="53">
        <f t="shared" si="4"/>
        <v>5.1282051282051331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60">
        <v>70</v>
      </c>
      <c r="B125" s="60">
        <v>251.92307692307691</v>
      </c>
      <c r="C125" s="60">
        <v>12</v>
      </c>
      <c r="D125" s="60">
        <v>14.102564102564102</v>
      </c>
      <c r="E125" s="87">
        <v>0.25</v>
      </c>
      <c r="F125" s="87">
        <v>0.25</v>
      </c>
      <c r="G125" s="87">
        <v>0.25</v>
      </c>
      <c r="H125" s="87">
        <v>0.25</v>
      </c>
      <c r="I125" s="53">
        <f t="shared" si="4"/>
        <v>4.9999999999999947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60">
        <v>75</v>
      </c>
      <c r="B126" s="60">
        <v>260.89743589743591</v>
      </c>
      <c r="C126" s="60">
        <v>13</v>
      </c>
      <c r="D126" s="60">
        <v>13.461538461538462</v>
      </c>
      <c r="E126" s="65">
        <v>0.25</v>
      </c>
      <c r="F126" s="65">
        <v>0.25</v>
      </c>
      <c r="G126" s="65">
        <v>0.25</v>
      </c>
      <c r="H126" s="65">
        <v>0.25</v>
      </c>
      <c r="I126" s="53">
        <f t="shared" si="4"/>
        <v>4.6153846153846185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60">
        <v>80</v>
      </c>
      <c r="B127" s="60">
        <v>268.58974358974359</v>
      </c>
      <c r="C127" s="60">
        <v>14</v>
      </c>
      <c r="D127" s="60">
        <v>12.820512820512819</v>
      </c>
      <c r="E127" s="65">
        <v>0.25</v>
      </c>
      <c r="F127" s="65">
        <v>0.25</v>
      </c>
      <c r="G127" s="65">
        <v>0.25</v>
      </c>
      <c r="H127" s="65">
        <v>0.25</v>
      </c>
      <c r="I127" s="53">
        <f t="shared" si="4"/>
        <v>4.2307692307692264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50">
        <v>85</v>
      </c>
      <c r="B128" s="50">
        <v>276.28205128205127</v>
      </c>
      <c r="C128" s="50">
        <v>15</v>
      </c>
      <c r="D128" s="50">
        <v>12.179487179487179</v>
      </c>
      <c r="E128" s="54">
        <v>0.25</v>
      </c>
      <c r="F128" s="54">
        <v>0.25</v>
      </c>
      <c r="G128" s="54">
        <v>0.25</v>
      </c>
      <c r="H128" s="54">
        <v>0.25</v>
      </c>
      <c r="I128" s="53">
        <f t="shared" si="4"/>
        <v>4.1025641025640995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50">
        <v>90</v>
      </c>
      <c r="B129" s="50">
        <v>283.33333333333331</v>
      </c>
      <c r="C129" s="50">
        <v>16</v>
      </c>
      <c r="D129" s="50">
        <v>12.179487179487179</v>
      </c>
      <c r="E129" s="54">
        <v>0.25</v>
      </c>
      <c r="F129" s="54">
        <v>0.25</v>
      </c>
      <c r="G129" s="54">
        <v>0.25</v>
      </c>
      <c r="H129" s="54">
        <v>0.25</v>
      </c>
      <c r="I129" s="53">
        <f t="shared" si="4"/>
        <v>3.8461538461538454</v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50">
        <v>95</v>
      </c>
      <c r="B130" s="50">
        <v>289.74358974358972</v>
      </c>
      <c r="C130" s="50">
        <v>17</v>
      </c>
      <c r="D130" s="50">
        <v>11.538461538461538</v>
      </c>
      <c r="E130" s="54">
        <v>0.25</v>
      </c>
      <c r="F130" s="54">
        <v>0.25</v>
      </c>
      <c r="G130" s="54">
        <v>0.25</v>
      </c>
      <c r="H130" s="54">
        <v>0.25</v>
      </c>
      <c r="I130" s="53">
        <f t="shared" si="4"/>
        <v>3.7179487179487181</v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50">
        <v>100</v>
      </c>
      <c r="B131" s="50">
        <v>296.15384615384613</v>
      </c>
      <c r="C131" s="50">
        <v>18</v>
      </c>
      <c r="D131" s="50">
        <v>10.897435897435898</v>
      </c>
      <c r="E131" s="54">
        <v>0.25</v>
      </c>
      <c r="F131" s="54">
        <v>0.25</v>
      </c>
      <c r="G131" s="54">
        <v>0.25</v>
      </c>
      <c r="H131" s="54">
        <v>0.25</v>
      </c>
      <c r="I131" s="53">
        <f t="shared" si="4"/>
        <v>3.5897435897435912</v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50">
        <v>105</v>
      </c>
      <c r="B132" s="50">
        <v>301.28205128205127</v>
      </c>
      <c r="C132" s="50">
        <v>19</v>
      </c>
      <c r="D132" s="50">
        <v>10.897435897435898</v>
      </c>
      <c r="E132" s="54">
        <v>0.25</v>
      </c>
      <c r="F132" s="54">
        <v>0.25</v>
      </c>
      <c r="G132" s="54">
        <v>0.25</v>
      </c>
      <c r="H132" s="54">
        <v>0.25</v>
      </c>
      <c r="I132" s="53">
        <f t="shared" si="4"/>
        <v>3.2051282051282102</v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50">
        <v>110</v>
      </c>
      <c r="B133" s="50">
        <v>307.05128205128204</v>
      </c>
      <c r="C133" s="50">
        <v>20</v>
      </c>
      <c r="D133" s="50">
        <v>307.05128205128204</v>
      </c>
      <c r="E133" s="54">
        <v>0.25</v>
      </c>
      <c r="F133" s="54">
        <v>0.25</v>
      </c>
      <c r="G133" s="54">
        <v>0.25</v>
      </c>
      <c r="H133" s="54">
        <v>0.25</v>
      </c>
      <c r="I133" s="53">
        <f t="shared" si="4"/>
        <v>3.333333333333337</v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C135" s="23" t="s">
        <v>327</v>
      </c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169</v>
      </c>
      <c r="B136" s="52" t="str">
        <f>IF(B13="","",B13)</f>
        <v>Pin maritime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5" t="s">
        <v>185</v>
      </c>
      <c r="C138" s="264" t="s">
        <v>186</v>
      </c>
      <c r="D138" s="264"/>
      <c r="E138" s="265" t="s">
        <v>187</v>
      </c>
      <c r="F138" s="266"/>
      <c r="G138" s="266"/>
      <c r="H138" s="267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>
        <v>17</v>
      </c>
      <c r="B140" s="60">
        <v>123.63</v>
      </c>
      <c r="C140" s="50">
        <v>1</v>
      </c>
      <c r="D140" s="60">
        <v>41.179999999999993</v>
      </c>
      <c r="E140" s="51">
        <v>0</v>
      </c>
      <c r="F140" s="51">
        <v>0.5</v>
      </c>
      <c r="G140" s="51">
        <v>0.5</v>
      </c>
      <c r="H140" s="51">
        <v>0</v>
      </c>
      <c r="I140" s="57">
        <f>IFERROR(B140/A140,"")</f>
        <v>7.2723529411764707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>
        <v>23</v>
      </c>
      <c r="B141" s="60">
        <v>189.21</v>
      </c>
      <c r="C141" s="50">
        <v>2</v>
      </c>
      <c r="D141" s="60">
        <v>58.370000000000005</v>
      </c>
      <c r="E141" s="51">
        <v>0.25</v>
      </c>
      <c r="F141" s="51">
        <v>0.37</v>
      </c>
      <c r="G141" s="51">
        <v>0.38</v>
      </c>
      <c r="H141" s="51">
        <v>0</v>
      </c>
      <c r="I141" s="57">
        <f t="shared" ref="I141:I159" si="5">IF(A141&lt;&gt;0,(B141-(B140-D140))/(A141-A140),"")</f>
        <v>17.793333333333333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>
        <v>29</v>
      </c>
      <c r="B142" s="60">
        <v>242.91</v>
      </c>
      <c r="C142" s="50">
        <v>3</v>
      </c>
      <c r="D142" s="60">
        <v>54.97</v>
      </c>
      <c r="E142" s="51">
        <v>0.6</v>
      </c>
      <c r="F142" s="51">
        <v>0.2</v>
      </c>
      <c r="G142" s="51">
        <v>0.2</v>
      </c>
      <c r="H142" s="51">
        <v>0</v>
      </c>
      <c r="I142" s="57">
        <f t="shared" si="5"/>
        <v>18.678333333333331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>
        <v>36</v>
      </c>
      <c r="B143" s="60">
        <v>312.57</v>
      </c>
      <c r="C143" s="50">
        <v>4</v>
      </c>
      <c r="D143" s="60">
        <v>76.509999999999991</v>
      </c>
      <c r="E143" s="51">
        <v>0.6</v>
      </c>
      <c r="F143" s="51">
        <v>0.2</v>
      </c>
      <c r="G143" s="51">
        <v>0.2</v>
      </c>
      <c r="H143" s="51">
        <v>0</v>
      </c>
      <c r="I143" s="57">
        <f t="shared" si="5"/>
        <v>17.804285714285715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>
        <v>44</v>
      </c>
      <c r="B144" s="60">
        <v>368.73</v>
      </c>
      <c r="C144" s="50">
        <v>5</v>
      </c>
      <c r="D144" s="60">
        <v>78.240000000000009</v>
      </c>
      <c r="E144" s="51">
        <v>0.6</v>
      </c>
      <c r="F144" s="51">
        <v>0.2</v>
      </c>
      <c r="G144" s="51">
        <v>0.2</v>
      </c>
      <c r="H144" s="51">
        <v>0</v>
      </c>
      <c r="I144" s="57">
        <f t="shared" si="5"/>
        <v>16.583750000000002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>
        <v>52</v>
      </c>
      <c r="B145" s="60">
        <v>408.01</v>
      </c>
      <c r="C145" s="50">
        <v>6</v>
      </c>
      <c r="D145" s="60">
        <v>75.70999999999998</v>
      </c>
      <c r="E145" s="51">
        <v>0.6</v>
      </c>
      <c r="F145" s="51">
        <v>0.2</v>
      </c>
      <c r="G145" s="51">
        <v>0.2</v>
      </c>
      <c r="H145" s="51">
        <v>0</v>
      </c>
      <c r="I145" s="57">
        <f t="shared" si="5"/>
        <v>14.689999999999998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>
        <v>60</v>
      </c>
      <c r="B146" s="60">
        <v>437.74</v>
      </c>
      <c r="C146" s="50">
        <v>7</v>
      </c>
      <c r="D146" s="60">
        <v>437.74</v>
      </c>
      <c r="E146" s="51">
        <v>0.6</v>
      </c>
      <c r="F146" s="51">
        <v>0.2</v>
      </c>
      <c r="G146" s="51">
        <v>0.2</v>
      </c>
      <c r="H146" s="51">
        <v>0</v>
      </c>
      <c r="I146" s="57">
        <f t="shared" si="5"/>
        <v>13.18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170</v>
      </c>
      <c r="B162" s="52" t="str">
        <f>IF(B14="","",B14)</f>
        <v/>
      </c>
      <c r="C162" s="23" t="s">
        <v>328</v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5" t="s">
        <v>185</v>
      </c>
      <c r="C164" s="264" t="s">
        <v>186</v>
      </c>
      <c r="D164" s="264"/>
      <c r="E164" s="265" t="s">
        <v>187</v>
      </c>
      <c r="F164" s="266"/>
      <c r="G164" s="266"/>
      <c r="H164" s="267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C187" s="23" t="s">
        <v>329</v>
      </c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5" t="s">
        <v>185</v>
      </c>
      <c r="C190" s="264" t="s">
        <v>186</v>
      </c>
      <c r="D190" s="264"/>
      <c r="E190" s="265" t="s">
        <v>187</v>
      </c>
      <c r="F190" s="266"/>
      <c r="G190" s="266"/>
      <c r="H190" s="267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5" t="s">
        <v>185</v>
      </c>
      <c r="C216" s="264" t="s">
        <v>186</v>
      </c>
      <c r="D216" s="264"/>
      <c r="E216" s="265" t="s">
        <v>187</v>
      </c>
      <c r="F216" s="266"/>
      <c r="G216" s="266"/>
      <c r="H216" s="267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5" t="s">
        <v>185</v>
      </c>
      <c r="C242" s="264" t="s">
        <v>186</v>
      </c>
      <c r="D242" s="264"/>
      <c r="E242" s="265" t="s">
        <v>187</v>
      </c>
      <c r="F242" s="266"/>
      <c r="G242" s="266"/>
      <c r="H242" s="267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5" t="s">
        <v>185</v>
      </c>
      <c r="C268" s="264" t="s">
        <v>186</v>
      </c>
      <c r="D268" s="264"/>
      <c r="E268" s="265" t="s">
        <v>187</v>
      </c>
      <c r="F268" s="266"/>
      <c r="G268" s="266"/>
      <c r="H268" s="267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B3" zoomScaleNormal="100" workbookViewId="0">
      <selection activeCell="B17" sqref="B17"/>
    </sheetView>
  </sheetViews>
  <sheetFormatPr baseColWidth="10" defaultColWidth="11.453125" defaultRowHeight="14.5" x14ac:dyDescent="0.35"/>
  <cols>
    <col min="1" max="1" width="5.90625" style="1" customWidth="1"/>
    <col min="2" max="2" width="14.08984375" style="1" customWidth="1"/>
    <col min="3" max="3" width="62.08984375" style="1" customWidth="1"/>
    <col min="4" max="5" width="4.26953125" style="1" customWidth="1"/>
    <col min="6" max="6" width="14.26953125" style="1" customWidth="1"/>
    <col min="7" max="7" width="73.26953125" style="1" bestFit="1" customWidth="1"/>
    <col min="8" max="10" width="11.453125" style="1"/>
    <col min="11" max="11" width="12.5429687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60" t="s">
        <v>191</v>
      </c>
      <c r="C2" s="261"/>
      <c r="D2" s="261"/>
      <c r="E2" s="261"/>
      <c r="F2" s="261"/>
      <c r="G2" s="262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59"/>
      <c r="C4" s="259"/>
      <c r="D4" s="259"/>
      <c r="E4" s="259"/>
      <c r="F4" s="259"/>
      <c r="G4" s="259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5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5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1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90625" style="4" bestFit="1" customWidth="1"/>
    <col min="2" max="4" width="11.453125" style="4"/>
    <col min="5" max="5" width="9.54296875" style="4" customWidth="1"/>
    <col min="6" max="7" width="11.453125" style="4"/>
    <col min="8" max="8" width="10.6328125" style="4" customWidth="1"/>
    <col min="9" max="9" width="9.453125" style="4" customWidth="1"/>
    <col min="10" max="11" width="10.5429687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6328125" style="4" bestFit="1" customWidth="1"/>
    <col min="25" max="25" width="14.54296875" style="4" bestFit="1" customWidth="1"/>
    <col min="26" max="26" width="12.453125" style="4" bestFit="1" customWidth="1"/>
    <col min="27" max="27" width="9.63281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54296875" style="4" bestFit="1" customWidth="1"/>
    <col min="36" max="36" width="9.453125" style="4" bestFit="1" customWidth="1"/>
    <col min="37" max="38" width="10.54296875" style="4" bestFit="1" customWidth="1"/>
    <col min="39" max="41" width="10.54296875" style="4" customWidth="1"/>
    <col min="42" max="42" width="9" style="4" bestFit="1" customWidth="1"/>
    <col min="43" max="43" width="10.54296875" style="4" bestFit="1" customWidth="1"/>
    <col min="44" max="44" width="9.26953125" style="4" bestFit="1" customWidth="1"/>
    <col min="45" max="45" width="11.6328125" style="4" bestFit="1" customWidth="1"/>
    <col min="46" max="46" width="8.453125" style="4" bestFit="1" customWidth="1"/>
    <col min="47" max="47" width="9.453125" style="4" bestFit="1" customWidth="1"/>
    <col min="48" max="48" width="9.63281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54296875" style="4" bestFit="1" customWidth="1"/>
    <col min="54" max="54" width="14.26953125" style="4" customWidth="1"/>
    <col min="55" max="55" width="14" style="4" customWidth="1"/>
    <col min="56" max="56" width="10.54296875" style="4" bestFit="1" customWidth="1"/>
    <col min="57" max="57" width="9.453125" style="4" bestFit="1" customWidth="1"/>
    <col min="58" max="59" width="10.54296875" style="4" bestFit="1" customWidth="1"/>
    <col min="60" max="62" width="10.54296875" style="4" customWidth="1"/>
    <col min="63" max="63" width="9" style="4" bestFit="1" customWidth="1"/>
    <col min="64" max="64" width="10.54296875" style="4" bestFit="1" customWidth="1"/>
    <col min="65" max="65" width="9.26953125" style="4" bestFit="1" customWidth="1"/>
    <col min="66" max="66" width="11.6328125" style="4" bestFit="1" customWidth="1"/>
    <col min="67" max="67" width="8.453125" style="4" bestFit="1" customWidth="1"/>
    <col min="68" max="68" width="9.453125" style="4" bestFit="1" customWidth="1"/>
    <col min="69" max="69" width="9.63281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54296875" style="4" bestFit="1" customWidth="1"/>
    <col min="75" max="75" width="14" style="4" bestFit="1" customWidth="1"/>
    <col min="76" max="76" width="13.90625" style="4" customWidth="1"/>
    <col min="77" max="77" width="10.54296875" style="4" bestFit="1" customWidth="1"/>
    <col min="78" max="78" width="9.453125" style="4" bestFit="1" customWidth="1"/>
    <col min="79" max="80" width="10.54296875" style="4" bestFit="1" customWidth="1"/>
    <col min="81" max="83" width="10.54296875" style="4" customWidth="1"/>
    <col min="84" max="84" width="11.453125" style="4"/>
    <col min="85" max="85" width="10.54296875" style="4" bestFit="1" customWidth="1"/>
    <col min="86" max="86" width="9.26953125" style="4" bestFit="1" customWidth="1"/>
    <col min="87" max="87" width="11.6328125" style="4" bestFit="1" customWidth="1"/>
    <col min="88" max="88" width="8.453125" style="4" bestFit="1" customWidth="1"/>
    <col min="89" max="89" width="9.453125" style="4" bestFit="1" customWidth="1"/>
    <col min="90" max="90" width="9.63281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54296875" style="4" bestFit="1" customWidth="1"/>
    <col min="99" max="99" width="9.453125" style="4" bestFit="1" customWidth="1"/>
    <col min="100" max="101" width="10.54296875" style="4" bestFit="1" customWidth="1"/>
    <col min="102" max="104" width="10.54296875" style="4" customWidth="1"/>
    <col min="105" max="105" width="9" style="4" bestFit="1" customWidth="1"/>
    <col min="106" max="106" width="10.54296875" style="4" bestFit="1" customWidth="1"/>
    <col min="107" max="107" width="9.26953125" style="4" bestFit="1" customWidth="1"/>
    <col min="108" max="108" width="11.6328125" style="4" bestFit="1" customWidth="1"/>
    <col min="109" max="109" width="8.453125" style="4" bestFit="1" customWidth="1"/>
    <col min="110" max="110" width="9.453125" style="4" bestFit="1" customWidth="1"/>
    <col min="111" max="111" width="9.63281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54296875" style="4" bestFit="1" customWidth="1"/>
    <col min="117" max="117" width="14.26953125" style="4" customWidth="1"/>
    <col min="118" max="118" width="14" style="4" bestFit="1" customWidth="1"/>
    <col min="119" max="119" width="10.54296875" style="4" bestFit="1" customWidth="1"/>
    <col min="120" max="120" width="9.453125" style="4" bestFit="1" customWidth="1"/>
    <col min="121" max="122" width="10.54296875" style="4" bestFit="1" customWidth="1"/>
    <col min="123" max="125" width="10.54296875" style="4" customWidth="1"/>
    <col min="126" max="126" width="9" style="4" bestFit="1" customWidth="1"/>
    <col min="127" max="127" width="10.54296875" style="4" bestFit="1" customWidth="1"/>
    <col min="128" max="128" width="9.26953125" style="4" bestFit="1" customWidth="1"/>
    <col min="129" max="129" width="11.6328125" style="4" bestFit="1" customWidth="1"/>
    <col min="130" max="130" width="8.453125" style="4" bestFit="1" customWidth="1"/>
    <col min="131" max="131" width="9.453125" style="4" bestFit="1" customWidth="1"/>
    <col min="132" max="132" width="9.63281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54296875" style="4" bestFit="1" customWidth="1"/>
    <col min="138" max="139" width="14" style="4" customWidth="1"/>
    <col min="140" max="140" width="10.54296875" style="4" bestFit="1" customWidth="1"/>
    <col min="141" max="141" width="9.453125" style="4" bestFit="1" customWidth="1"/>
    <col min="142" max="143" width="10.54296875" style="4" bestFit="1" customWidth="1"/>
    <col min="144" max="146" width="10.54296875" style="4" customWidth="1"/>
    <col min="147" max="147" width="9" style="4" bestFit="1" customWidth="1"/>
    <col min="148" max="148" width="10.54296875" style="4" bestFit="1" customWidth="1"/>
    <col min="149" max="149" width="9.26953125" style="4" bestFit="1" customWidth="1"/>
    <col min="150" max="150" width="11.6328125" style="4" bestFit="1" customWidth="1"/>
    <col min="151" max="151" width="8.453125" style="4" bestFit="1" customWidth="1"/>
    <col min="152" max="152" width="9.453125" style="4" bestFit="1" customWidth="1"/>
    <col min="153" max="153" width="9.63281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54296875" style="4" bestFit="1" customWidth="1"/>
    <col min="162" max="162" width="9.453125" style="4" bestFit="1" customWidth="1"/>
    <col min="163" max="164" width="10.54296875" style="4" bestFit="1" customWidth="1"/>
    <col min="165" max="167" width="10.54296875" style="4" customWidth="1"/>
    <col min="168" max="168" width="9" style="4" bestFit="1" customWidth="1"/>
    <col min="169" max="169" width="10.54296875" style="4" bestFit="1" customWidth="1"/>
    <col min="170" max="170" width="9.26953125" style="4" bestFit="1" customWidth="1"/>
    <col min="171" max="171" width="11.6328125" style="4" bestFit="1" customWidth="1"/>
    <col min="172" max="172" width="8.08984375" style="4" bestFit="1" customWidth="1"/>
    <col min="173" max="173" width="9.453125" style="4" bestFit="1" customWidth="1"/>
    <col min="174" max="174" width="9.63281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54296875" style="4" bestFit="1" customWidth="1"/>
    <col min="180" max="181" width="14" style="4" bestFit="1" customWidth="1"/>
    <col min="182" max="182" width="10.54296875" style="4" bestFit="1" customWidth="1"/>
    <col min="183" max="183" width="9.453125" style="4" bestFit="1" customWidth="1"/>
    <col min="184" max="185" width="10.54296875" style="4" bestFit="1" customWidth="1"/>
    <col min="186" max="188" width="10.54296875" style="4" customWidth="1"/>
    <col min="189" max="189" width="9" style="4" bestFit="1" customWidth="1"/>
    <col min="190" max="190" width="10.54296875" style="4" bestFit="1" customWidth="1"/>
    <col min="191" max="191" width="9.26953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63281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54296875" style="4" bestFit="1" customWidth="1"/>
    <col min="201" max="201" width="14" style="4" customWidth="1"/>
    <col min="202" max="202" width="14.26953125" style="4" customWidth="1"/>
    <col min="203" max="203" width="10.54296875" style="4" bestFit="1" customWidth="1"/>
    <col min="204" max="204" width="9.453125" style="4" bestFit="1" customWidth="1"/>
    <col min="205" max="206" width="10.54296875" style="4" bestFit="1" customWidth="1"/>
    <col min="207" max="209" width="10.54296875" style="4" customWidth="1"/>
    <col min="210" max="210" width="9" style="4" bestFit="1" customWidth="1"/>
    <col min="211" max="211" width="10.54296875" style="4" bestFit="1" customWidth="1"/>
    <col min="212" max="212" width="9.26953125" style="4" bestFit="1" customWidth="1"/>
    <col min="213" max="213" width="11.6328125" style="4" bestFit="1" customWidth="1"/>
    <col min="214" max="214" width="8.453125" style="4" bestFit="1" customWidth="1"/>
    <col min="215" max="215" width="9.453125" style="4" bestFit="1" customWidth="1"/>
    <col min="216" max="216" width="9.63281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80" t="s">
        <v>176</v>
      </c>
      <c r="C1" s="281"/>
      <c r="D1" s="281"/>
      <c r="E1" s="281"/>
      <c r="F1" s="281"/>
      <c r="G1" s="281"/>
      <c r="H1" s="282"/>
      <c r="I1" s="277" t="str">
        <f>IF('Données projet'!$B$9="","",'Données projet'!$B$9)</f>
        <v>Robinier faux-acacia</v>
      </c>
      <c r="J1" s="278"/>
      <c r="K1" s="278"/>
      <c r="L1" s="278"/>
      <c r="M1" s="278"/>
      <c r="N1" s="278"/>
      <c r="O1" s="278"/>
      <c r="P1" s="278"/>
      <c r="Q1" s="278"/>
      <c r="R1" s="278"/>
      <c r="S1" s="278"/>
      <c r="T1" s="278"/>
      <c r="U1" s="278"/>
      <c r="V1" s="278"/>
      <c r="W1" s="278"/>
      <c r="X1" s="278"/>
      <c r="Y1" s="278"/>
      <c r="Z1" s="278"/>
      <c r="AA1" s="278"/>
      <c r="AB1" s="278"/>
      <c r="AC1" s="279"/>
      <c r="AD1" s="278" t="str">
        <f>IF('Données projet'!$B$10="","",'Données projet'!$B$10)</f>
        <v>Chêne pubescent</v>
      </c>
      <c r="AE1" s="278"/>
      <c r="AF1" s="278"/>
      <c r="AG1" s="278"/>
      <c r="AH1" s="278"/>
      <c r="AI1" s="278"/>
      <c r="AJ1" s="278"/>
      <c r="AK1" s="278"/>
      <c r="AL1" s="278"/>
      <c r="AM1" s="278"/>
      <c r="AN1" s="278"/>
      <c r="AO1" s="278"/>
      <c r="AP1" s="278"/>
      <c r="AQ1" s="278"/>
      <c r="AR1" s="278"/>
      <c r="AS1" s="278"/>
      <c r="AT1" s="278"/>
      <c r="AU1" s="278"/>
      <c r="AV1" s="278"/>
      <c r="AW1" s="278"/>
      <c r="AX1" s="279"/>
      <c r="AY1" s="277" t="str">
        <f>IF('Données projet'!$B$11="","",'Données projet'!$B$11)</f>
        <v>Chêne sessile</v>
      </c>
      <c r="AZ1" s="278"/>
      <c r="BA1" s="278"/>
      <c r="BB1" s="278"/>
      <c r="BC1" s="278"/>
      <c r="BD1" s="278"/>
      <c r="BE1" s="278"/>
      <c r="BF1" s="278"/>
      <c r="BG1" s="278"/>
      <c r="BH1" s="278"/>
      <c r="BI1" s="278"/>
      <c r="BJ1" s="278"/>
      <c r="BK1" s="278"/>
      <c r="BL1" s="278"/>
      <c r="BM1" s="278"/>
      <c r="BN1" s="278"/>
      <c r="BO1" s="278"/>
      <c r="BP1" s="278"/>
      <c r="BQ1" s="278"/>
      <c r="BR1" s="278"/>
      <c r="BS1" s="279"/>
      <c r="BT1" s="277" t="str">
        <f>IF('Données projet'!$B$12="","",'Données projet'!$B$12)</f>
        <v>Tilleul</v>
      </c>
      <c r="BU1" s="278"/>
      <c r="BV1" s="278"/>
      <c r="BW1" s="278"/>
      <c r="BX1" s="278"/>
      <c r="BY1" s="278"/>
      <c r="BZ1" s="278"/>
      <c r="CA1" s="278"/>
      <c r="CB1" s="278"/>
      <c r="CC1" s="278"/>
      <c r="CD1" s="278"/>
      <c r="CE1" s="278"/>
      <c r="CF1" s="278"/>
      <c r="CG1" s="278"/>
      <c r="CH1" s="278"/>
      <c r="CI1" s="278"/>
      <c r="CJ1" s="278"/>
      <c r="CK1" s="278"/>
      <c r="CL1" s="278"/>
      <c r="CM1" s="278"/>
      <c r="CN1" s="279"/>
      <c r="CO1" s="277" t="str">
        <f>IF('Données projet'!$B$13="","",'Données projet'!$B$13)</f>
        <v>Pin maritime</v>
      </c>
      <c r="CP1" s="278"/>
      <c r="CQ1" s="278"/>
      <c r="CR1" s="278"/>
      <c r="CS1" s="278"/>
      <c r="CT1" s="278"/>
      <c r="CU1" s="278"/>
      <c r="CV1" s="278"/>
      <c r="CW1" s="278"/>
      <c r="CX1" s="278"/>
      <c r="CY1" s="278"/>
      <c r="CZ1" s="278"/>
      <c r="DA1" s="278"/>
      <c r="DB1" s="278"/>
      <c r="DC1" s="278"/>
      <c r="DD1" s="278"/>
      <c r="DE1" s="278"/>
      <c r="DF1" s="278"/>
      <c r="DG1" s="278"/>
      <c r="DH1" s="278"/>
      <c r="DI1" s="279"/>
      <c r="DJ1" s="277" t="str">
        <f>IF('Données projet'!$B$14="","",'Données projet'!$B$14)</f>
        <v/>
      </c>
      <c r="DK1" s="278"/>
      <c r="DL1" s="278"/>
      <c r="DM1" s="278"/>
      <c r="DN1" s="278"/>
      <c r="DO1" s="278"/>
      <c r="DP1" s="278"/>
      <c r="DQ1" s="278"/>
      <c r="DR1" s="278"/>
      <c r="DS1" s="278"/>
      <c r="DT1" s="278"/>
      <c r="DU1" s="278"/>
      <c r="DV1" s="278"/>
      <c r="DW1" s="278"/>
      <c r="DX1" s="278"/>
      <c r="DY1" s="278"/>
      <c r="DZ1" s="278"/>
      <c r="EA1" s="278"/>
      <c r="EB1" s="278"/>
      <c r="EC1" s="278"/>
      <c r="ED1" s="279"/>
      <c r="EE1" s="277" t="str">
        <f>IF('Données projet'!$B$15="","",'Données projet'!$B$15)</f>
        <v/>
      </c>
      <c r="EF1" s="278"/>
      <c r="EG1" s="278"/>
      <c r="EH1" s="278"/>
      <c r="EI1" s="278"/>
      <c r="EJ1" s="278"/>
      <c r="EK1" s="278"/>
      <c r="EL1" s="278"/>
      <c r="EM1" s="278"/>
      <c r="EN1" s="278"/>
      <c r="EO1" s="278"/>
      <c r="EP1" s="278"/>
      <c r="EQ1" s="278"/>
      <c r="ER1" s="278"/>
      <c r="ES1" s="278"/>
      <c r="ET1" s="278"/>
      <c r="EU1" s="278"/>
      <c r="EV1" s="278"/>
      <c r="EW1" s="278"/>
      <c r="EX1" s="278"/>
      <c r="EY1" s="279"/>
      <c r="EZ1" s="277" t="str">
        <f>IF('Données projet'!$B$16="","",'Données projet'!$B$16)</f>
        <v/>
      </c>
      <c r="FA1" s="278"/>
      <c r="FB1" s="278"/>
      <c r="FC1" s="278"/>
      <c r="FD1" s="278"/>
      <c r="FE1" s="278"/>
      <c r="FF1" s="278"/>
      <c r="FG1" s="278"/>
      <c r="FH1" s="278"/>
      <c r="FI1" s="278"/>
      <c r="FJ1" s="278"/>
      <c r="FK1" s="278"/>
      <c r="FL1" s="278"/>
      <c r="FM1" s="278"/>
      <c r="FN1" s="278"/>
      <c r="FO1" s="278"/>
      <c r="FP1" s="278"/>
      <c r="FQ1" s="278"/>
      <c r="FR1" s="278"/>
      <c r="FS1" s="278"/>
      <c r="FT1" s="279"/>
      <c r="FU1" s="277" t="str">
        <f>IF('Données projet'!$B$17="","",'Données projet'!$B$17)</f>
        <v/>
      </c>
      <c r="FV1" s="278"/>
      <c r="FW1" s="278"/>
      <c r="FX1" s="278"/>
      <c r="FY1" s="278"/>
      <c r="FZ1" s="278"/>
      <c r="GA1" s="278"/>
      <c r="GB1" s="278"/>
      <c r="GC1" s="278"/>
      <c r="GD1" s="278"/>
      <c r="GE1" s="278"/>
      <c r="GF1" s="278"/>
      <c r="GG1" s="278"/>
      <c r="GH1" s="278"/>
      <c r="GI1" s="278"/>
      <c r="GJ1" s="278"/>
      <c r="GK1" s="278"/>
      <c r="GL1" s="278"/>
      <c r="GM1" s="278"/>
      <c r="GN1" s="278"/>
      <c r="GO1" s="279"/>
      <c r="GP1" s="277" t="str">
        <f>IF('Données projet'!$B$18="","",'Données projet'!$B$18)</f>
        <v/>
      </c>
      <c r="GQ1" s="278"/>
      <c r="GR1" s="278"/>
      <c r="GS1" s="278"/>
      <c r="GT1" s="278"/>
      <c r="GU1" s="278"/>
      <c r="GV1" s="278"/>
      <c r="GW1" s="278"/>
      <c r="GX1" s="278"/>
      <c r="GY1" s="278"/>
      <c r="GZ1" s="278"/>
      <c r="HA1" s="278"/>
      <c r="HB1" s="278"/>
      <c r="HC1" s="278"/>
      <c r="HD1" s="278"/>
      <c r="HE1" s="278"/>
      <c r="HF1" s="278"/>
      <c r="HG1" s="278"/>
      <c r="HH1" s="278"/>
      <c r="HI1" s="278"/>
      <c r="HJ1" s="279"/>
    </row>
    <row r="2" spans="1:218" ht="58.5" thickBot="1" x14ac:dyDescent="0.4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5">
      <c r="A3" s="10">
        <v>0</v>
      </c>
      <c r="B3" s="73">
        <f>'Scénario référence'!$B$16*5+'Scénario référence'!$B$17*0+'Scénario référence'!$B$18*5</f>
        <v>5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67">
        <f>(B3+E3+F3)*44/12+(C3+D3)*0.475*44/12</f>
        <v>183.33333333333334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165</v>
      </c>
      <c r="S3" s="59">
        <f ca="1">AVERAGE(OFFSET($R$3,0,0,'Données projet'!$E$9+1,1))-AVERAGE(OFFSET($H$3,0,0,'Données projet'!$E$9+1,1))</f>
        <v>214.60547318405733</v>
      </c>
      <c r="T3" s="59">
        <f>IF('Données projet'!E9&gt;30,$R$33-$H$33,LOOKUP('Données projet'!$E$9,$A$3:$A$203,R3:R203)-LOOKUP('Données projet'!$E$9,$A$3:$A$203,$H$3:$H$203))</f>
        <v>306.35874106546646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165</v>
      </c>
      <c r="AN3" s="59">
        <f ca="1">AVERAGE(OFFSET($AM$3,0,0,'Données projet'!$E$10+1,1))-AVERAGE(OFFSET($H$3,0,0,'Données projet'!$E$10+1,1))</f>
        <v>752.45542076695506</v>
      </c>
      <c r="AO3" s="59">
        <f>IF('Données projet'!E10&gt;30,$AM$33-$H$33,LOOKUP('Données projet'!$E$10,$A$3:$A$203,AM3:AM203)-LOOKUP('Données projet'!$E$10,$A$3:$A$203,$H$3:$H$203))</f>
        <v>329.70629768420724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165</v>
      </c>
      <c r="BI3" s="59">
        <f ca="1">AVERAGE(OFFSET($BH$3,0,0,'Données projet'!$E$11+1,1))-AVERAGE(OFFSET($H$3,0,0,'Données projet'!$E$11+1,1))</f>
        <v>681.47578137804555</v>
      </c>
      <c r="BJ3" s="59">
        <f>IF('Données projet'!E11&gt;30,$BH$33-$H$33,LOOKUP('Données projet'!$E$11,$A$3:$A$203,BH3:BH203)-LOOKUP('Données projet'!$E$11,$A$3:$A$203,$H$3:$H$203))</f>
        <v>300.88511065995885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165</v>
      </c>
      <c r="CD3" s="59">
        <f ca="1">AVERAGE(OFFSET($CC$3,0,0,'Données projet'!$E$12+1,1))-AVERAGE(OFFSET($H$3,0,0,'Données projet'!$E$12+1,1))</f>
        <v>335.73816489539837</v>
      </c>
      <c r="CE3" s="59">
        <f>IF('Données projet'!E12&gt;30,$CC$33-$H$33,LOOKUP('Données projet'!$E$12,$A$3:$A$203,CC3:CC203)-LOOKUP('Données projet'!$E$12,$A$3:$A$203,$H$3:$H$203))</f>
        <v>254.09787950201044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165</v>
      </c>
      <c r="CY3" s="59">
        <f ca="1">AVERAGE(OFFSET($CX$3,0,0,'Données projet'!$E$13+1,1))-AVERAGE(OFFSET($H$3,0,0,'Données projet'!$E$13+1,1))</f>
        <v>318.50474972254085</v>
      </c>
      <c r="CZ3" s="59">
        <f>IF('Données projet'!E13&gt;30,$CX$33-$H$33,LOOKUP('Données projet'!$E$13,$A$3:$A$203,CX3:CX203)-LOOKUP('Données projet'!$E$13,$A$3:$A$203,$H$3:$H$203))</f>
        <v>326.45858332753562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3">
        <f>'Scénario référence'!$B$16*5+'Scénario référence'!$B$17*0+'Scénario référence'!$B$18*5</f>
        <v>5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67">
        <f t="shared" ref="H4:H67" si="1">(B4+E4+F4)*44/12+(C4+D4)*0.475*44/12</f>
        <v>183.33333333333334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3.5897435897435899</v>
      </c>
      <c r="N4" s="13">
        <f>IF('Données projet'!$A$36&gt;35,N3+M4-V3,IF(A4&lt;'Données projet'!$A$36,$K$205^A4,IF(A4='Données projet'!$A$36,'Données projet'!$B$36,N3+M4-V3)))</f>
        <v>1.7815855705624291</v>
      </c>
      <c r="O4" s="13">
        <f>N4*VLOOKUP('Données projet'!$B$9,Paramètres!$A$1:$I$89,3,0)*VLOOKUP('Données projet'!$B$9,Paramètres!$A$1:$I$89,5,0)</f>
        <v>1.6119786242448857</v>
      </c>
      <c r="P4" s="13">
        <f>EXP(-1.0587+0.8836*LN(O4)+0.284)</f>
        <v>0.70270771775093011</v>
      </c>
      <c r="Q4" s="20">
        <f t="shared" ref="Q4:Q34" si="2">(O4+P4)*0.475*44/12</f>
        <v>4.0314120456427114</v>
      </c>
      <c r="R4" s="59">
        <f t="shared" si="0"/>
        <v>171.84384599856656</v>
      </c>
      <c r="S4" s="59">
        <f ca="1">AVERAGE(OFFSET($R$3,0,0,'Données projet'!$E$9+1,1))-AVERAGE(OFFSET($H$3,0,0,'Données projet'!$E$9+1,1))</f>
        <v>214.60547318405733</v>
      </c>
      <c r="T4" s="59">
        <f>$T$3</f>
        <v>306.35874106546646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4.0942857142857143</v>
      </c>
      <c r="AI4" s="13">
        <f>IF('Données projet'!$A$62&gt;35,AI3+AH4-AQ3,IF(A4&lt;'Données projet'!$A$62,$AF$205^A4,IF(A4='Données projet'!$A$62,'Données projet'!$B$62,AI3+AH4-AQ3)))</f>
        <v>4.0942857142857143</v>
      </c>
      <c r="AJ4" s="13">
        <f>AI4*VLOOKUP('Données projet'!$B$10,Paramètres!$A$1:$I$89,3,0)*VLOOKUP('Données projet'!$B$10,Paramètres!$A$1:$I$89,5,0)</f>
        <v>4.151605714285715</v>
      </c>
      <c r="AK4" s="13">
        <f>EXP(-1.0587+0.8836*LN(AJ4)+0.284)</f>
        <v>1.6210925568488095</v>
      </c>
      <c r="AL4" s="20">
        <f t="shared" ref="AL4:AL67" si="4">(AJ4+AK4)*0.475*44/12</f>
        <v>10.054116155559297</v>
      </c>
      <c r="AM4" s="59">
        <f t="shared" ref="AM4:AM67" si="5">AL4+(AD4+AE4)*44/12</f>
        <v>177.86655010848312</v>
      </c>
      <c r="AN4" s="59">
        <f ca="1">AVERAGE(OFFSET($AM$3,0,0,'Données projet'!$E$10+1,1))-AVERAGE(OFFSET($H$3,0,0,'Données projet'!$E$10+1,1))</f>
        <v>752.45542076695506</v>
      </c>
      <c r="AO4" s="59">
        <f>$AO$3</f>
        <v>329.70629768420724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4.0942857142857143</v>
      </c>
      <c r="BD4" s="12">
        <f>IF('Données projet'!$A$88&gt;35,BD3+BC4-BL3,IF(A4&lt;'Données projet'!$A$88,$BA$205^A4,IF(A4='Données projet'!$A$88,'Données projet'!$B$88,BD3+BC4-BL3)))</f>
        <v>4.0942857142857143</v>
      </c>
      <c r="BE4" s="13">
        <f>BD4*VLOOKUP('Données projet'!$B$11,Paramètres!$A$1:$I$89,3,0)*VLOOKUP('Données projet'!$B$11,Paramètres!$A$1:$I$89,5,0)</f>
        <v>3.704509714285714</v>
      </c>
      <c r="BF4" s="13">
        <f>EXP(-1.0587+0.8836*LN(BE4)+0.284)</f>
        <v>1.4658264193249637</v>
      </c>
      <c r="BG4" s="20">
        <f t="shared" ref="BG4:BG67" si="7">(BE4+BF4)*0.475*44/12</f>
        <v>9.0050020993719304</v>
      </c>
      <c r="BH4" s="59">
        <f t="shared" ref="BH4:BH67" si="8">BG4+(AY4+AZ4)*44/12</f>
        <v>176.81743605229576</v>
      </c>
      <c r="BI4" s="59">
        <f ca="1">AVERAGE(OFFSET($BH$3,0,0,'Données projet'!$E$11+1,1))-AVERAGE(OFFSET($H$3,0,0,'Données projet'!$E$11+1,1))</f>
        <v>681.47578137804555</v>
      </c>
      <c r="BJ4" s="59">
        <f>$BJ$3</f>
        <v>300.88511065995885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3.3333333333333335</v>
      </c>
      <c r="BY4" s="12">
        <f>IF('Données projet'!$A$114&gt;35,BY3+BX4-CG3,IF(A4&lt;'Données projet'!$A$114,$BV$205^A4,IF(A4='Données projet'!$A$114,'Données projet'!$B$114,BY3+BX4-CG3)))</f>
        <v>1.2979700365523266</v>
      </c>
      <c r="BZ4" s="13">
        <f>BY4*VLOOKUP('Données projet'!$B$12,Paramètres!$A$1:$I$89,3,0)*VLOOKUP('Données projet'!$B$12,Paramètres!$A$1:$I$89,5,0)</f>
        <v>0.87067830051930062</v>
      </c>
      <c r="CA4" s="13">
        <f>EXP(-1.0587+0.8836*LN(BZ4)+0.284)</f>
        <v>0.40776537662742923</v>
      </c>
      <c r="CB4" s="20">
        <f t="shared" ref="CB4:CB67" si="10">(BZ4+CA4)*0.475*44/12</f>
        <v>2.226622737697221</v>
      </c>
      <c r="CC4" s="59">
        <f t="shared" ref="CC4:CC67" si="11">CB4+(BT4+BU4)*44/12</f>
        <v>170.03905669062107</v>
      </c>
      <c r="CD4" s="59">
        <f ca="1">AVERAGE(OFFSET($CC$3,0,0,'Données projet'!$E$12+1,1))-AVERAGE(OFFSET($H$3,0,0,'Données projet'!$E$12+1,1))</f>
        <v>335.73816489539837</v>
      </c>
      <c r="CE4" s="59">
        <f>$CE$3</f>
        <v>254.09787950201044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7.2723529411764707</v>
      </c>
      <c r="CT4" s="12">
        <f>IF('Données projet'!$A$140&gt;35,CT3+CS4-DB3,IF(A4&lt;'Données projet'!$A$140,$CQ$205^A4,IF(A4='Données projet'!$A$140,'Données projet'!$B$140,CT3+CS4-DB3)))</f>
        <v>1.3275965341357465</v>
      </c>
      <c r="CU4" s="17">
        <f>CT4*VLOOKUP('Données projet'!$B$13,Paramètres!$A$1:$I$89,3,0)*VLOOKUP('Données projet'!$B$13,Paramètres!$A$1:$I$89,5,0)</f>
        <v>0.79390272741317647</v>
      </c>
      <c r="CV4" s="13">
        <f>EXP(-1.0587+0.8836*LN(CU4)+0.284)</f>
        <v>0.37582567469791356</v>
      </c>
      <c r="CW4" s="20">
        <f t="shared" ref="CW4:CW67" si="13">(CU4+CV4)*0.475*44/12</f>
        <v>2.0372769670101483</v>
      </c>
      <c r="CX4" s="59">
        <f t="shared" ref="CX4:CX67" si="14">CW4+(CO4+CP4)*44/12</f>
        <v>169.84971091993398</v>
      </c>
      <c r="CY4" s="59">
        <f ca="1">AVERAGE(OFFSET($CX$3,0,0,'Données projet'!$E$13+1,1))-AVERAGE(OFFSET($H$3,0,0,'Données projet'!$E$13+1,1))</f>
        <v>318.50474972254085</v>
      </c>
      <c r="CZ4" s="59">
        <f>$CZ$3</f>
        <v>326.45858332753562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3">
        <f>'Scénario référence'!$B$16*5+'Scénario référence'!$B$17*0+'Scénario référence'!$B$18*5</f>
        <v>5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67">
        <f t="shared" si="1"/>
        <v>183.33333333333334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3.5897435897435899</v>
      </c>
      <c r="N5" s="13">
        <f>IF('Données projet'!$A$36&gt;35,N4+M5-V4,IF(A5&lt;'Données projet'!$A$36,$K$205^A5,IF(A5='Données projet'!$A$36,'Données projet'!$B$36,N4+M5-V4)))</f>
        <v>3.1740471452362558</v>
      </c>
      <c r="O5" s="13">
        <f>N5*VLOOKUP('Données projet'!$B$9,Paramètres!$A$1:$I$89,3,0)*VLOOKUP('Données projet'!$B$9,Paramètres!$A$1:$I$89,5,0)</f>
        <v>2.8718778570097641</v>
      </c>
      <c r="P5" s="13">
        <f t="shared" ref="P5:P68" si="33">EXP(-1.0587+0.8836*LN(O5)+0.284)</f>
        <v>1.1705433759135639</v>
      </c>
      <c r="Q5" s="20">
        <f t="shared" si="2"/>
        <v>7.0405503140081294</v>
      </c>
      <c r="R5" s="59">
        <f t="shared" si="0"/>
        <v>177.63783160150896</v>
      </c>
      <c r="S5" s="59">
        <f ca="1">AVERAGE(OFFSET($R$3,0,0,'Données projet'!$E$9+1,1))-AVERAGE(OFFSET($H$3,0,0,'Données projet'!$E$9+1,1))</f>
        <v>214.60547318405733</v>
      </c>
      <c r="T5" s="59">
        <f t="shared" ref="T5:T68" si="34">$T$3</f>
        <v>306.35874106546646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4.0942857142857143</v>
      </c>
      <c r="AI5" s="13">
        <f>IF('Données projet'!$A$62&gt;35,AI4+AH5-AQ4,IF(A5&lt;'Données projet'!$A$62,$AF$205^A5,IF(A5='Données projet'!$A$62,'Données projet'!$B$62,AI4+AH5-AQ4)))</f>
        <v>8.1885714285714286</v>
      </c>
      <c r="AJ5" s="13">
        <f>AI5*VLOOKUP('Données projet'!$B$10,Paramètres!$A$1:$I$89,3,0)*VLOOKUP('Données projet'!$B$10,Paramètres!$A$1:$I$89,5,0)</f>
        <v>8.30321142857143</v>
      </c>
      <c r="AK5" s="13">
        <f t="shared" ref="AK5:AK68" si="35">EXP(-1.0587+0.8836*LN(AJ5)+0.284)</f>
        <v>2.9908726125223399</v>
      </c>
      <c r="AL5" s="20">
        <f t="shared" si="4"/>
        <v>19.670529704904983</v>
      </c>
      <c r="AM5" s="59">
        <f t="shared" si="5"/>
        <v>190.26781099240583</v>
      </c>
      <c r="AN5" s="59">
        <f ca="1">AVERAGE(OFFSET($AM$3,0,0,'Données projet'!$E$10+1,1))-AVERAGE(OFFSET($H$3,0,0,'Données projet'!$E$10+1,1))</f>
        <v>752.45542076695506</v>
      </c>
      <c r="AO5" s="59">
        <f t="shared" ref="AO5:AO68" si="36">$AO$3</f>
        <v>329.70629768420724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4.0942857142857143</v>
      </c>
      <c r="BD5" s="12">
        <f>IF('Données projet'!$A$88&gt;35,BD4+BC5-BL4,IF(A5&lt;'Données projet'!$A$88,$BA$205^A5,IF(A5='Données projet'!$A$88,'Données projet'!$B$88,BD4+BC5-BL4)))</f>
        <v>8.1885714285714286</v>
      </c>
      <c r="BE5" s="13">
        <f>BD5*VLOOKUP('Données projet'!$B$11,Paramètres!$A$1:$I$89,3,0)*VLOOKUP('Données projet'!$B$11,Paramètres!$A$1:$I$89,5,0)</f>
        <v>7.4090194285714279</v>
      </c>
      <c r="BF5" s="13">
        <f t="shared" ref="BF5:BF68" si="37">EXP(-1.0587+0.8836*LN(BE5)+0.284)</f>
        <v>2.7044107221075859</v>
      </c>
      <c r="BG5" s="20">
        <f t="shared" si="7"/>
        <v>17.614224179099281</v>
      </c>
      <c r="BH5" s="59">
        <f t="shared" si="8"/>
        <v>188.2115054666001</v>
      </c>
      <c r="BI5" s="59">
        <f ca="1">AVERAGE(OFFSET($BH$3,0,0,'Données projet'!$E$11+1,1))-AVERAGE(OFFSET($H$3,0,0,'Données projet'!$E$11+1,1))</f>
        <v>681.47578137804555</v>
      </c>
      <c r="BJ5" s="59">
        <f t="shared" ref="BJ5:BJ68" si="38">$BJ$3</f>
        <v>300.88511065995885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3.3333333333333335</v>
      </c>
      <c r="BY5" s="12">
        <f>IF('Données projet'!$A$114&gt;35,BY4+BX5-CG4,IF(A5&lt;'Données projet'!$A$114,$BV$205^A5,IF(A5='Données projet'!$A$114,'Données projet'!$B$114,BY4+BX5-CG4)))</f>
        <v>1.6847262157876479</v>
      </c>
      <c r="BZ5" s="13">
        <f>BY5*VLOOKUP('Données projet'!$B$12,Paramètres!$A$1:$I$89,3,0)*VLOOKUP('Données projet'!$B$12,Paramètres!$A$1:$I$89,5,0)</f>
        <v>1.1301143455503542</v>
      </c>
      <c r="CA5" s="13">
        <f t="shared" ref="CA5:CA68" si="39">EXP(-1.0587+0.8836*LN(BZ5)+0.284)</f>
        <v>0.5134415452108555</v>
      </c>
      <c r="CB5" s="20">
        <f t="shared" si="10"/>
        <v>2.8625265097424397</v>
      </c>
      <c r="CC5" s="59">
        <f t="shared" si="11"/>
        <v>173.45980779724329</v>
      </c>
      <c r="CD5" s="59">
        <f ca="1">AVERAGE(OFFSET($CC$3,0,0,'Données projet'!$E$12+1,1))-AVERAGE(OFFSET($H$3,0,0,'Données projet'!$E$12+1,1))</f>
        <v>335.73816489539837</v>
      </c>
      <c r="CE5" s="59">
        <f t="shared" ref="CE5:CE68" si="40">$CE$3</f>
        <v>254.09787950201044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7.2723529411764707</v>
      </c>
      <c r="CT5" s="12">
        <f>IF('Données projet'!$A$140&gt;35,CT4+CS5-DB4,IF(A5&lt;'Données projet'!$A$140,$CQ$205^A5,IF(A5='Données projet'!$A$140,'Données projet'!$B$140,CT4+CS5-DB4)))</f>
        <v>1.7625125574492464</v>
      </c>
      <c r="CU5" s="17">
        <f>CT5*VLOOKUP('Données projet'!$B$13,Paramètres!$A$1:$I$89,3,0)*VLOOKUP('Données projet'!$B$13,Paramètres!$A$1:$I$89,5,0)</f>
        <v>1.0539825093546495</v>
      </c>
      <c r="CV5" s="13">
        <f t="shared" ref="CV5:CV68" si="41">EXP(-1.0587+0.8836*LN(CU5)+0.284)</f>
        <v>0.48275597819164817</v>
      </c>
      <c r="CW5" s="20">
        <f t="shared" si="13"/>
        <v>2.676486199143135</v>
      </c>
      <c r="CX5" s="59">
        <f t="shared" si="14"/>
        <v>173.27376748664398</v>
      </c>
      <c r="CY5" s="59">
        <f ca="1">AVERAGE(OFFSET($CX$3,0,0,'Données projet'!$E$13+1,1))-AVERAGE(OFFSET($H$3,0,0,'Données projet'!$E$13+1,1))</f>
        <v>318.50474972254085</v>
      </c>
      <c r="CZ5" s="59">
        <f t="shared" ref="CZ5:CZ68" si="42">$CZ$3</f>
        <v>326.45858332753562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3">
        <f>'Scénario référence'!$B$16*5+'Scénario référence'!$B$17*0+'Scénario référence'!$B$18*5</f>
        <v>5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67">
        <f t="shared" si="1"/>
        <v>183.33333333333334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3.5897435897435899</v>
      </c>
      <c r="N6" s="13">
        <f>IF('Données projet'!$A$36&gt;35,N5+M6-V5,IF(A6&lt;'Données projet'!$A$36,$K$205^A6,IF(A6='Données projet'!$A$36,'Données projet'!$B$36,N5+M6-V5)))</f>
        <v>5.6548365942377838</v>
      </c>
      <c r="O6" s="13">
        <f>N6*VLOOKUP('Données projet'!$B$9,Paramètres!$A$1:$I$89,3,0)*VLOOKUP('Données projet'!$B$9,Paramètres!$A$1:$I$89,5,0)</f>
        <v>5.1164961504663466</v>
      </c>
      <c r="P6" s="13">
        <f t="shared" si="33"/>
        <v>1.9498459463067561</v>
      </c>
      <c r="Q6" s="20">
        <f t="shared" si="2"/>
        <v>12.307212485213155</v>
      </c>
      <c r="R6" s="59">
        <f t="shared" si="0"/>
        <v>185.66223305509803</v>
      </c>
      <c r="S6" s="59">
        <f ca="1">AVERAGE(OFFSET($R$3,0,0,'Données projet'!$E$9+1,1))-AVERAGE(OFFSET($H$3,0,0,'Données projet'!$E$9+1,1))</f>
        <v>214.60547318405733</v>
      </c>
      <c r="T6" s="59">
        <f t="shared" si="34"/>
        <v>306.35874106546646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4.0942857142857143</v>
      </c>
      <c r="AI6" s="13">
        <f>IF('Données projet'!$A$62&gt;35,AI5+AH6-AQ5,IF(A6&lt;'Données projet'!$A$62,$AF$205^A6,IF(A6='Données projet'!$A$62,'Données projet'!$B$62,AI5+AH6-AQ5)))</f>
        <v>12.282857142857143</v>
      </c>
      <c r="AJ6" s="13">
        <f>AI6*VLOOKUP('Données projet'!$B$10,Paramètres!$A$1:$I$89,3,0)*VLOOKUP('Données projet'!$B$10,Paramètres!$A$1:$I$89,5,0)</f>
        <v>12.454817142857145</v>
      </c>
      <c r="AK6" s="13">
        <f t="shared" si="35"/>
        <v>4.279491345414665</v>
      </c>
      <c r="AL6" s="20">
        <f t="shared" si="4"/>
        <v>29.145587283740067</v>
      </c>
      <c r="AM6" s="59">
        <f t="shared" si="5"/>
        <v>202.50060785362496</v>
      </c>
      <c r="AN6" s="59">
        <f ca="1">AVERAGE(OFFSET($AM$3,0,0,'Données projet'!$E$10+1,1))-AVERAGE(OFFSET($H$3,0,0,'Données projet'!$E$10+1,1))</f>
        <v>752.45542076695506</v>
      </c>
      <c r="AO6" s="59">
        <f t="shared" si="36"/>
        <v>329.70629768420724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4.0942857142857143</v>
      </c>
      <c r="BD6" s="12">
        <f>IF('Données projet'!$A$88&gt;35,BD5+BC6-BL5,IF(A6&lt;'Données projet'!$A$88,$BA$205^A6,IF(A6='Données projet'!$A$88,'Données projet'!$B$88,BD5+BC6-BL5)))</f>
        <v>12.282857142857143</v>
      </c>
      <c r="BE6" s="13">
        <f>BD6*VLOOKUP('Données projet'!$B$11,Paramètres!$A$1:$I$89,3,0)*VLOOKUP('Données projet'!$B$11,Paramètres!$A$1:$I$89,5,0)</f>
        <v>11.113529142857143</v>
      </c>
      <c r="BF6" s="13">
        <f t="shared" si="37"/>
        <v>3.8696072280877138</v>
      </c>
      <c r="BG6" s="20">
        <f t="shared" si="7"/>
        <v>26.095629179395626</v>
      </c>
      <c r="BH6" s="59">
        <f t="shared" si="8"/>
        <v>199.4506497492805</v>
      </c>
      <c r="BI6" s="59">
        <f ca="1">AVERAGE(OFFSET($BH$3,0,0,'Données projet'!$E$11+1,1))-AVERAGE(OFFSET($H$3,0,0,'Données projet'!$E$11+1,1))</f>
        <v>681.47578137804555</v>
      </c>
      <c r="BJ6" s="59">
        <f t="shared" si="38"/>
        <v>300.88511065995885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3.3333333333333335</v>
      </c>
      <c r="BY6" s="12">
        <f>IF('Données projet'!$A$114&gt;35,BY5+BX6-CG5,IF(A6&lt;'Données projet'!$A$114,$BV$205^A6,IF(A6='Données projet'!$A$114,'Données projet'!$B$114,BY5+BX6-CG5)))</f>
        <v>2.1867241478865562</v>
      </c>
      <c r="BZ6" s="13">
        <f>BY6*VLOOKUP('Données projet'!$B$12,Paramètres!$A$1:$I$89,3,0)*VLOOKUP('Données projet'!$B$12,Paramètres!$A$1:$I$89,5,0)</f>
        <v>1.4668545584023018</v>
      </c>
      <c r="CA6" s="13">
        <f t="shared" si="39"/>
        <v>0.64650467023192038</v>
      </c>
      <c r="CB6" s="20">
        <f t="shared" si="10"/>
        <v>3.6807673232046039</v>
      </c>
      <c r="CC6" s="59">
        <f t="shared" si="11"/>
        <v>177.03578789308949</v>
      </c>
      <c r="CD6" s="59">
        <f ca="1">AVERAGE(OFFSET($CC$3,0,0,'Données projet'!$E$12+1,1))-AVERAGE(OFFSET($H$3,0,0,'Données projet'!$E$12+1,1))</f>
        <v>335.73816489539837</v>
      </c>
      <c r="CE6" s="59">
        <f t="shared" si="40"/>
        <v>254.09787950201044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7.2723529411764707</v>
      </c>
      <c r="CT6" s="12">
        <f>IF('Données projet'!$A$140&gt;35,CT5+CS6-DB5,IF(A6&lt;'Données projet'!$A$140,$CQ$205^A6,IF(A6='Données projet'!$A$140,'Données projet'!$B$140,CT5+CS6-DB5)))</f>
        <v>2.3399055626403502</v>
      </c>
      <c r="CU6" s="17">
        <f>CT6*VLOOKUP('Données projet'!$B$13,Paramètres!$A$1:$I$89,3,0)*VLOOKUP('Données projet'!$B$13,Paramètres!$A$1:$I$89,5,0)</f>
        <v>1.3992635264589295</v>
      </c>
      <c r="CV6" s="13">
        <f t="shared" si="41"/>
        <v>0.62011020047287035</v>
      </c>
      <c r="CW6" s="20">
        <f t="shared" si="13"/>
        <v>3.5170759077395513</v>
      </c>
      <c r="CX6" s="59">
        <f t="shared" si="14"/>
        <v>176.87209647762444</v>
      </c>
      <c r="CY6" s="59">
        <f ca="1">AVERAGE(OFFSET($CX$3,0,0,'Données projet'!$E$13+1,1))-AVERAGE(OFFSET($H$3,0,0,'Données projet'!$E$13+1,1))</f>
        <v>318.50474972254085</v>
      </c>
      <c r="CZ6" s="59">
        <f t="shared" si="42"/>
        <v>326.45858332753562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3">
        <f>'Scénario référence'!$B$16*5+'Scénario référence'!$B$17*0+'Scénario référence'!$B$18*5</f>
        <v>5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67">
        <f t="shared" si="1"/>
        <v>183.33333333333334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3.5897435897435899</v>
      </c>
      <c r="N7" s="13">
        <f>IF('Données projet'!$A$36&gt;35,N6+M7-V6,IF(A7&lt;'Données projet'!$A$36,$K$205^A7,IF(A7='Données projet'!$A$36,'Données projet'!$B$36,N6+M7-V6)))</f>
        <v>10.074575280182424</v>
      </c>
      <c r="O7" s="13">
        <f>N7*VLOOKUP('Données projet'!$B$9,Paramètres!$A$1:$I$89,3,0)*VLOOKUP('Données projet'!$B$9,Paramètres!$A$1:$I$89,5,0)</f>
        <v>9.1154757135090563</v>
      </c>
      <c r="P7" s="13">
        <f t="shared" si="33"/>
        <v>3.247978069468509</v>
      </c>
      <c r="Q7" s="20">
        <f t="shared" si="2"/>
        <v>21.533015338685924</v>
      </c>
      <c r="R7" s="59">
        <f t="shared" si="0"/>
        <v>197.61913740286286</v>
      </c>
      <c r="S7" s="59">
        <f ca="1">AVERAGE(OFFSET($R$3,0,0,'Données projet'!$E$9+1,1))-AVERAGE(OFFSET($H$3,0,0,'Données projet'!$E$9+1,1))</f>
        <v>214.60547318405733</v>
      </c>
      <c r="T7" s="59">
        <f t="shared" si="34"/>
        <v>306.35874106546646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4.0942857142857143</v>
      </c>
      <c r="AI7" s="13">
        <f>IF('Données projet'!$A$62&gt;35,AI6+AH7-AQ6,IF(A7&lt;'Données projet'!$A$62,$AF$205^A7,IF(A7='Données projet'!$A$62,'Données projet'!$B$62,AI6+AH7-AQ6)))</f>
        <v>16.377142857142857</v>
      </c>
      <c r="AJ7" s="13">
        <f>AI7*VLOOKUP('Données projet'!$B$10,Paramètres!$A$1:$I$89,3,0)*VLOOKUP('Données projet'!$B$10,Paramètres!$A$1:$I$89,5,0)</f>
        <v>16.60642285714286</v>
      </c>
      <c r="AK7" s="13">
        <f t="shared" si="35"/>
        <v>5.5180803505289857</v>
      </c>
      <c r="AL7" s="20">
        <f t="shared" si="4"/>
        <v>38.533509753361791</v>
      </c>
      <c r="AM7" s="59">
        <f t="shared" si="5"/>
        <v>214.61963181753873</v>
      </c>
      <c r="AN7" s="59">
        <f ca="1">AVERAGE(OFFSET($AM$3,0,0,'Données projet'!$E$10+1,1))-AVERAGE(OFFSET($H$3,0,0,'Données projet'!$E$10+1,1))</f>
        <v>752.45542076695506</v>
      </c>
      <c r="AO7" s="59">
        <f t="shared" si="36"/>
        <v>329.70629768420724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4.0942857142857143</v>
      </c>
      <c r="BD7" s="12">
        <f>IF('Données projet'!$A$88&gt;35,BD6+BC7-BL6,IF(A7&lt;'Données projet'!$A$88,$BA$205^A7,IF(A7='Données projet'!$A$88,'Données projet'!$B$88,BD6+BC7-BL6)))</f>
        <v>16.377142857142857</v>
      </c>
      <c r="BE7" s="13">
        <f>BD7*VLOOKUP('Données projet'!$B$11,Paramètres!$A$1:$I$89,3,0)*VLOOKUP('Données projet'!$B$11,Paramètres!$A$1:$I$89,5,0)</f>
        <v>14.818038857142856</v>
      </c>
      <c r="BF7" s="13">
        <f t="shared" si="37"/>
        <v>4.9895657885731195</v>
      </c>
      <c r="BG7" s="20">
        <f t="shared" si="7"/>
        <v>34.49824475795532</v>
      </c>
      <c r="BH7" s="59">
        <f t="shared" si="8"/>
        <v>210.58436682213227</v>
      </c>
      <c r="BI7" s="59">
        <f ca="1">AVERAGE(OFFSET($BH$3,0,0,'Données projet'!$E$11+1,1))-AVERAGE(OFFSET($H$3,0,0,'Données projet'!$E$11+1,1))</f>
        <v>681.47578137804555</v>
      </c>
      <c r="BJ7" s="59">
        <f t="shared" si="38"/>
        <v>300.88511065995885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3.3333333333333335</v>
      </c>
      <c r="BY7" s="12">
        <f>IF('Données projet'!$A$114&gt;35,BY6+BX7-CG6,IF(A7&lt;'Données projet'!$A$114,$BV$205^A7,IF(A7='Données projet'!$A$114,'Données projet'!$B$114,BY6+BX7-CG6)))</f>
        <v>2.8383024221621684</v>
      </c>
      <c r="BZ7" s="13">
        <f>BY7*VLOOKUP('Données projet'!$B$12,Paramètres!$A$1:$I$89,3,0)*VLOOKUP('Données projet'!$B$12,Paramètres!$A$1:$I$89,5,0)</f>
        <v>1.9039332647863827</v>
      </c>
      <c r="CA7" s="13">
        <f t="shared" si="39"/>
        <v>0.81405233474053373</v>
      </c>
      <c r="CB7" s="20">
        <f t="shared" si="10"/>
        <v>4.7338249191760466</v>
      </c>
      <c r="CC7" s="59">
        <f t="shared" si="11"/>
        <v>180.81994698335299</v>
      </c>
      <c r="CD7" s="59">
        <f ca="1">AVERAGE(OFFSET($CC$3,0,0,'Données projet'!$E$12+1,1))-AVERAGE(OFFSET($H$3,0,0,'Données projet'!$E$12+1,1))</f>
        <v>335.73816489539837</v>
      </c>
      <c r="CE7" s="59">
        <f t="shared" si="40"/>
        <v>254.09787950201044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7.2723529411764707</v>
      </c>
      <c r="CT7" s="12">
        <f>IF('Données projet'!$A$140&gt;35,CT6+CS7-DB6,IF(A7&lt;'Données projet'!$A$140,$CQ$205^A7,IF(A7='Données projet'!$A$140,'Données projet'!$B$140,CT6+CS7-DB6)))</f>
        <v>3.1064505151662831</v>
      </c>
      <c r="CU7" s="17">
        <f>CT7*VLOOKUP('Données projet'!$B$13,Paramètres!$A$1:$I$89,3,0)*VLOOKUP('Données projet'!$B$13,Paramètres!$A$1:$I$89,5,0)</f>
        <v>1.8576574080694375</v>
      </c>
      <c r="CV7" s="13">
        <f t="shared" si="41"/>
        <v>0.7965445858815392</v>
      </c>
      <c r="CW7" s="20">
        <f t="shared" si="13"/>
        <v>4.6227351394646172</v>
      </c>
      <c r="CX7" s="59">
        <f t="shared" si="14"/>
        <v>180.70885720364157</v>
      </c>
      <c r="CY7" s="59">
        <f ca="1">AVERAGE(OFFSET($CX$3,0,0,'Données projet'!$E$13+1,1))-AVERAGE(OFFSET($H$3,0,0,'Données projet'!$E$13+1,1))</f>
        <v>318.50474972254085</v>
      </c>
      <c r="CZ7" s="59">
        <f t="shared" si="42"/>
        <v>326.45858332753562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3">
        <f>'Scénario référence'!$B$16*5+'Scénario référence'!$B$17*0+'Scénario référence'!$B$18*5</f>
        <v>5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67">
        <f t="shared" si="1"/>
        <v>183.33333333333334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>
        <f>VLOOKUP(A8,'Données projet'!$A$35:$I$55,2,0)</f>
        <v>17.948717948717949</v>
      </c>
      <c r="L8" s="12">
        <f>VLOOKUP(A8,'Données projet'!$A$35:$I$55,9,0)</f>
        <v>3.5897435897435899</v>
      </c>
      <c r="M8" s="12">
        <f t="array" ref="M8">INDEX(L:L,MIN(IF(ISNUMBER(L8:L204),ROW(L8:L204),"")))</f>
        <v>3.5897435897435899</v>
      </c>
      <c r="N8" s="13">
        <f>IF('Données projet'!$A$36&gt;35,N7+M8-V7,IF(A8&lt;'Données projet'!$A$36,$K$205^A8,IF(A8='Données projet'!$A$36,'Données projet'!$B$36,N7+M8-V7)))</f>
        <v>17.948717948717949</v>
      </c>
      <c r="O8" s="13">
        <f>N8*VLOOKUP('Données projet'!$B$9,Paramètres!$A$1:$I$89,3,0)*VLOOKUP('Données projet'!$B$9,Paramètres!$A$1:$I$89,5,0)</f>
        <v>16.239999999999998</v>
      </c>
      <c r="P8" s="13">
        <f t="shared" si="33"/>
        <v>5.4103564231472481</v>
      </c>
      <c r="Q8" s="20">
        <f t="shared" si="2"/>
        <v>37.707704103648119</v>
      </c>
      <c r="R8" s="59">
        <f t="shared" si="0"/>
        <v>216.49875198009548</v>
      </c>
      <c r="S8" s="59">
        <f ca="1">AVERAGE(OFFSET($R$3,0,0,'Données projet'!$E$9+1,1))-AVERAGE(OFFSET($H$3,0,0,'Données projet'!$E$9+1,1))</f>
        <v>214.60547318405733</v>
      </c>
      <c r="T8" s="59">
        <f t="shared" si="34"/>
        <v>306.35874106546646</v>
      </c>
      <c r="U8" s="15">
        <f>IF(ISNA(VLOOKUP(A8,'Données projet'!$A$35:$I$55,3,0)),0,VLOOKUP(A8,'Données projet'!$A$35:$I$55,3,0))</f>
        <v>1</v>
      </c>
      <c r="V8" s="15">
        <f>IF(ISNA(VLOOKUP(A8,'Données projet'!$A$35:$I$55,4,0)),0,VLOOKUP(A8,'Données projet'!$A$35:$I$55,4,0))</f>
        <v>2.5641025641025639</v>
      </c>
      <c r="W8" s="16">
        <f>IF(ISNA(VLOOKUP(A8,'Données projet'!$A$35:$I$55,5,0)),0%,VLOOKUP(A8,'Données projet'!$A$35:$I$55,5,0)*VLOOKUP('Données projet'!$B$9,Paramètres!$A$1:$I$89,7,0))</f>
        <v>0.03</v>
      </c>
      <c r="X8" s="16">
        <f>IF(ISNA(VLOOKUP(A8,'Données projet'!$A$35:$I$55,6,0)),0%,VLOOKUP(A8,'Données projet'!$A$35:$I$55,6,0)*VLOOKUP('Données projet'!$B$9,Paramètres!$A$1:$I$89,7,0))</f>
        <v>0.12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7.6940738415493301E-2</v>
      </c>
      <c r="AA8" s="21">
        <f>EXP(-LN(2)/25)*AA7+(1-EXP(-LN(2)/25))/(LN(2)/25)*Calculateur!V8*Calculateur!X8*VLOOKUP('Données projet'!$B$9,Paramètres!$A$1:$I$89,3,0)*0.475*44/12</f>
        <v>0.30655117364652723</v>
      </c>
      <c r="AB8" s="21">
        <f>EXP(-LN(2)/2)*AB7+(1-EXP(-LN(2)/2))/(LN(2)/2)*V8*Y8*VLOOKUP('Données projet'!$B$9,Paramètres!$A$1:$I$89,3,0)*0.475*44/12</f>
        <v>0</v>
      </c>
      <c r="AC8" s="22">
        <f t="shared" si="3"/>
        <v>0.38349191206202055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4.0942857142857143</v>
      </c>
      <c r="AI8" s="13">
        <f>IF('Données projet'!$A$62&gt;35,AI7+AH8-AQ7,IF(A8&lt;'Données projet'!$A$62,$AF$205^A8,IF(A8='Données projet'!$A$62,'Données projet'!$B$62,AI7+AH8-AQ7)))</f>
        <v>20.471428571428572</v>
      </c>
      <c r="AJ8" s="13">
        <f>AI8*VLOOKUP('Données projet'!$B$10,Paramètres!$A$1:$I$89,3,0)*VLOOKUP('Données projet'!$B$10,Paramètres!$A$1:$I$89,5,0)</f>
        <v>20.758028571428575</v>
      </c>
      <c r="AK8" s="13">
        <f t="shared" si="35"/>
        <v>6.7207494872819238</v>
      </c>
      <c r="AL8" s="20">
        <f t="shared" si="4"/>
        <v>47.858871785587461</v>
      </c>
      <c r="AM8" s="59">
        <f t="shared" si="5"/>
        <v>226.64991966203482</v>
      </c>
      <c r="AN8" s="59">
        <f ca="1">AVERAGE(OFFSET($AM$3,0,0,'Données projet'!$E$10+1,1))-AVERAGE(OFFSET($H$3,0,0,'Données projet'!$E$10+1,1))</f>
        <v>752.45542076695506</v>
      </c>
      <c r="AO8" s="59">
        <f t="shared" si="36"/>
        <v>329.70629768420724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4.0942857142857143</v>
      </c>
      <c r="BD8" s="12">
        <f>IF('Données projet'!$A$88&gt;35,BD7+BC8-BL7,IF(A8&lt;'Données projet'!$A$88,$BA$205^A8,IF(A8='Données projet'!$A$88,'Données projet'!$B$88,BD7+BC8-BL7)))</f>
        <v>20.471428571428572</v>
      </c>
      <c r="BE8" s="13">
        <f>BD8*VLOOKUP('Données projet'!$B$11,Paramètres!$A$1:$I$89,3,0)*VLOOKUP('Données projet'!$B$11,Paramètres!$A$1:$I$89,5,0)</f>
        <v>18.522548571428572</v>
      </c>
      <c r="BF8" s="13">
        <f t="shared" si="37"/>
        <v>6.0770448389896208</v>
      </c>
      <c r="BG8" s="20">
        <f t="shared" si="7"/>
        <v>42.84429185647835</v>
      </c>
      <c r="BH8" s="59">
        <f t="shared" si="8"/>
        <v>221.6353397329257</v>
      </c>
      <c r="BI8" s="59">
        <f ca="1">AVERAGE(OFFSET($BH$3,0,0,'Données projet'!$E$11+1,1))-AVERAGE(OFFSET($H$3,0,0,'Données projet'!$E$11+1,1))</f>
        <v>681.47578137804555</v>
      </c>
      <c r="BJ8" s="59">
        <f t="shared" si="38"/>
        <v>300.88511065995885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3.3333333333333335</v>
      </c>
      <c r="BY8" s="12">
        <f>IF('Données projet'!$A$114&gt;35,BY7+BX8-CG7,IF(A8&lt;'Données projet'!$A$114,$BV$205^A8,IF(A8='Données projet'!$A$114,'Données projet'!$B$114,BY7+BX8-CG7)))</f>
        <v>3.6840314986403868</v>
      </c>
      <c r="BZ8" s="13">
        <f>BY8*VLOOKUP('Données projet'!$B$12,Paramètres!$A$1:$I$89,3,0)*VLOOKUP('Données projet'!$B$12,Paramètres!$A$1:$I$89,5,0)</f>
        <v>2.4712483292879717</v>
      </c>
      <c r="CA8" s="13">
        <f t="shared" si="39"/>
        <v>1.0250215260762008</v>
      </c>
      <c r="CB8" s="20">
        <f t="shared" si="10"/>
        <v>6.0893366647592657</v>
      </c>
      <c r="CC8" s="59">
        <f t="shared" si="11"/>
        <v>184.88038454120661</v>
      </c>
      <c r="CD8" s="59">
        <f ca="1">AVERAGE(OFFSET($CC$3,0,0,'Données projet'!$E$12+1,1))-AVERAGE(OFFSET($H$3,0,0,'Données projet'!$E$12+1,1))</f>
        <v>335.73816489539837</v>
      </c>
      <c r="CE8" s="59">
        <f t="shared" si="40"/>
        <v>254.09787950201044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7.2723529411764707</v>
      </c>
      <c r="CT8" s="12">
        <f>IF('Données projet'!$A$140&gt;35,CT7+CS8-DB7,IF(A8&lt;'Données projet'!$A$140,$CQ$205^A8,IF(A8='Données projet'!$A$140,'Données projet'!$B$140,CT7+CS8-DB7)))</f>
        <v>4.1241129373989613</v>
      </c>
      <c r="CU8" s="17">
        <f>CT8*VLOOKUP('Données projet'!$B$13,Paramètres!$A$1:$I$89,3,0)*VLOOKUP('Données projet'!$B$13,Paramètres!$A$1:$I$89,5,0)</f>
        <v>2.4662195365645792</v>
      </c>
      <c r="CV8" s="13">
        <f t="shared" si="41"/>
        <v>1.0231782622078491</v>
      </c>
      <c r="CW8" s="20">
        <f t="shared" si="13"/>
        <v>6.0773678328619782</v>
      </c>
      <c r="CX8" s="59">
        <f t="shared" si="14"/>
        <v>184.86841570930932</v>
      </c>
      <c r="CY8" s="59">
        <f ca="1">AVERAGE(OFFSET($CX$3,0,0,'Données projet'!$E$13+1,1))-AVERAGE(OFFSET($H$3,0,0,'Données projet'!$E$13+1,1))</f>
        <v>318.50474972254085</v>
      </c>
      <c r="CZ8" s="59">
        <f t="shared" si="42"/>
        <v>326.45858332753562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3">
        <f>'Scénario référence'!$B$16*5+'Scénario référence'!$B$17*0+'Scénario référence'!$B$18*5</f>
        <v>5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67">
        <f t="shared" si="1"/>
        <v>183.33333333333334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7.0512820512820511</v>
      </c>
      <c r="N9" s="13">
        <f>IF('Données projet'!$A$36&gt;35,N8+M9-V8,IF(A9&lt;'Données projet'!$A$36,$K$205^A9,IF(A9='Données projet'!$A$36,'Données projet'!$B$36,N8+M9-V8)))</f>
        <v>22.435897435897438</v>
      </c>
      <c r="O9" s="13">
        <f>N9*VLOOKUP('Données projet'!$B$9,Paramètres!$A$1:$I$89,3,0)*VLOOKUP('Données projet'!$B$9,Paramètres!$A$1:$I$89,5,0)</f>
        <v>20.3</v>
      </c>
      <c r="P9" s="13">
        <f t="shared" si="33"/>
        <v>6.5895470611248994</v>
      </c>
      <c r="Q9" s="20">
        <f t="shared" si="2"/>
        <v>46.832627798125863</v>
      </c>
      <c r="R9" s="59">
        <f t="shared" si="0"/>
        <v>228.30287989438483</v>
      </c>
      <c r="S9" s="59">
        <f ca="1">AVERAGE(OFFSET($R$3,0,0,'Données projet'!$E$9+1,1))-AVERAGE(OFFSET($H$3,0,0,'Données projet'!$E$9+1,1))</f>
        <v>214.60547318405733</v>
      </c>
      <c r="T9" s="59">
        <f t="shared" si="34"/>
        <v>306.35874106546646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7.543197746438203E-2</v>
      </c>
      <c r="AA9" s="21">
        <f>EXP(-LN(2)/25)*AA8+(1-EXP(-LN(2)/25))/(LN(2)/25)*Calculateur!V9*Calculateur!X9*VLOOKUP('Données projet'!$B$9,Paramètres!$A$1:$I$89,3,0)*0.475*44/12</f>
        <v>0.29816851568233738</v>
      </c>
      <c r="AB9" s="21">
        <f>EXP(-LN(2)/2)*AB8+(1-EXP(-LN(2)/2))/(LN(2)/2)*V9*Y9*VLOOKUP('Données projet'!$B$9,Paramètres!$A$1:$I$89,3,0)*0.475*44/12</f>
        <v>0</v>
      </c>
      <c r="AC9" s="22">
        <f t="shared" si="3"/>
        <v>0.37360049314671939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4.0942857142857143</v>
      </c>
      <c r="AI9" s="13">
        <f>IF('Données projet'!$A$62&gt;35,AI8+AH9-AQ8,IF(A9&lt;'Données projet'!$A$62,$AF$205^A9,IF(A9='Données projet'!$A$62,'Données projet'!$B$62,AI8+AH9-AQ8)))</f>
        <v>24.565714285714286</v>
      </c>
      <c r="AJ9" s="13">
        <f>AI9*VLOOKUP('Données projet'!$B$10,Paramètres!$A$1:$I$89,3,0)*VLOOKUP('Données projet'!$B$10,Paramètres!$A$1:$I$89,5,0)</f>
        <v>24.90963428571429</v>
      </c>
      <c r="AK9" s="13">
        <f t="shared" si="35"/>
        <v>7.8955476085878011</v>
      </c>
      <c r="AL9" s="20">
        <f t="shared" si="4"/>
        <v>57.135691799242814</v>
      </c>
      <c r="AM9" s="59">
        <f t="shared" si="5"/>
        <v>238.60594389550178</v>
      </c>
      <c r="AN9" s="59">
        <f ca="1">AVERAGE(OFFSET($AM$3,0,0,'Données projet'!$E$10+1,1))-AVERAGE(OFFSET($H$3,0,0,'Données projet'!$E$10+1,1))</f>
        <v>752.45542076695506</v>
      </c>
      <c r="AO9" s="59">
        <f t="shared" si="36"/>
        <v>329.70629768420724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4.0942857142857143</v>
      </c>
      <c r="BD9" s="12">
        <f>IF('Données projet'!$A$88&gt;35,BD8+BC9-BL8,IF(A9&lt;'Données projet'!$A$88,$BA$205^A9,IF(A9='Données projet'!$A$88,'Données projet'!$B$88,BD8+BC9-BL8)))</f>
        <v>24.565714285714286</v>
      </c>
      <c r="BE9" s="13">
        <f>BD9*VLOOKUP('Données projet'!$B$11,Paramètres!$A$1:$I$89,3,0)*VLOOKUP('Données projet'!$B$11,Paramètres!$A$1:$I$89,5,0)</f>
        <v>22.227058285714286</v>
      </c>
      <c r="BF9" s="13">
        <f t="shared" si="37"/>
        <v>7.1393223235836674</v>
      </c>
      <c r="BG9" s="20">
        <f t="shared" si="7"/>
        <v>51.146446227860601</v>
      </c>
      <c r="BH9" s="59">
        <f t="shared" si="8"/>
        <v>232.61669832411957</v>
      </c>
      <c r="BI9" s="59">
        <f ca="1">AVERAGE(OFFSET($BH$3,0,0,'Données projet'!$E$11+1,1))-AVERAGE(OFFSET($H$3,0,0,'Données projet'!$E$11+1,1))</f>
        <v>681.47578137804555</v>
      </c>
      <c r="BJ9" s="59">
        <f t="shared" si="38"/>
        <v>300.88511065995885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3.3333333333333335</v>
      </c>
      <c r="BY9" s="12">
        <f>IF('Données projet'!$A$114&gt;35,BY8+BX9-CG8,IF(A9&lt;'Données projet'!$A$114,$BV$205^A9,IF(A9='Données projet'!$A$114,'Données projet'!$B$114,BY8+BX9-CG8)))</f>
        <v>4.7817624989501848</v>
      </c>
      <c r="BZ9" s="13">
        <f>BY9*VLOOKUP('Données projet'!$B$12,Paramètres!$A$1:$I$89,3,0)*VLOOKUP('Données projet'!$B$12,Paramètres!$A$1:$I$89,5,0)</f>
        <v>3.2076062842957844</v>
      </c>
      <c r="CA9" s="13">
        <f t="shared" si="39"/>
        <v>1.2906653345014574</v>
      </c>
      <c r="CB9" s="20">
        <f t="shared" si="10"/>
        <v>7.8344897360718626</v>
      </c>
      <c r="CC9" s="59">
        <f t="shared" si="11"/>
        <v>189.30474183233085</v>
      </c>
      <c r="CD9" s="59">
        <f ca="1">AVERAGE(OFFSET($CC$3,0,0,'Données projet'!$E$12+1,1))-AVERAGE(OFFSET($H$3,0,0,'Données projet'!$E$12+1,1))</f>
        <v>335.73816489539837</v>
      </c>
      <c r="CE9" s="59">
        <f t="shared" si="40"/>
        <v>254.09787950201044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7.2723529411764707</v>
      </c>
      <c r="CT9" s="12">
        <f>IF('Données projet'!$A$140&gt;35,CT8+CS9-DB8,IF(A9&lt;'Données projet'!$A$140,$CQ$205^A9,IF(A9='Données projet'!$A$140,'Données projet'!$B$140,CT8+CS9-DB8)))</f>
        <v>5.4751580420752548</v>
      </c>
      <c r="CU9" s="17">
        <f>CT9*VLOOKUP('Données projet'!$B$13,Paramètres!$A$1:$I$89,3,0)*VLOOKUP('Données projet'!$B$13,Paramètres!$A$1:$I$89,5,0)</f>
        <v>3.2741445091610024</v>
      </c>
      <c r="CV9" s="13">
        <f t="shared" si="41"/>
        <v>1.3142939827983047</v>
      </c>
      <c r="CW9" s="20">
        <f t="shared" si="13"/>
        <v>7.9915303734957925</v>
      </c>
      <c r="CX9" s="59">
        <f t="shared" si="14"/>
        <v>189.46178246975478</v>
      </c>
      <c r="CY9" s="59">
        <f ca="1">AVERAGE(OFFSET($CX$3,0,0,'Données projet'!$E$13+1,1))-AVERAGE(OFFSET($H$3,0,0,'Données projet'!$E$13+1,1))</f>
        <v>318.50474972254085</v>
      </c>
      <c r="CZ9" s="59">
        <f t="shared" si="42"/>
        <v>326.45858332753562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3">
        <f>'Scénario référence'!$B$16*5+'Scénario référence'!$B$17*0+'Scénario référence'!$B$18*5</f>
        <v>5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67">
        <f t="shared" si="1"/>
        <v>183.33333333333334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7.0512820512820511</v>
      </c>
      <c r="N10" s="13">
        <f>IF('Données projet'!$A$36&gt;35,N9+M10-V9,IF(A10&lt;'Données projet'!$A$36,$K$205^A10,IF(A10='Données projet'!$A$36,'Données projet'!$B$36,N9+M10-V9)))</f>
        <v>29.487179487179489</v>
      </c>
      <c r="O10" s="13">
        <f>N10*VLOOKUP('Données projet'!$B$9,Paramètres!$A$1:$I$89,3,0)*VLOOKUP('Données projet'!$B$9,Paramètres!$A$1:$I$89,5,0)</f>
        <v>26.68</v>
      </c>
      <c r="P10" s="13">
        <f t="shared" si="33"/>
        <v>8.3893798780684392</v>
      </c>
      <c r="Q10" s="20">
        <f t="shared" si="2"/>
        <v>61.079169954302529</v>
      </c>
      <c r="R10" s="59">
        <f t="shared" si="0"/>
        <v>245.20335089003876</v>
      </c>
      <c r="S10" s="59">
        <f ca="1">AVERAGE(OFFSET($R$3,0,0,'Données projet'!$E$9+1,1))-AVERAGE(OFFSET($H$3,0,0,'Données projet'!$E$9+1,1))</f>
        <v>214.60547318405733</v>
      </c>
      <c r="T10" s="59">
        <f t="shared" si="34"/>
        <v>306.35874106546646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7.3952802395268746E-2</v>
      </c>
      <c r="AA10" s="21">
        <f>EXP(-LN(2)/25)*AA9+(1-EXP(-LN(2)/25))/(LN(2)/25)*Calculateur!V10*Calculateur!X10*VLOOKUP('Données projet'!$B$9,Paramètres!$A$1:$I$89,3,0)*0.475*44/12</f>
        <v>0.29001508194100312</v>
      </c>
      <c r="AB10" s="21">
        <f>EXP(-LN(2)/2)*AB9+(1-EXP(-LN(2)/2))/(LN(2)/2)*V10*Y10*VLOOKUP('Données projet'!$B$9,Paramètres!$A$1:$I$89,3,0)*0.475*44/12</f>
        <v>0</v>
      </c>
      <c r="AC10" s="22">
        <f t="shared" si="3"/>
        <v>0.36396788433627186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4.0942857142857143</v>
      </c>
      <c r="AI10" s="13">
        <f>IF('Données projet'!$A$62&gt;35,AI9+AH10-AQ9,IF(A10&lt;'Données projet'!$A$62,$AF$205^A10,IF(A10='Données projet'!$A$62,'Données projet'!$B$62,AI9+AH10-AQ9)))</f>
        <v>28.66</v>
      </c>
      <c r="AJ10" s="13">
        <f>AI10*VLOOKUP('Données projet'!$B$10,Paramètres!$A$1:$I$89,3,0)*VLOOKUP('Données projet'!$B$10,Paramètres!$A$1:$I$89,5,0)</f>
        <v>29.061240000000002</v>
      </c>
      <c r="AK10" s="13">
        <f t="shared" si="35"/>
        <v>9.0476634987070454</v>
      </c>
      <c r="AL10" s="20">
        <f t="shared" si="4"/>
        <v>66.373006926914783</v>
      </c>
      <c r="AM10" s="59">
        <f t="shared" si="5"/>
        <v>250.497187862651</v>
      </c>
      <c r="AN10" s="59">
        <f ca="1">AVERAGE(OFFSET($AM$3,0,0,'Données projet'!$E$10+1,1))-AVERAGE(OFFSET($H$3,0,0,'Données projet'!$E$10+1,1))</f>
        <v>752.45542076695506</v>
      </c>
      <c r="AO10" s="59">
        <f t="shared" si="36"/>
        <v>329.70629768420724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4.0942857142857143</v>
      </c>
      <c r="BD10" s="12">
        <f>IF('Données projet'!$A$88&gt;35,BD9+BC10-BL9,IF(A10&lt;'Données projet'!$A$88,$BA$205^A10,IF(A10='Données projet'!$A$88,'Données projet'!$B$88,BD9+BC10-BL9)))</f>
        <v>28.66</v>
      </c>
      <c r="BE10" s="13">
        <f>BD10*VLOOKUP('Données projet'!$B$11,Paramètres!$A$1:$I$89,3,0)*VLOOKUP('Données projet'!$B$11,Paramètres!$A$1:$I$89,5,0)</f>
        <v>25.931567999999999</v>
      </c>
      <c r="BF10" s="13">
        <f t="shared" si="37"/>
        <v>8.1810900516051337</v>
      </c>
      <c r="BG10" s="20">
        <f t="shared" si="7"/>
        <v>59.412879439878935</v>
      </c>
      <c r="BH10" s="59">
        <f t="shared" si="8"/>
        <v>243.53706037561517</v>
      </c>
      <c r="BI10" s="59">
        <f ca="1">AVERAGE(OFFSET($BH$3,0,0,'Données projet'!$E$11+1,1))-AVERAGE(OFFSET($H$3,0,0,'Données projet'!$E$11+1,1))</f>
        <v>681.47578137804555</v>
      </c>
      <c r="BJ10" s="59">
        <f t="shared" si="38"/>
        <v>300.88511065995885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3.3333333333333335</v>
      </c>
      <c r="BY10" s="12">
        <f>IF('Données projet'!$A$114&gt;35,BY9+BX10-CG9,IF(A10&lt;'Données projet'!$A$114,$BV$205^A10,IF(A10='Données projet'!$A$114,'Données projet'!$B$114,BY9+BX10-CG9)))</f>
        <v>6.2065844455469161</v>
      </c>
      <c r="BZ10" s="13">
        <f>BY10*VLOOKUP('Données projet'!$B$12,Paramètres!$A$1:$I$89,3,0)*VLOOKUP('Données projet'!$B$12,Paramètres!$A$1:$I$89,5,0)</f>
        <v>4.1633768460728717</v>
      </c>
      <c r="CA10" s="13">
        <f t="shared" si="39"/>
        <v>1.6251531926949223</v>
      </c>
      <c r="CB10" s="20">
        <f t="shared" si="10"/>
        <v>10.081689817520575</v>
      </c>
      <c r="CC10" s="59">
        <f t="shared" si="11"/>
        <v>194.20587075325682</v>
      </c>
      <c r="CD10" s="59">
        <f ca="1">AVERAGE(OFFSET($CC$3,0,0,'Données projet'!$E$12+1,1))-AVERAGE(OFFSET($H$3,0,0,'Données projet'!$E$12+1,1))</f>
        <v>335.73816489539837</v>
      </c>
      <c r="CE10" s="59">
        <f t="shared" si="40"/>
        <v>254.09787950201044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7.2723529411764707</v>
      </c>
      <c r="CT10" s="12">
        <f>IF('Données projet'!$A$140&gt;35,CT9+CS10-DB9,IF(A10&lt;'Données projet'!$A$140,$CQ$205^A10,IF(A10='Données projet'!$A$140,'Données projet'!$B$140,CT9+CS10-DB9)))</f>
        <v>7.2688008405045679</v>
      </c>
      <c r="CU10" s="17">
        <f>CT10*VLOOKUP('Données projet'!$B$13,Paramètres!$A$1:$I$89,3,0)*VLOOKUP('Données projet'!$B$13,Paramètres!$A$1:$I$89,5,0)</f>
        <v>4.3467429026217319</v>
      </c>
      <c r="CV10" s="13">
        <f t="shared" si="41"/>
        <v>1.6882382445190491</v>
      </c>
      <c r="CW10" s="20">
        <f t="shared" si="13"/>
        <v>10.510925497936862</v>
      </c>
      <c r="CX10" s="59">
        <f t="shared" si="14"/>
        <v>194.63510643367309</v>
      </c>
      <c r="CY10" s="59">
        <f ca="1">AVERAGE(OFFSET($CX$3,0,0,'Données projet'!$E$13+1,1))-AVERAGE(OFFSET($H$3,0,0,'Données projet'!$E$13+1,1))</f>
        <v>318.50474972254085</v>
      </c>
      <c r="CZ10" s="59">
        <f t="shared" si="42"/>
        <v>326.45858332753562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3">
        <f>'Scénario référence'!$B$16*5+'Scénario référence'!$B$17*0+'Scénario référence'!$B$18*5</f>
        <v>5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67">
        <f t="shared" si="1"/>
        <v>183.33333333333334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7.0512820512820511</v>
      </c>
      <c r="N11" s="13">
        <f>IF('Données projet'!$A$36&gt;35,N10+M11-V10,IF(A11&lt;'Données projet'!$A$36,$K$205^A11,IF(A11='Données projet'!$A$36,'Données projet'!$B$36,N10+M11-V10)))</f>
        <v>36.53846153846154</v>
      </c>
      <c r="O11" s="13">
        <f>N11*VLOOKUP('Données projet'!$B$9,Paramètres!$A$1:$I$89,3,0)*VLOOKUP('Données projet'!$B$9,Paramètres!$A$1:$I$89,5,0)</f>
        <v>33.06</v>
      </c>
      <c r="P11" s="13">
        <f t="shared" si="33"/>
        <v>10.139302086554652</v>
      </c>
      <c r="Q11" s="20">
        <f t="shared" si="2"/>
        <v>75.238784467416025</v>
      </c>
      <c r="R11" s="59">
        <f t="shared" si="0"/>
        <v>261.99205733363658</v>
      </c>
      <c r="S11" s="59">
        <f ca="1">AVERAGE(OFFSET($R$3,0,0,'Données projet'!$E$9+1,1))-AVERAGE(OFFSET($H$3,0,0,'Données projet'!$E$9+1,1))</f>
        <v>214.60547318405733</v>
      </c>
      <c r="T11" s="59">
        <f t="shared" si="34"/>
        <v>306.35874106546646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7.2502633047053067E-2</v>
      </c>
      <c r="AA11" s="21">
        <f>EXP(-LN(2)/25)*AA10+(1-EXP(-LN(2)/25))/(LN(2)/25)*Calculateur!V11*Calculateur!X11*VLOOKUP('Données projet'!$B$9,Paramètres!$A$1:$I$89,3,0)*0.475*44/12</f>
        <v>0.28208460427409604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0.35458723732114911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4.0942857142857143</v>
      </c>
      <c r="AI11" s="13">
        <f>IF('Données projet'!$A$62&gt;35,AI10+AH11-AQ10,IF(A11&lt;'Données projet'!$A$62,$AF$205^A11,IF(A11='Données projet'!$A$62,'Données projet'!$B$62,AI10+AH11-AQ10)))</f>
        <v>32.754285714285714</v>
      </c>
      <c r="AJ11" s="13">
        <f>AI11*VLOOKUP('Données projet'!$B$10,Paramètres!$A$1:$I$89,3,0)*VLOOKUP('Données projet'!$B$10,Paramètres!$A$1:$I$89,5,0)</f>
        <v>33.21284571428572</v>
      </c>
      <c r="AK11" s="13">
        <f t="shared" si="35"/>
        <v>10.180711350730137</v>
      </c>
      <c r="AL11" s="20">
        <f t="shared" si="4"/>
        <v>75.577111888235933</v>
      </c>
      <c r="AM11" s="59">
        <f t="shared" si="5"/>
        <v>262.33038475445647</v>
      </c>
      <c r="AN11" s="59">
        <f ca="1">AVERAGE(OFFSET($AM$3,0,0,'Données projet'!$E$10+1,1))-AVERAGE(OFFSET($H$3,0,0,'Données projet'!$E$10+1,1))</f>
        <v>752.45542076695506</v>
      </c>
      <c r="AO11" s="59">
        <f t="shared" si="36"/>
        <v>329.70629768420724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4.0942857142857143</v>
      </c>
      <c r="BD11" s="12">
        <f>IF('Données projet'!$A$88&gt;35,BD10+BC11-BL10,IF(A11&lt;'Données projet'!$A$88,$BA$205^A11,IF(A11='Données projet'!$A$88,'Données projet'!$B$88,BD10+BC11-BL10)))</f>
        <v>32.754285714285714</v>
      </c>
      <c r="BE11" s="13">
        <f>BD11*VLOOKUP('Données projet'!$B$11,Paramètres!$A$1:$I$89,3,0)*VLOOKUP('Données projet'!$B$11,Paramètres!$A$1:$I$89,5,0)</f>
        <v>29.636077714285712</v>
      </c>
      <c r="BF11" s="13">
        <f t="shared" si="37"/>
        <v>9.205616053429063</v>
      </c>
      <c r="BG11" s="20">
        <f t="shared" si="7"/>
        <v>67.649283312103222</v>
      </c>
      <c r="BH11" s="59">
        <f t="shared" si="8"/>
        <v>254.40255617832378</v>
      </c>
      <c r="BI11" s="59">
        <f ca="1">AVERAGE(OFFSET($BH$3,0,0,'Données projet'!$E$11+1,1))-AVERAGE(OFFSET($H$3,0,0,'Données projet'!$E$11+1,1))</f>
        <v>681.47578137804555</v>
      </c>
      <c r="BJ11" s="59">
        <f t="shared" si="38"/>
        <v>300.88511065995885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3.3333333333333335</v>
      </c>
      <c r="BY11" s="12">
        <f>IF('Données projet'!$A$114&gt;35,BY10+BX11-CG10,IF(A11&lt;'Données projet'!$A$114,$BV$205^A11,IF(A11='Données projet'!$A$114,'Données projet'!$B$114,BY10+BX11-CG10)))</f>
        <v>8.0559606396516319</v>
      </c>
      <c r="BZ11" s="13">
        <f>BY11*VLOOKUP('Données projet'!$B$12,Paramètres!$A$1:$I$89,3,0)*VLOOKUP('Données projet'!$B$12,Paramètres!$A$1:$I$89,5,0)</f>
        <v>5.4039383970783144</v>
      </c>
      <c r="CA11" s="13">
        <f t="shared" si="39"/>
        <v>2.0463266728603036</v>
      </c>
      <c r="CB11" s="20">
        <f t="shared" si="10"/>
        <v>12.975878330143091</v>
      </c>
      <c r="CC11" s="59">
        <f t="shared" si="11"/>
        <v>199.72915119636366</v>
      </c>
      <c r="CD11" s="59">
        <f ca="1">AVERAGE(OFFSET($CC$3,0,0,'Données projet'!$E$12+1,1))-AVERAGE(OFFSET($H$3,0,0,'Données projet'!$E$12+1,1))</f>
        <v>335.73816489539837</v>
      </c>
      <c r="CE11" s="59">
        <f t="shared" si="40"/>
        <v>254.09787950201044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7.2723529411764707</v>
      </c>
      <c r="CT11" s="12">
        <f>IF('Données projet'!$A$140&gt;35,CT10+CS11-DB10,IF(A11&lt;'Données projet'!$A$140,$CQ$205^A11,IF(A11='Données projet'!$A$140,'Données projet'!$B$140,CT10+CS11-DB10)))</f>
        <v>9.6500348031768652</v>
      </c>
      <c r="CU11" s="17">
        <f>CT11*VLOOKUP('Données projet'!$B$13,Paramètres!$A$1:$I$89,3,0)*VLOOKUP('Données projet'!$B$13,Paramètres!$A$1:$I$89,5,0)</f>
        <v>5.770720812299766</v>
      </c>
      <c r="CV11" s="13">
        <f t="shared" si="41"/>
        <v>2.168577508198295</v>
      </c>
      <c r="CW11" s="20">
        <f t="shared" si="13"/>
        <v>13.827611241534122</v>
      </c>
      <c r="CX11" s="59">
        <f t="shared" si="14"/>
        <v>200.58088410775468</v>
      </c>
      <c r="CY11" s="59">
        <f ca="1">AVERAGE(OFFSET($CX$3,0,0,'Données projet'!$E$13+1,1))-AVERAGE(OFFSET($H$3,0,0,'Données projet'!$E$13+1,1))</f>
        <v>318.50474972254085</v>
      </c>
      <c r="CZ11" s="59">
        <f t="shared" si="42"/>
        <v>326.45858332753562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3">
        <f>'Scénario référence'!$B$16*5+'Scénario référence'!$B$17*0+'Scénario référence'!$B$18*5</f>
        <v>5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67">
        <f t="shared" si="1"/>
        <v>183.33333333333334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7.0512820512820511</v>
      </c>
      <c r="N12" s="13">
        <f>IF('Données projet'!$A$36&gt;35,N11+M12-V11,IF(A12&lt;'Données projet'!$A$36,$K$205^A12,IF(A12='Données projet'!$A$36,'Données projet'!$B$36,N11+M12-V11)))</f>
        <v>43.589743589743591</v>
      </c>
      <c r="O12" s="13">
        <f>N12*VLOOKUP('Données projet'!$B$9,Paramètres!$A$1:$I$89,3,0)*VLOOKUP('Données projet'!$B$9,Paramètres!$A$1:$I$89,5,0)</f>
        <v>39.44</v>
      </c>
      <c r="P12" s="13">
        <f t="shared" si="33"/>
        <v>11.850097271031869</v>
      </c>
      <c r="Q12" s="20">
        <f t="shared" si="2"/>
        <v>89.330252747047155</v>
      </c>
      <c r="R12" s="59">
        <f t="shared" si="0"/>
        <v>278.6882114996032</v>
      </c>
      <c r="S12" s="59">
        <f ca="1">AVERAGE(OFFSET($R$3,0,0,'Données projet'!$E$9+1,1))-AVERAGE(OFFSET($H$3,0,0,'Données projet'!$E$9+1,1))</f>
        <v>214.60547318405733</v>
      </c>
      <c r="T12" s="59">
        <f t="shared" si="34"/>
        <v>306.35874106546646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7.1080900635239933E-2</v>
      </c>
      <c r="AA12" s="21">
        <f>EXP(-LN(2)/25)*AA11+(1-EXP(-LN(2)/25))/(LN(2)/25)*Calculateur!V12*Calculateur!X12*VLOOKUP('Données projet'!$B$9,Paramètres!$A$1:$I$89,3,0)*0.475*44/12</f>
        <v>0.27437098593603626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0.34545188657127618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4.0942857142857143</v>
      </c>
      <c r="AI12" s="13">
        <f>IF('Données projet'!$A$62&gt;35,AI11+AH12-AQ11,IF(A12&lt;'Données projet'!$A$62,$AF$205^A12,IF(A12='Données projet'!$A$62,'Données projet'!$B$62,AI11+AH12-AQ11)))</f>
        <v>36.848571428571432</v>
      </c>
      <c r="AJ12" s="13">
        <f>AI12*VLOOKUP('Données projet'!$B$10,Paramètres!$A$1:$I$89,3,0)*VLOOKUP('Données projet'!$B$10,Paramètres!$A$1:$I$89,5,0)</f>
        <v>37.364451428571435</v>
      </c>
      <c r="AK12" s="13">
        <f t="shared" si="35"/>
        <v>11.297347642554788</v>
      </c>
      <c r="AL12" s="20">
        <f t="shared" si="4"/>
        <v>84.752633382211499</v>
      </c>
      <c r="AM12" s="59">
        <f t="shared" si="5"/>
        <v>274.11059213476756</v>
      </c>
      <c r="AN12" s="59">
        <f ca="1">AVERAGE(OFFSET($AM$3,0,0,'Données projet'!$E$10+1,1))-AVERAGE(OFFSET($H$3,0,0,'Données projet'!$E$10+1,1))</f>
        <v>752.45542076695506</v>
      </c>
      <c r="AO12" s="59">
        <f t="shared" si="36"/>
        <v>329.70629768420724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4.0942857142857143</v>
      </c>
      <c r="BD12" s="12">
        <f>IF('Données projet'!$A$88&gt;35,BD11+BC12-BL11,IF(A12&lt;'Données projet'!$A$88,$BA$205^A12,IF(A12='Données projet'!$A$88,'Données projet'!$B$88,BD11+BC12-BL11)))</f>
        <v>36.848571428571432</v>
      </c>
      <c r="BE12" s="13">
        <f>BD12*VLOOKUP('Données projet'!$B$11,Paramètres!$A$1:$I$89,3,0)*VLOOKUP('Données projet'!$B$11,Paramètres!$A$1:$I$89,5,0)</f>
        <v>33.340587428571432</v>
      </c>
      <c r="BF12" s="13">
        <f t="shared" si="37"/>
        <v>10.215302372953809</v>
      </c>
      <c r="BG12" s="20">
        <f t="shared" si="7"/>
        <v>75.85984140432312</v>
      </c>
      <c r="BH12" s="59">
        <f t="shared" si="8"/>
        <v>265.21780015687921</v>
      </c>
      <c r="BI12" s="59">
        <f ca="1">AVERAGE(OFFSET($BH$3,0,0,'Données projet'!$E$11+1,1))-AVERAGE(OFFSET($H$3,0,0,'Données projet'!$E$11+1,1))</f>
        <v>681.47578137804555</v>
      </c>
      <c r="BJ12" s="59">
        <f t="shared" si="38"/>
        <v>300.88511065995885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3.3333333333333335</v>
      </c>
      <c r="BY12" s="12">
        <f>IF('Données projet'!$A$114&gt;35,BY11+BX12-CG11,IF(A12&lt;'Données projet'!$A$114,$BV$205^A12,IF(A12='Données projet'!$A$114,'Données projet'!$B$114,BY11+BX12-CG11)))</f>
        <v>10.456395525912733</v>
      </c>
      <c r="BZ12" s="13">
        <f>BY12*VLOOKUP('Données projet'!$B$12,Paramètres!$A$1:$I$89,3,0)*VLOOKUP('Données projet'!$B$12,Paramètres!$A$1:$I$89,5,0)</f>
        <v>7.0141501187822621</v>
      </c>
      <c r="CA12" s="13">
        <f t="shared" si="39"/>
        <v>2.5766511556462244</v>
      </c>
      <c r="CB12" s="20">
        <f t="shared" si="10"/>
        <v>16.70397888629628</v>
      </c>
      <c r="CC12" s="59">
        <f t="shared" si="11"/>
        <v>206.06193763885236</v>
      </c>
      <c r="CD12" s="59">
        <f ca="1">AVERAGE(OFFSET($CC$3,0,0,'Données projet'!$E$12+1,1))-AVERAGE(OFFSET($H$3,0,0,'Données projet'!$E$12+1,1))</f>
        <v>335.73816489539837</v>
      </c>
      <c r="CE12" s="59">
        <f t="shared" si="40"/>
        <v>254.09787950201044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7.2723529411764707</v>
      </c>
      <c r="CT12" s="12">
        <f>IF('Données projet'!$A$140&gt;35,CT11+CS12-DB11,IF(A12&lt;'Données projet'!$A$140,$CQ$205^A12,IF(A12='Données projet'!$A$140,'Données projet'!$B$140,CT11+CS12-DB11)))</f>
        <v>12.811352758986937</v>
      </c>
      <c r="CU12" s="17">
        <f>CT12*VLOOKUP('Données projet'!$B$13,Paramètres!$A$1:$I$89,3,0)*VLOOKUP('Données projet'!$B$13,Paramètres!$A$1:$I$89,5,0)</f>
        <v>7.6611889498741892</v>
      </c>
      <c r="CV12" s="13">
        <f t="shared" si="41"/>
        <v>2.7855833880858762</v>
      </c>
      <c r="CW12" s="20">
        <f t="shared" si="13"/>
        <v>18.194795155280449</v>
      </c>
      <c r="CX12" s="59">
        <f t="shared" si="14"/>
        <v>207.55275390783652</v>
      </c>
      <c r="CY12" s="59">
        <f ca="1">AVERAGE(OFFSET($CX$3,0,0,'Données projet'!$E$13+1,1))-AVERAGE(OFFSET($H$3,0,0,'Données projet'!$E$13+1,1))</f>
        <v>318.50474972254085</v>
      </c>
      <c r="CZ12" s="59">
        <f t="shared" si="42"/>
        <v>326.45858332753562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3">
        <f>'Scénario référence'!$B$16*5+'Scénario référence'!$B$17*0+'Scénario référence'!$B$18*5</f>
        <v>5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67">
        <f t="shared" si="1"/>
        <v>183.33333333333334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>
        <f>VLOOKUP(A13,'Données projet'!$A$35:$I$55,2,0)</f>
        <v>50.641025641025642</v>
      </c>
      <c r="L13" s="12">
        <f>VLOOKUP(A13,'Données projet'!$A$35:$I$55,9,0)</f>
        <v>7.0512820512820511</v>
      </c>
      <c r="M13" s="12">
        <f t="array" ref="M13">INDEX(L:L,MIN(IF(ISNUMBER(L13:L209),ROW(L13:L209),"")))</f>
        <v>7.0512820512820511</v>
      </c>
      <c r="N13" s="13">
        <f>IF('Données projet'!$A$36&gt;35,N12+M13-V12,IF(A13&lt;'Données projet'!$A$36,$K$205^A13,IF(A13='Données projet'!$A$36,'Données projet'!$B$36,N12+M13-V12)))</f>
        <v>50.641025641025642</v>
      </c>
      <c r="O13" s="13">
        <f>N13*VLOOKUP('Données projet'!$B$9,Paramètres!$A$1:$I$89,3,0)*VLOOKUP('Données projet'!$B$9,Paramètres!$A$1:$I$89,5,0)</f>
        <v>45.82</v>
      </c>
      <c r="P13" s="13">
        <f t="shared" si="33"/>
        <v>13.528833061265388</v>
      </c>
      <c r="Q13" s="20">
        <f t="shared" si="2"/>
        <v>103.36588424837055</v>
      </c>
      <c r="R13" s="59">
        <f t="shared" si="0"/>
        <v>295.30454623341541</v>
      </c>
      <c r="S13" s="59">
        <f ca="1">AVERAGE(OFFSET($R$3,0,0,'Données projet'!$E$9+1,1))-AVERAGE(OFFSET($H$3,0,0,'Données projet'!$E$9+1,1))</f>
        <v>214.60547318405733</v>
      </c>
      <c r="T13" s="59">
        <f t="shared" si="34"/>
        <v>306.35874106546646</v>
      </c>
      <c r="U13" s="15">
        <f>IF(ISNA(VLOOKUP(A13,'Données projet'!$A$35:$I$55,3,0)),0,VLOOKUP(A13,'Données projet'!$A$35:$I$55,3,0))</f>
        <v>2</v>
      </c>
      <c r="V13" s="15">
        <f>IF(ISNA(VLOOKUP(A13,'Données projet'!$A$35:$I$55,4,0)),0,VLOOKUP(A13,'Données projet'!$A$35:$I$55,4,0))</f>
        <v>13.461538461538462</v>
      </c>
      <c r="W13" s="16">
        <f>IF(ISNA(VLOOKUP(A13,'Données projet'!$A$35:$I$55,5,0)),0%,VLOOKUP(A13,'Données projet'!$A$35:$I$55,5,0)*VLOOKUP('Données projet'!$B$9,Paramètres!$A$1:$I$89,7,0))</f>
        <v>0.03</v>
      </c>
      <c r="X13" s="16">
        <f>IF(ISNA(VLOOKUP(A13,'Données projet'!$A$35:$I$55,6,0)),0%,VLOOKUP(A13,'Données projet'!$A$35:$I$55,6,0)*VLOOKUP('Données projet'!$B$9,Paramètres!$A$1:$I$89,7,0))</f>
        <v>0.12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0.47362592421019123</v>
      </c>
      <c r="AA13" s="21">
        <f>EXP(-LN(2)/25)*AA12+(1-EXP(-LN(2)/25))/(LN(2)/25)*Calculateur!V13*Calculateur!X13*VLOOKUP('Données projet'!$B$9,Paramètres!$A$1:$I$89,3,0)*0.475*44/12</f>
        <v>1.87626195854134</v>
      </c>
      <c r="AB13" s="21">
        <f>EXP(-LN(2)/2)*AB12+(1-EXP(-LN(2)/2))/(LN(2)/2)*V13*Y13*VLOOKUP('Données projet'!$B$9,Paramètres!$A$1:$I$89,3,0)*0.475*44/12</f>
        <v>0</v>
      </c>
      <c r="AC13" s="22">
        <f t="shared" si="3"/>
        <v>2.3498878827515313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4.0942857142857143</v>
      </c>
      <c r="AI13" s="13">
        <f>IF('Données projet'!$A$62&gt;35,AI12+AH13-AQ12,IF(A13&lt;'Données projet'!$A$62,$AF$205^A13,IF(A13='Données projet'!$A$62,'Données projet'!$B$62,AI12+AH13-AQ12)))</f>
        <v>40.94285714285715</v>
      </c>
      <c r="AJ13" s="13">
        <f>AI13*VLOOKUP('Données projet'!$B$10,Paramètres!$A$1:$I$89,3,0)*VLOOKUP('Données projet'!$B$10,Paramètres!$A$1:$I$89,5,0)</f>
        <v>41.51605714285715</v>
      </c>
      <c r="AK13" s="13">
        <f t="shared" si="35"/>
        <v>12.399603891963192</v>
      </c>
      <c r="AL13" s="20">
        <f t="shared" si="4"/>
        <v>93.903109635645436</v>
      </c>
      <c r="AM13" s="59">
        <f t="shared" si="5"/>
        <v>285.84177162069034</v>
      </c>
      <c r="AN13" s="59">
        <f ca="1">AVERAGE(OFFSET($AM$3,0,0,'Données projet'!$E$10+1,1))-AVERAGE(OFFSET($H$3,0,0,'Données projet'!$E$10+1,1))</f>
        <v>752.45542076695506</v>
      </c>
      <c r="AO13" s="59">
        <f t="shared" si="36"/>
        <v>329.70629768420724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4.0942857142857143</v>
      </c>
      <c r="BD13" s="12">
        <f>IF('Données projet'!$A$88&gt;35,BD12+BC13-BL12,IF(A13&lt;'Données projet'!$A$88,$BA$205^A13,IF(A13='Données projet'!$A$88,'Données projet'!$B$88,BD12+BC13-BL12)))</f>
        <v>40.94285714285715</v>
      </c>
      <c r="BE13" s="13">
        <f>BD13*VLOOKUP('Données projet'!$B$11,Paramètres!$A$1:$I$89,3,0)*VLOOKUP('Données projet'!$B$11,Paramètres!$A$1:$I$89,5,0)</f>
        <v>37.045097142857145</v>
      </c>
      <c r="BF13" s="13">
        <f t="shared" si="37"/>
        <v>11.211985951829543</v>
      </c>
      <c r="BG13" s="20">
        <f t="shared" si="7"/>
        <v>84.04775305657931</v>
      </c>
      <c r="BH13" s="59">
        <f t="shared" si="8"/>
        <v>275.98641504162418</v>
      </c>
      <c r="BI13" s="59">
        <f ca="1">AVERAGE(OFFSET($BH$3,0,0,'Données projet'!$E$11+1,1))-AVERAGE(OFFSET($H$3,0,0,'Données projet'!$E$11+1,1))</f>
        <v>681.47578137804555</v>
      </c>
      <c r="BJ13" s="59">
        <f t="shared" si="38"/>
        <v>300.88511065995885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3.3333333333333335</v>
      </c>
      <c r="BY13" s="12">
        <f>IF('Données projet'!$A$114&gt;35,BY12+BX13-CG12,IF(A13&lt;'Données projet'!$A$114,$BV$205^A13,IF(A13='Données projet'!$A$114,'Données projet'!$B$114,BY12+BX13-CG12)))</f>
        <v>13.572088082974533</v>
      </c>
      <c r="BZ13" s="13">
        <f>BY13*VLOOKUP('Données projet'!$B$12,Paramètres!$A$1:$I$89,3,0)*VLOOKUP('Données projet'!$B$12,Paramètres!$A$1:$I$89,5,0)</f>
        <v>9.1041566860593175</v>
      </c>
      <c r="CA13" s="13">
        <f t="shared" si="39"/>
        <v>3.2444141328681457</v>
      </c>
      <c r="CB13" s="20">
        <f t="shared" si="10"/>
        <v>21.507094176298665</v>
      </c>
      <c r="CC13" s="59">
        <f t="shared" si="11"/>
        <v>213.44575616134355</v>
      </c>
      <c r="CD13" s="59">
        <f ca="1">AVERAGE(OFFSET($CC$3,0,0,'Données projet'!$E$12+1,1))-AVERAGE(OFFSET($H$3,0,0,'Données projet'!$E$12+1,1))</f>
        <v>335.73816489539837</v>
      </c>
      <c r="CE13" s="59">
        <f t="shared" si="40"/>
        <v>254.09787950201044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7.2723529411764707</v>
      </c>
      <c r="CT13" s="12">
        <f>IF('Données projet'!$A$140&gt;35,CT12+CS13-DB12,IF(A13&lt;'Données projet'!$A$140,$CQ$205^A13,IF(A13='Données projet'!$A$140,'Données projet'!$B$140,CT12+CS13-DB12)))</f>
        <v>17.008307520421493</v>
      </c>
      <c r="CU13" s="17">
        <f>CT13*VLOOKUP('Données projet'!$B$13,Paramètres!$A$1:$I$89,3,0)*VLOOKUP('Données projet'!$B$13,Paramètres!$A$1:$I$89,5,0)</f>
        <v>10.170967897212053</v>
      </c>
      <c r="CV13" s="13">
        <f t="shared" si="41"/>
        <v>3.5781404089295137</v>
      </c>
      <c r="CW13" s="20">
        <f t="shared" si="13"/>
        <v>23.946363633196558</v>
      </c>
      <c r="CX13" s="59">
        <f t="shared" si="14"/>
        <v>215.88502561824146</v>
      </c>
      <c r="CY13" s="59">
        <f ca="1">AVERAGE(OFFSET($CX$3,0,0,'Données projet'!$E$13+1,1))-AVERAGE(OFFSET($H$3,0,0,'Données projet'!$E$13+1,1))</f>
        <v>318.50474972254085</v>
      </c>
      <c r="CZ13" s="59">
        <f t="shared" si="42"/>
        <v>326.45858332753562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3">
        <f>'Scénario référence'!$B$16*5+'Scénario référence'!$B$17*0+'Scénario référence'!$B$18*5</f>
        <v>5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67">
        <f t="shared" si="1"/>
        <v>183.33333333333334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7.0512820512820493</v>
      </c>
      <c r="N14" s="13">
        <f>IF('Données projet'!$A$36&gt;35,N13+M14-V13,IF(A14&lt;'Données projet'!$A$36,$K$205^A14,IF(A14='Données projet'!$A$36,'Données projet'!$B$36,N13+M14-V13)))</f>
        <v>44.230769230769234</v>
      </c>
      <c r="O14" s="13">
        <f>N14*VLOOKUP('Données projet'!$B$9,Paramètres!$A$1:$I$89,3,0)*VLOOKUP('Données projet'!$B$9,Paramètres!$A$1:$I$89,5,0)</f>
        <v>40.020000000000003</v>
      </c>
      <c r="P14" s="13">
        <f t="shared" si="33"/>
        <v>12.003947754669428</v>
      </c>
      <c r="Q14" s="20">
        <f t="shared" si="2"/>
        <v>90.608375672715923</v>
      </c>
      <c r="R14" s="59">
        <f t="shared" si="0"/>
        <v>285.10417428183007</v>
      </c>
      <c r="S14" s="59">
        <f ca="1">AVERAGE(OFFSET($R$3,0,0,'Données projet'!$E$9+1,1))-AVERAGE(OFFSET($H$3,0,0,'Données projet'!$E$9+1,1))</f>
        <v>214.60547318405733</v>
      </c>
      <c r="T14" s="59">
        <f t="shared" si="34"/>
        <v>306.35874106546646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0.46433840871971827</v>
      </c>
      <c r="AA14" s="21">
        <f>EXP(-LN(2)/25)*AA13+(1-EXP(-LN(2)/25))/(LN(2)/25)*Calculateur!V14*Calculateur!X14*VLOOKUP('Données projet'!$B$9,Paramètres!$A$1:$I$89,3,0)*0.475*44/12</f>
        <v>1.8249554766166989</v>
      </c>
      <c r="AB14" s="21">
        <f>EXP(-LN(2)/2)*AB13+(1-EXP(-LN(2)/2))/(LN(2)/2)*V14*Y14*VLOOKUP('Données projet'!$B$9,Paramètres!$A$1:$I$89,3,0)*0.475*44/12</f>
        <v>0</v>
      </c>
      <c r="AC14" s="22">
        <f t="shared" si="3"/>
        <v>2.2892938853364173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4.0942857142857143</v>
      </c>
      <c r="AI14" s="13">
        <f>IF('Données projet'!$A$62&gt;35,AI13+AH14-AQ13,IF(A14&lt;'Données projet'!$A$62,$AF$205^A14,IF(A14='Données projet'!$A$62,'Données projet'!$B$62,AI13+AH14-AQ13)))</f>
        <v>45.037142857142868</v>
      </c>
      <c r="AJ14" s="13">
        <f>AI14*VLOOKUP('Données projet'!$B$10,Paramètres!$A$1:$I$89,3,0)*VLOOKUP('Données projet'!$B$10,Paramètres!$A$1:$I$89,5,0)</f>
        <v>45.667662857142872</v>
      </c>
      <c r="AK14" s="13">
        <f t="shared" si="35"/>
        <v>13.489081801480216</v>
      </c>
      <c r="AL14" s="20">
        <f t="shared" si="4"/>
        <v>103.03133028043521</v>
      </c>
      <c r="AM14" s="59">
        <f t="shared" si="5"/>
        <v>297.52712888954932</v>
      </c>
      <c r="AN14" s="59">
        <f ca="1">AVERAGE(OFFSET($AM$3,0,0,'Données projet'!$E$10+1,1))-AVERAGE(OFFSET($H$3,0,0,'Données projet'!$E$10+1,1))</f>
        <v>752.45542076695506</v>
      </c>
      <c r="AO14" s="59">
        <f t="shared" si="36"/>
        <v>329.70629768420724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4.0942857142857143</v>
      </c>
      <c r="BD14" s="12">
        <f>IF('Données projet'!$A$88&gt;35,BD13+BC14-BL13,IF(A14&lt;'Données projet'!$A$88,$BA$205^A14,IF(A14='Données projet'!$A$88,'Données projet'!$B$88,BD13+BC14-BL13)))</f>
        <v>45.037142857142868</v>
      </c>
      <c r="BE14" s="13">
        <f>BD14*VLOOKUP('Données projet'!$B$11,Paramètres!$A$1:$I$89,3,0)*VLOOKUP('Données projet'!$B$11,Paramètres!$A$1:$I$89,5,0)</f>
        <v>40.749606857142865</v>
      </c>
      <c r="BF14" s="13">
        <f t="shared" si="37"/>
        <v>12.197115083595657</v>
      </c>
      <c r="BG14" s="20">
        <f t="shared" si="7"/>
        <v>92.215540713452924</v>
      </c>
      <c r="BH14" s="59">
        <f t="shared" si="8"/>
        <v>286.71133932256703</v>
      </c>
      <c r="BI14" s="59">
        <f ca="1">AVERAGE(OFFSET($BH$3,0,0,'Données projet'!$E$11+1,1))-AVERAGE(OFFSET($H$3,0,0,'Données projet'!$E$11+1,1))</f>
        <v>681.47578137804555</v>
      </c>
      <c r="BJ14" s="59">
        <f t="shared" si="38"/>
        <v>300.88511065995885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3.3333333333333335</v>
      </c>
      <c r="BY14" s="12">
        <f>IF('Données projet'!$A$114&gt;35,BY13+BX14-CG13,IF(A14&lt;'Données projet'!$A$114,$BV$205^A14,IF(A14='Données projet'!$A$114,'Données projet'!$B$114,BY13+BX14-CG13)))</f>
        <v>17.616163665149852</v>
      </c>
      <c r="BZ14" s="13">
        <f>BY14*VLOOKUP('Données projet'!$B$12,Paramètres!$A$1:$I$89,3,0)*VLOOKUP('Données projet'!$B$12,Paramètres!$A$1:$I$89,5,0)</f>
        <v>11.816922586582521</v>
      </c>
      <c r="CA14" s="13">
        <f t="shared" si="39"/>
        <v>4.0852340614632361</v>
      </c>
      <c r="CB14" s="20">
        <f t="shared" si="10"/>
        <v>27.696256162013025</v>
      </c>
      <c r="CC14" s="59">
        <f t="shared" si="11"/>
        <v>222.19205477112715</v>
      </c>
      <c r="CD14" s="59">
        <f ca="1">AVERAGE(OFFSET($CC$3,0,0,'Données projet'!$E$12+1,1))-AVERAGE(OFFSET($H$3,0,0,'Données projet'!$E$12+1,1))</f>
        <v>335.73816489539837</v>
      </c>
      <c r="CE14" s="59">
        <f t="shared" si="40"/>
        <v>254.09787950201044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7.2723529411764707</v>
      </c>
      <c r="CT14" s="12">
        <f>IF('Données projet'!$A$140&gt;35,CT13+CS14-DB13,IF(A14&lt;'Données projet'!$A$140,$CQ$205^A14,IF(A14='Données projet'!$A$140,'Données projet'!$B$140,CT13+CS14-DB13)))</f>
        <v>22.580170115626522</v>
      </c>
      <c r="CU14" s="17">
        <f>CT14*VLOOKUP('Données projet'!$B$13,Paramètres!$A$1:$I$89,3,0)*VLOOKUP('Données projet'!$B$13,Paramètres!$A$1:$I$89,5,0)</f>
        <v>13.502941729144661</v>
      </c>
      <c r="CV14" s="13">
        <f t="shared" si="41"/>
        <v>4.5961965600361916</v>
      </c>
      <c r="CW14" s="20">
        <f t="shared" si="13"/>
        <v>31.522665853656651</v>
      </c>
      <c r="CX14" s="59">
        <f t="shared" si="14"/>
        <v>226.01846446277079</v>
      </c>
      <c r="CY14" s="59">
        <f ca="1">AVERAGE(OFFSET($CX$3,0,0,'Données projet'!$E$13+1,1))-AVERAGE(OFFSET($H$3,0,0,'Données projet'!$E$13+1,1))</f>
        <v>318.50474972254085</v>
      </c>
      <c r="CZ14" s="59">
        <f t="shared" si="42"/>
        <v>326.45858332753562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3">
        <f>'Scénario référence'!$B$16*5+'Scénario référence'!$B$17*0+'Scénario référence'!$B$18*5</f>
        <v>5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67">
        <f t="shared" si="1"/>
        <v>183.33333333333334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7.0512820512820493</v>
      </c>
      <c r="N15" s="13">
        <f>IF('Données projet'!$A$36&gt;35,N14+M15-V14,IF(A15&lt;'Données projet'!$A$36,$K$205^A15,IF(A15='Données projet'!$A$36,'Données projet'!$B$36,N14+M15-V14)))</f>
        <v>51.282051282051285</v>
      </c>
      <c r="O15" s="13">
        <f>N15*VLOOKUP('Données projet'!$B$9,Paramètres!$A$1:$I$89,3,0)*VLOOKUP('Données projet'!$B$9,Paramètres!$A$1:$I$89,5,0)</f>
        <v>46.400000000000006</v>
      </c>
      <c r="P15" s="13">
        <f t="shared" si="33"/>
        <v>13.680039535026978</v>
      </c>
      <c r="Q15" s="20">
        <f t="shared" si="2"/>
        <v>104.63940219017199</v>
      </c>
      <c r="R15" s="59">
        <f t="shared" si="0"/>
        <v>301.66917964290485</v>
      </c>
      <c r="S15" s="59">
        <f ca="1">AVERAGE(OFFSET($R$3,0,0,'Données projet'!$E$9+1,1))-AVERAGE(OFFSET($H$3,0,0,'Données projet'!$E$9+1,1))</f>
        <v>214.60547318405733</v>
      </c>
      <c r="T15" s="59">
        <f t="shared" si="34"/>
        <v>306.35874106546646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0.45523301574318842</v>
      </c>
      <c r="AA15" s="21">
        <f>EXP(-LN(2)/25)*AA14+(1-EXP(-LN(2)/25))/(LN(2)/25)*Calculateur!V15*Calculateur!X15*VLOOKUP('Données projet'!$B$9,Paramètres!$A$1:$I$89,3,0)*0.475*44/12</f>
        <v>1.7750519731383778</v>
      </c>
      <c r="AB15" s="21">
        <f>EXP(-LN(2)/2)*AB14+(1-EXP(-LN(2)/2))/(LN(2)/2)*V15*Y15*VLOOKUP('Données projet'!$B$9,Paramètres!$A$1:$I$89,3,0)*0.475*44/12</f>
        <v>0</v>
      </c>
      <c r="AC15" s="22">
        <f t="shared" si="3"/>
        <v>2.2302849888815661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4.0942857142857143</v>
      </c>
      <c r="AI15" s="13">
        <f>IF('Données projet'!$A$62&gt;35,AI14+AH15-AQ14,IF(A15&lt;'Données projet'!$A$62,$AF$205^A15,IF(A15='Données projet'!$A$62,'Données projet'!$B$62,AI14+AH15-AQ14)))</f>
        <v>49.131428571428586</v>
      </c>
      <c r="AJ15" s="13">
        <f>AI15*VLOOKUP('Données projet'!$B$10,Paramètres!$A$1:$I$89,3,0)*VLOOKUP('Données projet'!$B$10,Paramètres!$A$1:$I$89,5,0)</f>
        <v>49.819268571428587</v>
      </c>
      <c r="AK15" s="13">
        <f t="shared" si="35"/>
        <v>14.567075151646579</v>
      </c>
      <c r="AL15" s="20">
        <f t="shared" si="4"/>
        <v>112.13954865102259</v>
      </c>
      <c r="AM15" s="59">
        <f t="shared" si="5"/>
        <v>309.16932610375545</v>
      </c>
      <c r="AN15" s="59">
        <f ca="1">AVERAGE(OFFSET($AM$3,0,0,'Données projet'!$E$10+1,1))-AVERAGE(OFFSET($H$3,0,0,'Données projet'!$E$10+1,1))</f>
        <v>752.45542076695506</v>
      </c>
      <c r="AO15" s="59">
        <f t="shared" si="36"/>
        <v>329.70629768420724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4.0942857142857143</v>
      </c>
      <c r="BD15" s="12">
        <f>IF('Données projet'!$A$88&gt;35,BD14+BC15-BL14,IF(A15&lt;'Données projet'!$A$88,$BA$205^A15,IF(A15='Données projet'!$A$88,'Données projet'!$B$88,BD14+BC15-BL14)))</f>
        <v>49.131428571428586</v>
      </c>
      <c r="BE15" s="13">
        <f>BD15*VLOOKUP('Données projet'!$B$11,Paramètres!$A$1:$I$89,3,0)*VLOOKUP('Données projet'!$B$11,Paramètres!$A$1:$I$89,5,0)</f>
        <v>44.454116571428585</v>
      </c>
      <c r="BF15" s="13">
        <f t="shared" si="37"/>
        <v>13.17185963217473</v>
      </c>
      <c r="BG15" s="20">
        <f t="shared" si="7"/>
        <v>100.36524188794243</v>
      </c>
      <c r="BH15" s="59">
        <f t="shared" si="8"/>
        <v>297.39501934067528</v>
      </c>
      <c r="BI15" s="59">
        <f ca="1">AVERAGE(OFFSET($BH$3,0,0,'Données projet'!$E$11+1,1))-AVERAGE(OFFSET($H$3,0,0,'Données projet'!$E$11+1,1))</f>
        <v>681.47578137804555</v>
      </c>
      <c r="BJ15" s="59">
        <f t="shared" si="38"/>
        <v>300.88511065995885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3.3333333333333335</v>
      </c>
      <c r="BY15" s="12">
        <f>IF('Données projet'!$A$114&gt;35,BY14+BX15-CG14,IF(A15&lt;'Données projet'!$A$114,$BV$205^A15,IF(A15='Données projet'!$A$114,'Données projet'!$B$114,BY14+BX15-CG14)))</f>
        <v>22.865252596366318</v>
      </c>
      <c r="BZ15" s="13">
        <f>BY15*VLOOKUP('Données projet'!$B$12,Paramètres!$A$1:$I$89,3,0)*VLOOKUP('Données projet'!$B$12,Paramètres!$A$1:$I$89,5,0)</f>
        <v>15.338011441642525</v>
      </c>
      <c r="CA15" s="13">
        <f t="shared" si="39"/>
        <v>5.1439602509023024</v>
      </c>
      <c r="CB15" s="20">
        <f t="shared" si="10"/>
        <v>35.672767364515572</v>
      </c>
      <c r="CC15" s="59">
        <f t="shared" si="11"/>
        <v>232.70254481724845</v>
      </c>
      <c r="CD15" s="59">
        <f ca="1">AVERAGE(OFFSET($CC$3,0,0,'Données projet'!$E$12+1,1))-AVERAGE(OFFSET($H$3,0,0,'Données projet'!$E$12+1,1))</f>
        <v>335.73816489539837</v>
      </c>
      <c r="CE15" s="59">
        <f t="shared" si="40"/>
        <v>254.09787950201044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7.2723529411764707</v>
      </c>
      <c r="CT15" s="12">
        <f>IF('Données projet'!$A$140&gt;35,CT14+CS15-DB14,IF(A15&lt;'Données projet'!$A$140,$CQ$205^A15,IF(A15='Données projet'!$A$140,'Données projet'!$B$140,CT14+CS15-DB14)))</f>
        <v>29.977355585701336</v>
      </c>
      <c r="CU15" s="17">
        <f>CT15*VLOOKUP('Données projet'!$B$13,Paramètres!$A$1:$I$89,3,0)*VLOOKUP('Données projet'!$B$13,Paramètres!$A$1:$I$89,5,0)</f>
        <v>17.9264586402494</v>
      </c>
      <c r="CV15" s="13">
        <f t="shared" si="41"/>
        <v>5.9039110834693549</v>
      </c>
      <c r="CW15" s="20">
        <f t="shared" si="13"/>
        <v>41.504560602143492</v>
      </c>
      <c r="CX15" s="59">
        <f t="shared" si="14"/>
        <v>238.53433805487637</v>
      </c>
      <c r="CY15" s="59">
        <f ca="1">AVERAGE(OFFSET($CX$3,0,0,'Données projet'!$E$13+1,1))-AVERAGE(OFFSET($H$3,0,0,'Données projet'!$E$13+1,1))</f>
        <v>318.50474972254085</v>
      </c>
      <c r="CZ15" s="59">
        <f t="shared" si="42"/>
        <v>326.45858332753562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3">
        <f>'Scénario référence'!$B$16*5+'Scénario référence'!$B$17*0+'Scénario référence'!$B$18*5</f>
        <v>5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67">
        <f t="shared" si="1"/>
        <v>183.33333333333334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7.0512820512820493</v>
      </c>
      <c r="N16" s="13">
        <f>IF('Données projet'!$A$36&gt;35,N15+M16-V15,IF(A16&lt;'Données projet'!$A$36,$K$205^A16,IF(A16='Données projet'!$A$36,'Données projet'!$B$36,N15+M16-V15)))</f>
        <v>58.333333333333336</v>
      </c>
      <c r="O16" s="13">
        <f>N16*VLOOKUP('Données projet'!$B$9,Paramètres!$A$1:$I$89,3,0)*VLOOKUP('Données projet'!$B$9,Paramètres!$A$1:$I$89,5,0)</f>
        <v>52.780000000000008</v>
      </c>
      <c r="P16" s="13">
        <f t="shared" si="33"/>
        <v>15.329430268903632</v>
      </c>
      <c r="Q16" s="20">
        <f t="shared" si="2"/>
        <v>118.62392438500717</v>
      </c>
      <c r="R16" s="59">
        <f t="shared" si="0"/>
        <v>318.16492463662598</v>
      </c>
      <c r="S16" s="59">
        <f ca="1">AVERAGE(OFFSET($R$3,0,0,'Données projet'!$E$9+1,1))-AVERAGE(OFFSET($H$3,0,0,'Données projet'!$E$9+1,1))</f>
        <v>214.60547318405733</v>
      </c>
      <c r="T16" s="59">
        <f t="shared" si="34"/>
        <v>306.35874106546646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0.44630617396918698</v>
      </c>
      <c r="AA16" s="21">
        <f>EXP(-LN(2)/25)*AA15+(1-EXP(-LN(2)/25))/(LN(2)/25)*Calculateur!V16*Calculateur!X16*VLOOKUP('Données projet'!$B$9,Paramètres!$A$1:$I$89,3,0)*0.475*44/12</f>
        <v>1.7265130835869826</v>
      </c>
      <c r="AB16" s="21">
        <f>EXP(-LN(2)/2)*AB15+(1-EXP(-LN(2)/2))/(LN(2)/2)*V16*Y16*VLOOKUP('Données projet'!$B$9,Paramètres!$A$1:$I$89,3,0)*0.475*44/12</f>
        <v>0</v>
      </c>
      <c r="AC16" s="22">
        <f t="shared" si="3"/>
        <v>2.1728192575561698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4.0942857142857143</v>
      </c>
      <c r="AI16" s="13">
        <f>IF('Données projet'!$A$62&gt;35,AI15+AH16-AQ15,IF(A16&lt;'Données projet'!$A$62,$AF$205^A16,IF(A16='Données projet'!$A$62,'Données projet'!$B$62,AI15+AH16-AQ15)))</f>
        <v>53.225714285714304</v>
      </c>
      <c r="AJ16" s="13">
        <f>AI16*VLOOKUP('Données projet'!$B$10,Paramètres!$A$1:$I$89,3,0)*VLOOKUP('Données projet'!$B$10,Paramètres!$A$1:$I$89,5,0)</f>
        <v>53.970874285714309</v>
      </c>
      <c r="AK16" s="13">
        <f t="shared" si="35"/>
        <v>15.634649796775355</v>
      </c>
      <c r="AL16" s="20">
        <f t="shared" si="4"/>
        <v>121.22962111033615</v>
      </c>
      <c r="AM16" s="59">
        <f t="shared" si="5"/>
        <v>320.77062136195497</v>
      </c>
      <c r="AN16" s="59">
        <f ca="1">AVERAGE(OFFSET($AM$3,0,0,'Données projet'!$E$10+1,1))-AVERAGE(OFFSET($H$3,0,0,'Données projet'!$E$10+1,1))</f>
        <v>752.45542076695506</v>
      </c>
      <c r="AO16" s="59">
        <f t="shared" si="36"/>
        <v>329.70629768420724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4.0942857142857143</v>
      </c>
      <c r="BD16" s="12">
        <f>IF('Données projet'!$A$88&gt;35,BD15+BC16-BL15,IF(A16&lt;'Données projet'!$A$88,$BA$205^A16,IF(A16='Données projet'!$A$88,'Données projet'!$B$88,BD15+BC16-BL15)))</f>
        <v>53.225714285714304</v>
      </c>
      <c r="BE16" s="13">
        <f>BD16*VLOOKUP('Données projet'!$B$11,Paramètres!$A$1:$I$89,3,0)*VLOOKUP('Données projet'!$B$11,Paramètres!$A$1:$I$89,5,0)</f>
        <v>48.158626285714305</v>
      </c>
      <c r="BF16" s="13">
        <f t="shared" si="37"/>
        <v>14.137183365739432</v>
      </c>
      <c r="BG16" s="20">
        <f t="shared" si="7"/>
        <v>108.4985351429486</v>
      </c>
      <c r="BH16" s="59">
        <f t="shared" si="8"/>
        <v>308.03953539456739</v>
      </c>
      <c r="BI16" s="59">
        <f ca="1">AVERAGE(OFFSET($BH$3,0,0,'Données projet'!$E$11+1,1))-AVERAGE(OFFSET($H$3,0,0,'Données projet'!$E$11+1,1))</f>
        <v>681.47578137804555</v>
      </c>
      <c r="BJ16" s="59">
        <f t="shared" si="38"/>
        <v>300.88511065995885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3.3333333333333335</v>
      </c>
      <c r="BY16" s="12">
        <f>IF('Données projet'!$A$114&gt;35,BY15+BX16-CG15,IF(A16&lt;'Données projet'!$A$114,$BV$205^A16,IF(A16='Données projet'!$A$114,'Données projet'!$B$114,BY15+BX16-CG15)))</f>
        <v>29.678412748283769</v>
      </c>
      <c r="BZ16" s="13">
        <f>BY16*VLOOKUP('Données projet'!$B$12,Paramètres!$A$1:$I$89,3,0)*VLOOKUP('Données projet'!$B$12,Paramètres!$A$1:$I$89,5,0)</f>
        <v>19.90827927154875</v>
      </c>
      <c r="CA16" s="13">
        <f t="shared" si="39"/>
        <v>6.4770651239957129</v>
      </c>
      <c r="CB16" s="20">
        <f t="shared" si="10"/>
        <v>45.954474822239945</v>
      </c>
      <c r="CC16" s="59">
        <f t="shared" si="11"/>
        <v>245.49547507385876</v>
      </c>
      <c r="CD16" s="59">
        <f ca="1">AVERAGE(OFFSET($CC$3,0,0,'Données projet'!$E$12+1,1))-AVERAGE(OFFSET($H$3,0,0,'Données projet'!$E$12+1,1))</f>
        <v>335.73816489539837</v>
      </c>
      <c r="CE16" s="59">
        <f t="shared" si="40"/>
        <v>254.09787950201044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7.2723529411764707</v>
      </c>
      <c r="CT16" s="12">
        <f>IF('Données projet'!$A$140&gt;35,CT15+CS16-DB15,IF(A16&lt;'Données projet'!$A$140,$CQ$205^A16,IF(A16='Données projet'!$A$140,'Données projet'!$B$140,CT15+CS16-DB15)))</f>
        <v>39.797833378131948</v>
      </c>
      <c r="CU16" s="17">
        <f>CT16*VLOOKUP('Données projet'!$B$13,Paramètres!$A$1:$I$89,3,0)*VLOOKUP('Données projet'!$B$13,Paramètres!$A$1:$I$89,5,0)</f>
        <v>23.799104360122907</v>
      </c>
      <c r="CV16" s="13">
        <f t="shared" si="41"/>
        <v>7.583697874147882</v>
      </c>
      <c r="CW16" s="20">
        <f t="shared" si="13"/>
        <v>54.658380558021626</v>
      </c>
      <c r="CX16" s="59">
        <f t="shared" si="14"/>
        <v>254.19938080964045</v>
      </c>
      <c r="CY16" s="59">
        <f ca="1">AVERAGE(OFFSET($CX$3,0,0,'Données projet'!$E$13+1,1))-AVERAGE(OFFSET($H$3,0,0,'Données projet'!$E$13+1,1))</f>
        <v>318.50474972254085</v>
      </c>
      <c r="CZ16" s="59">
        <f t="shared" si="42"/>
        <v>326.45858332753562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3">
        <f>'Scénario référence'!$B$16*5+'Scénario référence'!$B$17*0+'Scénario référence'!$B$18*5</f>
        <v>5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67">
        <f t="shared" si="1"/>
        <v>183.33333333333334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7.0512820512820493</v>
      </c>
      <c r="N17" s="13">
        <f>IF('Données projet'!$A$36&gt;35,N16+M17-V16,IF(A17&lt;'Données projet'!$A$36,$K$205^A17,IF(A17='Données projet'!$A$36,'Données projet'!$B$36,N16+M17-V16)))</f>
        <v>65.384615384615387</v>
      </c>
      <c r="O17" s="13">
        <f>N17*VLOOKUP('Données projet'!$B$9,Paramètres!$A$1:$I$89,3,0)*VLOOKUP('Données projet'!$B$9,Paramètres!$A$1:$I$89,5,0)</f>
        <v>59.16</v>
      </c>
      <c r="P17" s="13">
        <f t="shared" si="33"/>
        <v>16.955716703338535</v>
      </c>
      <c r="Q17" s="20">
        <f t="shared" si="2"/>
        <v>132.56820659164794</v>
      </c>
      <c r="R17" s="59">
        <f t="shared" si="0"/>
        <v>334.59806836392113</v>
      </c>
      <c r="S17" s="59">
        <f ca="1">AVERAGE(OFFSET($R$3,0,0,'Données projet'!$E$9+1,1))-AVERAGE(OFFSET($H$3,0,0,'Données projet'!$E$9+1,1))</f>
        <v>214.60547318405733</v>
      </c>
      <c r="T17" s="59">
        <f t="shared" si="34"/>
        <v>306.35874106546646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0.43755438211753789</v>
      </c>
      <c r="AA17" s="21">
        <f>EXP(-LN(2)/25)*AA16+(1-EXP(-LN(2)/25))/(LN(2)/25)*Calculateur!V17*Calculateur!X17*VLOOKUP('Données projet'!$B$9,Paramètres!$A$1:$I$89,3,0)*0.475*44/12</f>
        <v>1.6793014925229195</v>
      </c>
      <c r="AB17" s="21">
        <f>EXP(-LN(2)/2)*AB16+(1-EXP(-LN(2)/2))/(LN(2)/2)*V17*Y17*VLOOKUP('Données projet'!$B$9,Paramètres!$A$1:$I$89,3,0)*0.475*44/12</f>
        <v>0</v>
      </c>
      <c r="AC17" s="22">
        <f t="shared" si="3"/>
        <v>2.1168558746404575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4.0942857142857143</v>
      </c>
      <c r="AI17" s="13">
        <f>IF('Données projet'!$A$62&gt;35,AI16+AH17-AQ16,IF(A17&lt;'Données projet'!$A$62,$AF$205^A17,IF(A17='Données projet'!$A$62,'Données projet'!$B$62,AI16+AH17-AQ16)))</f>
        <v>57.320000000000022</v>
      </c>
      <c r="AJ17" s="13">
        <f>AI17*VLOOKUP('Données projet'!$B$10,Paramètres!$A$1:$I$89,3,0)*VLOOKUP('Données projet'!$B$10,Paramètres!$A$1:$I$89,5,0)</f>
        <v>58.122480000000031</v>
      </c>
      <c r="AK17" s="13">
        <f t="shared" si="35"/>
        <v>16.692698298610935</v>
      </c>
      <c r="AL17" s="20">
        <f t="shared" si="4"/>
        <v>130.30310220341408</v>
      </c>
      <c r="AM17" s="59">
        <f t="shared" si="5"/>
        <v>332.33296397568728</v>
      </c>
      <c r="AN17" s="59">
        <f ca="1">AVERAGE(OFFSET($AM$3,0,0,'Données projet'!$E$10+1,1))-AVERAGE(OFFSET($H$3,0,0,'Données projet'!$E$10+1,1))</f>
        <v>752.45542076695506</v>
      </c>
      <c r="AO17" s="59">
        <f t="shared" si="36"/>
        <v>329.70629768420724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4.0942857142857143</v>
      </c>
      <c r="BD17" s="12">
        <f>IF('Données projet'!$A$88&gt;35,BD16+BC17-BL16,IF(A17&lt;'Données projet'!$A$88,$BA$205^A17,IF(A17='Données projet'!$A$88,'Données projet'!$B$88,BD16+BC17-BL16)))</f>
        <v>57.320000000000022</v>
      </c>
      <c r="BE17" s="13">
        <f>BD17*VLOOKUP('Données projet'!$B$11,Paramètres!$A$1:$I$89,3,0)*VLOOKUP('Données projet'!$B$11,Paramètres!$A$1:$I$89,5,0)</f>
        <v>51.863136000000019</v>
      </c>
      <c r="BF17" s="13">
        <f t="shared" si="37"/>
        <v>15.093893357630675</v>
      </c>
      <c r="BG17" s="20">
        <f t="shared" si="7"/>
        <v>116.61682613120678</v>
      </c>
      <c r="BH17" s="59">
        <f t="shared" si="8"/>
        <v>318.64668790347997</v>
      </c>
      <c r="BI17" s="59">
        <f ca="1">AVERAGE(OFFSET($BH$3,0,0,'Données projet'!$E$11+1,1))-AVERAGE(OFFSET($H$3,0,0,'Données projet'!$E$11+1,1))</f>
        <v>681.47578137804555</v>
      </c>
      <c r="BJ17" s="59">
        <f t="shared" si="38"/>
        <v>300.88511065995885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3.3333333333333335</v>
      </c>
      <c r="BY17" s="12">
        <f>IF('Données projet'!$A$114&gt;35,BY16+BX17-CG16,IF(A17&lt;'Données projet'!$A$114,$BV$205^A17,IF(A17='Données projet'!$A$114,'Données projet'!$B$114,BY16+BX17-CG16)))</f>
        <v>38.521690479704915</v>
      </c>
      <c r="BZ17" s="13">
        <f>BY17*VLOOKUP('Données projet'!$B$12,Paramètres!$A$1:$I$89,3,0)*VLOOKUP('Données projet'!$B$12,Paramètres!$A$1:$I$89,5,0)</f>
        <v>25.840349973786058</v>
      </c>
      <c r="CA17" s="13">
        <f t="shared" si="39"/>
        <v>8.1556564542120462</v>
      </c>
      <c r="CB17" s="20">
        <f t="shared" si="10"/>
        <v>59.209711195430032</v>
      </c>
      <c r="CC17" s="59">
        <f t="shared" si="11"/>
        <v>261.23957296770323</v>
      </c>
      <c r="CD17" s="59">
        <f ca="1">AVERAGE(OFFSET($CC$3,0,0,'Données projet'!$E$12+1,1))-AVERAGE(OFFSET($H$3,0,0,'Données projet'!$E$12+1,1))</f>
        <v>335.73816489539837</v>
      </c>
      <c r="CE17" s="59">
        <f t="shared" si="40"/>
        <v>254.09787950201044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7.2723529411764707</v>
      </c>
      <c r="CT17" s="12">
        <f>IF('Données projet'!$A$140&gt;35,CT16+CS17-DB16,IF(A17&lt;'Données projet'!$A$140,$CQ$205^A17,IF(A17='Données projet'!$A$140,'Données projet'!$B$140,CT16+CS17-DB16)))</f>
        <v>52.835465658919915</v>
      </c>
      <c r="CU17" s="17">
        <f>CT17*VLOOKUP('Données projet'!$B$13,Paramètres!$A$1:$I$89,3,0)*VLOOKUP('Données projet'!$B$13,Paramètres!$A$1:$I$89,5,0)</f>
        <v>31.595608464034111</v>
      </c>
      <c r="CV17" s="13">
        <f t="shared" si="41"/>
        <v>9.7414193122567614</v>
      </c>
      <c r="CW17" s="20">
        <f t="shared" si="13"/>
        <v>71.995323377039924</v>
      </c>
      <c r="CX17" s="59">
        <f t="shared" si="14"/>
        <v>274.02518514931313</v>
      </c>
      <c r="CY17" s="59">
        <f ca="1">AVERAGE(OFFSET($CX$3,0,0,'Données projet'!$E$13+1,1))-AVERAGE(OFFSET($H$3,0,0,'Données projet'!$E$13+1,1))</f>
        <v>318.50474972254085</v>
      </c>
      <c r="CZ17" s="59">
        <f t="shared" si="42"/>
        <v>326.45858332753562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3">
        <f>'Scénario référence'!$B$16*5+'Scénario référence'!$B$17*0+'Scénario référence'!$B$18*5</f>
        <v>5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67">
        <f t="shared" si="1"/>
        <v>183.33333333333334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>
        <f>VLOOKUP(A18,'Données projet'!$A$35:$I$55,2,0)</f>
        <v>72.435897435897431</v>
      </c>
      <c r="L18" s="12">
        <f>VLOOKUP(A18,'Données projet'!$A$35:$I$55,9,0)</f>
        <v>7.0512820512820493</v>
      </c>
      <c r="M18" s="12">
        <f t="array" ref="M18">INDEX(L:L,MIN(IF(ISNUMBER(L18:L214),ROW(L18:L214),"")))</f>
        <v>7.0512820512820493</v>
      </c>
      <c r="N18" s="13">
        <f>IF('Données projet'!$A$36&gt;35,N17+M18-V17,IF(A18&lt;'Données projet'!$A$36,$K$205^A18,IF(A18='Données projet'!$A$36,'Données projet'!$B$36,N17+M18-V17)))</f>
        <v>72.435897435897431</v>
      </c>
      <c r="O18" s="13">
        <f>N18*VLOOKUP('Données projet'!$B$9,Paramètres!$A$1:$I$89,3,0)*VLOOKUP('Données projet'!$B$9,Paramètres!$A$1:$I$89,5,0)</f>
        <v>65.539999999999992</v>
      </c>
      <c r="P18" s="13">
        <f t="shared" si="33"/>
        <v>18.561674503719694</v>
      </c>
      <c r="Q18" s="20">
        <f t="shared" si="2"/>
        <v>146.47708309397845</v>
      </c>
      <c r="R18" s="59">
        <f t="shared" si="0"/>
        <v>350.9738330268595</v>
      </c>
      <c r="S18" s="59">
        <f ca="1">AVERAGE(OFFSET($R$3,0,0,'Données projet'!$E$9+1,1))-AVERAGE(OFFSET($H$3,0,0,'Données projet'!$E$9+1,1))</f>
        <v>214.60547318405733</v>
      </c>
      <c r="T18" s="59">
        <f t="shared" si="34"/>
        <v>306.35874106546646</v>
      </c>
      <c r="U18" s="15">
        <f>IF(ISNA(VLOOKUP(A18,'Données projet'!$A$35:$I$55,3,0)),0,VLOOKUP(A18,'Données projet'!$A$35:$I$55,3,0))</f>
        <v>3</v>
      </c>
      <c r="V18" s="15">
        <f>IF(ISNA(VLOOKUP(A18,'Données projet'!$A$35:$I$55,4,0)),0,VLOOKUP(A18,'Données projet'!$A$35:$I$55,4,0))</f>
        <v>10.897435897435898</v>
      </c>
      <c r="W18" s="16">
        <f>IF(ISNA(VLOOKUP(A18,'Données projet'!$A$35:$I$55,5,0)),0%,VLOOKUP(A18,'Données projet'!$A$35:$I$55,5,0)*VLOOKUP('Données projet'!$B$9,Paramètres!$A$1:$I$89,7,0))</f>
        <v>0.03</v>
      </c>
      <c r="X18" s="16">
        <f>IF(ISNA(VLOOKUP(A18,'Données projet'!$A$35:$I$55,6,0)),0%,VLOOKUP(A18,'Données projet'!$A$35:$I$55,6,0)*VLOOKUP('Données projet'!$B$9,Paramètres!$A$1:$I$89,7,0))</f>
        <v>0.12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0.75597234583188033</v>
      </c>
      <c r="AA18" s="21">
        <f>EXP(-LN(2)/25)*AA17+(1-EXP(-LN(2)/25))/(LN(2)/25)*Calculateur!V18*Calculateur!X18*VLOOKUP('Données projet'!$B$9,Paramètres!$A$1:$I$89,3,0)*0.475*44/12</f>
        <v>2.9362233928969936</v>
      </c>
      <c r="AB18" s="21">
        <f>EXP(-LN(2)/2)*AB17+(1-EXP(-LN(2)/2))/(LN(2)/2)*V18*Y18*VLOOKUP('Données projet'!$B$9,Paramètres!$A$1:$I$89,3,0)*0.475*44/12</f>
        <v>0</v>
      </c>
      <c r="AC18" s="22">
        <f t="shared" si="3"/>
        <v>3.692195738728874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4.0942857142857143</v>
      </c>
      <c r="AI18" s="13">
        <f>IF('Données projet'!$A$62&gt;35,AI17+AH18-AQ17,IF(A18&lt;'Données projet'!$A$62,$AF$205^A18,IF(A18='Données projet'!$A$62,'Données projet'!$B$62,AI17+AH18-AQ17)))</f>
        <v>61.414285714285739</v>
      </c>
      <c r="AJ18" s="13">
        <f>AI18*VLOOKUP('Données projet'!$B$10,Paramètres!$A$1:$I$89,3,0)*VLOOKUP('Données projet'!$B$10,Paramètres!$A$1:$I$89,5,0)</f>
        <v>62.274085714285746</v>
      </c>
      <c r="AK18" s="13">
        <f t="shared" si="35"/>
        <v>17.741978484825932</v>
      </c>
      <c r="AL18" s="20">
        <f t="shared" si="4"/>
        <v>139.36131181345283</v>
      </c>
      <c r="AM18" s="59">
        <f t="shared" si="5"/>
        <v>343.85806174633387</v>
      </c>
      <c r="AN18" s="59">
        <f ca="1">AVERAGE(OFFSET($AM$3,0,0,'Données projet'!$E$10+1,1))-AVERAGE(OFFSET($H$3,0,0,'Données projet'!$E$10+1,1))</f>
        <v>752.45542076695506</v>
      </c>
      <c r="AO18" s="59">
        <f t="shared" si="36"/>
        <v>329.70629768420724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4.0942857142857143</v>
      </c>
      <c r="BD18" s="12">
        <f>IF('Données projet'!$A$88&gt;35,BD17+BC18-BL17,IF(A18&lt;'Données projet'!$A$88,$BA$205^A18,IF(A18='Données projet'!$A$88,'Données projet'!$B$88,BD17+BC18-BL17)))</f>
        <v>61.414285714285739</v>
      </c>
      <c r="BE18" s="13">
        <f>BD18*VLOOKUP('Données projet'!$B$11,Paramètres!$A$1:$I$89,3,0)*VLOOKUP('Données projet'!$B$11,Paramètres!$A$1:$I$89,5,0)</f>
        <v>55.567645714285739</v>
      </c>
      <c r="BF18" s="13">
        <f t="shared" si="37"/>
        <v>16.042674851771864</v>
      </c>
      <c r="BG18" s="20">
        <f t="shared" si="7"/>
        <v>124.72130831921697</v>
      </c>
      <c r="BH18" s="59">
        <f t="shared" si="8"/>
        <v>329.21805825209799</v>
      </c>
      <c r="BI18" s="59">
        <f ca="1">AVERAGE(OFFSET($BH$3,0,0,'Données projet'!$E$11+1,1))-AVERAGE(OFFSET($H$3,0,0,'Données projet'!$E$11+1,1))</f>
        <v>681.47578137804555</v>
      </c>
      <c r="BJ18" s="59">
        <f t="shared" si="38"/>
        <v>300.88511065995885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>
        <f>VLOOKUP(A18,'Données projet'!$A$113:$I$133,2,0)</f>
        <v>50</v>
      </c>
      <c r="BW18" s="12">
        <f>VLOOKUP(A18,'Données projet'!$A$113:$I$133,9,0)</f>
        <v>3.3333333333333335</v>
      </c>
      <c r="BX18" s="12">
        <f t="array" ref="BX18">INDEX(BW:BW,MIN(IF(ISNUMBER(BW18:BW214),ROW(BW18:BW214),"")))</f>
        <v>3.3333333333333335</v>
      </c>
      <c r="BY18" s="12">
        <f>IF('Données projet'!$A$114&gt;35,BY17+BX18-CG17,IF(A18&lt;'Données projet'!$A$114,$BV$205^A18,IF(A18='Données projet'!$A$114,'Données projet'!$B$114,BY17+BX18-CG17)))</f>
        <v>50</v>
      </c>
      <c r="BZ18" s="13">
        <f>BY18*VLOOKUP('Données projet'!$B$12,Paramètres!$A$1:$I$89,3,0)*VLOOKUP('Données projet'!$B$12,Paramètres!$A$1:$I$89,5,0)</f>
        <v>33.54</v>
      </c>
      <c r="CA18" s="13">
        <f t="shared" si="39"/>
        <v>10.269270252156668</v>
      </c>
      <c r="CB18" s="20">
        <f t="shared" si="10"/>
        <v>76.301145689172856</v>
      </c>
      <c r="CC18" s="59">
        <f t="shared" si="11"/>
        <v>280.79789562205389</v>
      </c>
      <c r="CD18" s="59">
        <f ca="1">AVERAGE(OFFSET($CC$3,0,0,'Données projet'!$E$12+1,1))-AVERAGE(OFFSET($H$3,0,0,'Données projet'!$E$12+1,1))</f>
        <v>335.73816489539837</v>
      </c>
      <c r="CE18" s="59">
        <f t="shared" si="40"/>
        <v>254.09787950201044</v>
      </c>
      <c r="CF18" s="15">
        <f>IF(ISNA(VLOOKUP(A18,'Données projet'!$A$113:$I$133,3,0)),0,VLOOKUP(A18,'Données projet'!$A$113:$I$133,3,0))</f>
        <v>1</v>
      </c>
      <c r="CG18" s="15">
        <f>IF(ISNA(VLOOKUP(A18,'Données projet'!$A$113:$I$133,4,0)),0,VLOOKUP(A18,'Données projet'!$A$113:$I$133,4,0))</f>
        <v>10.256410256410255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0.13250000000000001</v>
      </c>
      <c r="CJ18" s="16">
        <f>IF(ISNA(VLOOKUP(A18,'Données projet'!$A$113:$I$133,7,0)),0%,VLOOKUP(A18,'Données projet'!$A$113:$I$133,7,0))</f>
        <v>0.25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1.0037789148569478</v>
      </c>
      <c r="CM18" s="21">
        <f>EXP(-LN(2)/2)*CM17+(1-EXP(-LN(2)/2))/(LN(2)/2)*CG18*CJ18*VLOOKUP('Données projet'!$B$12,Paramètres!$A$1:$I$89,3,0)*0.475*44/12</f>
        <v>1.6228662931212676</v>
      </c>
      <c r="CN18" s="22">
        <f t="shared" si="12"/>
        <v>2.6266452079782154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7.2723529411764707</v>
      </c>
      <c r="CT18" s="12">
        <f>IF('Données projet'!$A$140&gt;35,CT17+CS18-DB17,IF(A18&lt;'Données projet'!$A$140,$CQ$205^A18,IF(A18='Données projet'!$A$140,'Données projet'!$B$140,CT17+CS18-DB17)))</f>
        <v>70.144181088230326</v>
      </c>
      <c r="CU18" s="17">
        <f>CT18*VLOOKUP('Données projet'!$B$13,Paramètres!$A$1:$I$89,3,0)*VLOOKUP('Données projet'!$B$13,Paramètres!$A$1:$I$89,5,0)</f>
        <v>41.946220290761737</v>
      </c>
      <c r="CV18" s="13">
        <f t="shared" si="41"/>
        <v>12.51305785014169</v>
      </c>
      <c r="CW18" s="20">
        <f t="shared" si="13"/>
        <v>94.849909428740133</v>
      </c>
      <c r="CX18" s="59">
        <f t="shared" si="14"/>
        <v>299.34665936162116</v>
      </c>
      <c r="CY18" s="59">
        <f ca="1">AVERAGE(OFFSET($CX$3,0,0,'Données projet'!$E$13+1,1))-AVERAGE(OFFSET($H$3,0,0,'Données projet'!$E$13+1,1))</f>
        <v>318.50474972254085</v>
      </c>
      <c r="CZ18" s="59">
        <f t="shared" si="42"/>
        <v>326.45858332753562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3">
        <f>'Scénario référence'!$B$16*5+'Scénario référence'!$B$17*0+'Scénario référence'!$B$18*5</f>
        <v>5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67">
        <f t="shared" si="1"/>
        <v>183.33333333333334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6.2820512820512819</v>
      </c>
      <c r="N19" s="13">
        <f>IF('Données projet'!$A$36&gt;35,N18+M19-V18,IF(A19&lt;'Données projet'!$A$36,$K$205^A19,IF(A19='Données projet'!$A$36,'Données projet'!$B$36,N18+M19-V18)))</f>
        <v>67.820512820512818</v>
      </c>
      <c r="O19" s="13">
        <f>N19*VLOOKUP('Données projet'!$B$9,Paramètres!$A$1:$I$89,3,0)*VLOOKUP('Données projet'!$B$9,Paramètres!$A$1:$I$89,5,0)</f>
        <v>61.36399999999999</v>
      </c>
      <c r="P19" s="13">
        <f t="shared" si="33"/>
        <v>17.512678542245744</v>
      </c>
      <c r="Q19" s="20">
        <f t="shared" si="2"/>
        <v>137.37688179441133</v>
      </c>
      <c r="R19" s="59">
        <f t="shared" si="0"/>
        <v>344.31892771652542</v>
      </c>
      <c r="S19" s="59">
        <f ca="1">AVERAGE(OFFSET($R$3,0,0,'Données projet'!$E$9+1,1))-AVERAGE(OFFSET($H$3,0,0,'Données projet'!$E$9+1,1))</f>
        <v>214.60547318405733</v>
      </c>
      <c r="T19" s="59">
        <f t="shared" si="34"/>
        <v>306.35874106546646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0.74114818922771852</v>
      </c>
      <c r="AA19" s="21">
        <f>EXP(-LN(2)/25)*AA18+(1-EXP(-LN(2)/25))/(LN(2)/25)*Calculateur!V19*Calculateur!X19*VLOOKUP('Données projet'!$B$9,Paramètres!$A$1:$I$89,3,0)*0.475*44/12</f>
        <v>2.8559322098089481</v>
      </c>
      <c r="AB19" s="21">
        <f>EXP(-LN(2)/2)*AB18+(1-EXP(-LN(2)/2))/(LN(2)/2)*V19*Y19*VLOOKUP('Données projet'!$B$9,Paramètres!$A$1:$I$89,3,0)*0.475*44/12</f>
        <v>0</v>
      </c>
      <c r="AC19" s="22">
        <f t="shared" si="3"/>
        <v>3.5970803990366669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4.0942857142857143</v>
      </c>
      <c r="AI19" s="13">
        <f>IF('Données projet'!$A$62&gt;35,AI18+AH19-AQ18,IF(A19&lt;'Données projet'!$A$62,$AF$205^A19,IF(A19='Données projet'!$A$62,'Données projet'!$B$62,AI18+AH19-AQ18)))</f>
        <v>65.508571428571457</v>
      </c>
      <c r="AJ19" s="13">
        <f>AI19*VLOOKUP('Données projet'!$B$10,Paramètres!$A$1:$I$89,3,0)*VLOOKUP('Données projet'!$B$10,Paramètres!$A$1:$I$89,5,0)</f>
        <v>66.425691428571454</v>
      </c>
      <c r="AK19" s="13">
        <f t="shared" si="35"/>
        <v>18.783141422895284</v>
      </c>
      <c r="AL19" s="20">
        <f t="shared" si="4"/>
        <v>148.40538388297122</v>
      </c>
      <c r="AM19" s="59">
        <f t="shared" si="5"/>
        <v>355.34742980508531</v>
      </c>
      <c r="AN19" s="59">
        <f ca="1">AVERAGE(OFFSET($AM$3,0,0,'Données projet'!$E$10+1,1))-AVERAGE(OFFSET($H$3,0,0,'Données projet'!$E$10+1,1))</f>
        <v>752.45542076695506</v>
      </c>
      <c r="AO19" s="59">
        <f t="shared" si="36"/>
        <v>329.70629768420724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4.0942857142857143</v>
      </c>
      <c r="BD19" s="12">
        <f>IF('Données projet'!$A$88&gt;35,BD18+BC19-BL18,IF(A19&lt;'Données projet'!$A$88,$BA$205^A19,IF(A19='Données projet'!$A$88,'Données projet'!$B$88,BD18+BC19-BL18)))</f>
        <v>65.508571428571457</v>
      </c>
      <c r="BE19" s="13">
        <f>BD19*VLOOKUP('Données projet'!$B$11,Paramètres!$A$1:$I$89,3,0)*VLOOKUP('Données projet'!$B$11,Paramètres!$A$1:$I$89,5,0)</f>
        <v>59.272155428571445</v>
      </c>
      <c r="BF19" s="13">
        <f t="shared" si="37"/>
        <v>16.984116557241595</v>
      </c>
      <c r="BG19" s="20">
        <f t="shared" si="7"/>
        <v>132.81300704195772</v>
      </c>
      <c r="BH19" s="59">
        <f t="shared" si="8"/>
        <v>339.75505296407175</v>
      </c>
      <c r="BI19" s="59">
        <f ca="1">AVERAGE(OFFSET($BH$3,0,0,'Données projet'!$E$11+1,1))-AVERAGE(OFFSET($H$3,0,0,'Données projet'!$E$11+1,1))</f>
        <v>681.47578137804555</v>
      </c>
      <c r="BJ19" s="59">
        <f t="shared" si="38"/>
        <v>300.88511065995885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8.2051282051282026</v>
      </c>
      <c r="BY19" s="12">
        <f>IF('Données projet'!$A$114&gt;35,BY18+BX19-CG18,IF(A19&lt;'Données projet'!$A$114,$BV$205^A19,IF(A19='Données projet'!$A$114,'Données projet'!$B$114,BY18+BX19-CG18)))</f>
        <v>47.948717948717949</v>
      </c>
      <c r="BZ19" s="13">
        <f>BY19*VLOOKUP('Données projet'!$B$12,Paramètres!$A$1:$I$89,3,0)*VLOOKUP('Données projet'!$B$12,Paramètres!$A$1:$I$89,5,0)</f>
        <v>32.164000000000001</v>
      </c>
      <c r="CA19" s="13">
        <f t="shared" si="39"/>
        <v>9.8961038488351694</v>
      </c>
      <c r="CB19" s="20">
        <f t="shared" si="10"/>
        <v>73.254680870054571</v>
      </c>
      <c r="CC19" s="59">
        <f t="shared" si="11"/>
        <v>280.19672679216865</v>
      </c>
      <c r="CD19" s="59">
        <f ca="1">AVERAGE(OFFSET($CC$3,0,0,'Données projet'!$E$12+1,1))-AVERAGE(OFFSET($H$3,0,0,'Données projet'!$E$12+1,1))</f>
        <v>335.73816489539837</v>
      </c>
      <c r="CE19" s="59">
        <f t="shared" si="40"/>
        <v>254.09787950201044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0.97633052764374562</v>
      </c>
      <c r="CM19" s="21">
        <f>EXP(-LN(2)/2)*CM18+(1-EXP(-LN(2)/2))/(LN(2)/2)*CG19*CJ19*VLOOKUP('Données projet'!$B$12,Paramètres!$A$1:$I$89,3,0)*0.475*44/12</f>
        <v>1.1475397608251237</v>
      </c>
      <c r="CN19" s="22">
        <f t="shared" si="12"/>
        <v>2.1238702884688694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7.2723529411764707</v>
      </c>
      <c r="CT19" s="12">
        <f>IF('Données projet'!$A$140&gt;35,CT18+CS19-DB18,IF(A19&lt;'Données projet'!$A$140,$CQ$205^A19,IF(A19='Données projet'!$A$140,'Données projet'!$B$140,CT18+CS19-DB18)))</f>
        <v>93.123171702524758</v>
      </c>
      <c r="CU19" s="17">
        <f>CT19*VLOOKUP('Données projet'!$B$13,Paramètres!$A$1:$I$89,3,0)*VLOOKUP('Données projet'!$B$13,Paramètres!$A$1:$I$89,5,0)</f>
        <v>55.687656678109811</v>
      </c>
      <c r="CV19" s="13">
        <f t="shared" si="41"/>
        <v>16.073285805897523</v>
      </c>
      <c r="CW19" s="20">
        <f t="shared" si="13"/>
        <v>124.98364149297942</v>
      </c>
      <c r="CX19" s="59">
        <f t="shared" si="14"/>
        <v>331.92568741509348</v>
      </c>
      <c r="CY19" s="59">
        <f ca="1">AVERAGE(OFFSET($CX$3,0,0,'Données projet'!$E$13+1,1))-AVERAGE(OFFSET($H$3,0,0,'Données projet'!$E$13+1,1))</f>
        <v>318.50474972254085</v>
      </c>
      <c r="CZ19" s="59">
        <f t="shared" si="42"/>
        <v>326.45858332753562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3">
        <f>'Scénario référence'!$B$16*5+'Scénario référence'!$B$17*0+'Scénario référence'!$B$18*5</f>
        <v>5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67">
        <f t="shared" si="1"/>
        <v>183.33333333333334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6.2820512820512819</v>
      </c>
      <c r="N20" s="13">
        <f>IF('Données projet'!$A$36&gt;35,N19+M20-V19,IF(A20&lt;'Données projet'!$A$36,$K$205^A20,IF(A20='Données projet'!$A$36,'Données projet'!$B$36,N19+M20-V19)))</f>
        <v>74.102564102564102</v>
      </c>
      <c r="O20" s="13">
        <f>N20*VLOOKUP('Données projet'!$B$9,Paramètres!$A$1:$I$89,3,0)*VLOOKUP('Données projet'!$B$9,Paramètres!$A$1:$I$89,5,0)</f>
        <v>67.048000000000002</v>
      </c>
      <c r="P20" s="13">
        <f t="shared" si="33"/>
        <v>18.938543777452278</v>
      </c>
      <c r="Q20" s="20">
        <f t="shared" si="2"/>
        <v>149.75989707906271</v>
      </c>
      <c r="R20" s="59">
        <f t="shared" si="0"/>
        <v>359.12602139493544</v>
      </c>
      <c r="S20" s="59">
        <f ca="1">AVERAGE(OFFSET($R$3,0,0,'Données projet'!$E$9+1,1))-AVERAGE(OFFSET($H$3,0,0,'Données projet'!$E$9+1,1))</f>
        <v>214.60547318405733</v>
      </c>
      <c r="T20" s="59">
        <f t="shared" si="34"/>
        <v>306.35874106546646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0.72661472529272164</v>
      </c>
      <c r="AA20" s="21">
        <f>EXP(-LN(2)/25)*AA19+(1-EXP(-LN(2)/25))/(LN(2)/25)*Calculateur!V20*Calculateur!X20*VLOOKUP('Données projet'!$B$9,Paramètres!$A$1:$I$89,3,0)*0.475*44/12</f>
        <v>2.7778365933447748</v>
      </c>
      <c r="AB20" s="21">
        <f>EXP(-LN(2)/2)*AB19+(1-EXP(-LN(2)/2))/(LN(2)/2)*V20*Y20*VLOOKUP('Données projet'!$B$9,Paramètres!$A$1:$I$89,3,0)*0.475*44/12</f>
        <v>0</v>
      </c>
      <c r="AC20" s="22">
        <f t="shared" si="3"/>
        <v>3.5044513186374964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4.0942857142857143</v>
      </c>
      <c r="AI20" s="13">
        <f>IF('Données projet'!$A$62&gt;35,AI19+AH20-AQ19,IF(A20&lt;'Données projet'!$A$62,$AF$205^A20,IF(A20='Données projet'!$A$62,'Données projet'!$B$62,AI19+AH20-AQ19)))</f>
        <v>69.602857142857175</v>
      </c>
      <c r="AJ20" s="13">
        <f>AI20*VLOOKUP('Données projet'!$B$10,Paramètres!$A$1:$I$89,3,0)*VLOOKUP('Données projet'!$B$10,Paramètres!$A$1:$I$89,5,0)</f>
        <v>70.577297142857176</v>
      </c>
      <c r="AK20" s="13">
        <f t="shared" si="35"/>
        <v>19.816752197053003</v>
      </c>
      <c r="AL20" s="20">
        <f t="shared" si="4"/>
        <v>157.43630260034357</v>
      </c>
      <c r="AM20" s="59">
        <f t="shared" si="5"/>
        <v>366.80242691621629</v>
      </c>
      <c r="AN20" s="59">
        <f ca="1">AVERAGE(OFFSET($AM$3,0,0,'Données projet'!$E$10+1,1))-AVERAGE(OFFSET($H$3,0,0,'Données projet'!$E$10+1,1))</f>
        <v>752.45542076695506</v>
      </c>
      <c r="AO20" s="59">
        <f t="shared" si="36"/>
        <v>329.70629768420724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4.0942857142857143</v>
      </c>
      <c r="BD20" s="12">
        <f>IF('Données projet'!$A$88&gt;35,BD19+BC20-BL19,IF(A20&lt;'Données projet'!$A$88,$BA$205^A20,IF(A20='Données projet'!$A$88,'Données projet'!$B$88,BD19+BC20-BL19)))</f>
        <v>69.602857142857175</v>
      </c>
      <c r="BE20" s="13">
        <f>BD20*VLOOKUP('Données projet'!$B$11,Paramètres!$A$1:$I$89,3,0)*VLOOKUP('Données projet'!$B$11,Paramètres!$A$1:$I$89,5,0)</f>
        <v>62.976665142857165</v>
      </c>
      <c r="BF20" s="13">
        <f t="shared" si="37"/>
        <v>17.918729435240664</v>
      </c>
      <c r="BG20" s="20">
        <f t="shared" si="7"/>
        <v>140.89281222352039</v>
      </c>
      <c r="BH20" s="59">
        <f t="shared" si="8"/>
        <v>350.25893653939312</v>
      </c>
      <c r="BI20" s="59">
        <f ca="1">AVERAGE(OFFSET($BH$3,0,0,'Données projet'!$E$11+1,1))-AVERAGE(OFFSET($H$3,0,0,'Données projet'!$E$11+1,1))</f>
        <v>681.47578137804555</v>
      </c>
      <c r="BJ20" s="59">
        <f t="shared" si="38"/>
        <v>300.88511065995885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8.2051282051282026</v>
      </c>
      <c r="BY20" s="12">
        <f>IF('Données projet'!$A$114&gt;35,BY19+BX20-CG19,IF(A20&lt;'Données projet'!$A$114,$BV$205^A20,IF(A20='Données projet'!$A$114,'Données projet'!$B$114,BY19+BX20-CG19)))</f>
        <v>56.153846153846153</v>
      </c>
      <c r="BZ20" s="13">
        <f>BY20*VLOOKUP('Données projet'!$B$12,Paramètres!$A$1:$I$89,3,0)*VLOOKUP('Données projet'!$B$12,Paramètres!$A$1:$I$89,5,0)</f>
        <v>37.667999999999999</v>
      </c>
      <c r="CA20" s="13">
        <f t="shared" si="39"/>
        <v>11.378405853001878</v>
      </c>
      <c r="CB20" s="20">
        <f t="shared" si="10"/>
        <v>85.422490193978277</v>
      </c>
      <c r="CC20" s="59">
        <f t="shared" si="11"/>
        <v>294.78861450985102</v>
      </c>
      <c r="CD20" s="59">
        <f ca="1">AVERAGE(OFFSET($CC$3,0,0,'Données projet'!$E$12+1,1))-AVERAGE(OFFSET($H$3,0,0,'Données projet'!$E$12+1,1))</f>
        <v>335.73816489539837</v>
      </c>
      <c r="CE20" s="59">
        <f t="shared" si="40"/>
        <v>254.09787950201044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0.9496327180223364</v>
      </c>
      <c r="CM20" s="21">
        <f>EXP(-LN(2)/2)*CM19+(1-EXP(-LN(2)/2))/(LN(2)/2)*CG20*CJ20*VLOOKUP('Données projet'!$B$12,Paramètres!$A$1:$I$89,3,0)*0.475*44/12</f>
        <v>0.81143314656063381</v>
      </c>
      <c r="CN20" s="22">
        <f t="shared" si="12"/>
        <v>1.7610658645829702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>
        <f>VLOOKUP(A20,'Données projet'!$A$139:$I$159,2,0)</f>
        <v>123.63</v>
      </c>
      <c r="CR20" s="12">
        <f>VLOOKUP(A20,'Données projet'!$A$139:$I$159,9,0)</f>
        <v>7.2723529411764707</v>
      </c>
      <c r="CS20" s="12">
        <f t="array" ref="CS20">INDEX(CR:CR,MIN(IF(ISNUMBER(CR20:CR216),ROW(CR20:CR216),"")))</f>
        <v>7.2723529411764707</v>
      </c>
      <c r="CT20" s="12">
        <f>IF('Données projet'!$A$140&gt;35,CT19+CS20-DB19,IF(A20&lt;'Données projet'!$A$140,$CQ$205^A20,IF(A20='Données projet'!$A$140,'Données projet'!$B$140,CT19+CS20-DB19)))</f>
        <v>123.63</v>
      </c>
      <c r="CU20" s="17">
        <f>CT20*VLOOKUP('Données projet'!$B$13,Paramètres!$A$1:$I$89,3,0)*VLOOKUP('Données projet'!$B$13,Paramètres!$A$1:$I$89,5,0)</f>
        <v>73.93074</v>
      </c>
      <c r="CV20" s="13">
        <f t="shared" si="41"/>
        <v>20.646473443351134</v>
      </c>
      <c r="CW20" s="20">
        <f t="shared" si="13"/>
        <v>164.72198008050322</v>
      </c>
      <c r="CX20" s="59">
        <f t="shared" si="14"/>
        <v>374.08810439637591</v>
      </c>
      <c r="CY20" s="59">
        <f ca="1">AVERAGE(OFFSET($CX$3,0,0,'Données projet'!$E$13+1,1))-AVERAGE(OFFSET($H$3,0,0,'Données projet'!$E$13+1,1))</f>
        <v>318.50474972254085</v>
      </c>
      <c r="CZ20" s="59">
        <f t="shared" si="42"/>
        <v>326.45858332753562</v>
      </c>
      <c r="DA20" s="15">
        <f>IF(ISNA(VLOOKUP(A20,'Données projet'!$A$139:$I$159,3,0)),0,VLOOKUP(A20,'Données projet'!$A$139:$I$159,3,0))</f>
        <v>1</v>
      </c>
      <c r="DB20" s="15">
        <f>IF(ISNA(VLOOKUP(A20,'Données projet'!$A$139:$I$159,4,0)),0,VLOOKUP(A20,'Données projet'!$A$139:$I$159,4,0))</f>
        <v>41.179999999999993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0.22500000000000001</v>
      </c>
      <c r="DE20" s="16">
        <f>IF(ISNA(VLOOKUP(A20,'Données projet'!$A$139:$I$159,7,0)),0%,VLOOKUP(A20,'Données projet'!$A$139:$I$159,7,0))</f>
        <v>0.5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7.3212467235098906</v>
      </c>
      <c r="DH20" s="21">
        <f>EXP(-LN(2)/2)*DH19+(1-EXP(-LN(2)/2))/(LN(2)/2)*DB20*DE20*VLOOKUP('Données projet'!$B$13,Paramètres!$A$1:$I$89,3,0)*0.475*44/12</f>
        <v>13.940972477629819</v>
      </c>
      <c r="DI20" s="22">
        <f t="shared" si="15"/>
        <v>21.262219201139708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3">
        <f>'Scénario référence'!$B$16*5+'Scénario référence'!$B$17*0+'Scénario référence'!$B$18*5</f>
        <v>5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67">
        <f t="shared" si="1"/>
        <v>183.33333333333334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6.2820512820512819</v>
      </c>
      <c r="N21" s="13">
        <f>IF('Données projet'!$A$36&gt;35,N20+M21-V20,IF(A21&lt;'Données projet'!$A$36,$K$205^A21,IF(A21='Données projet'!$A$36,'Données projet'!$B$36,N20+M21-V20)))</f>
        <v>80.384615384615387</v>
      </c>
      <c r="O21" s="13">
        <f>N21*VLOOKUP('Données projet'!$B$9,Paramètres!$A$1:$I$89,3,0)*VLOOKUP('Données projet'!$B$9,Paramètres!$A$1:$I$89,5,0)</f>
        <v>72.731999999999999</v>
      </c>
      <c r="P21" s="13">
        <f t="shared" si="33"/>
        <v>20.35039031201395</v>
      </c>
      <c r="Q21" s="20">
        <f t="shared" si="2"/>
        <v>162.11849646009097</v>
      </c>
      <c r="R21" s="59">
        <f t="shared" si="0"/>
        <v>373.88784965209408</v>
      </c>
      <c r="S21" s="59">
        <f ca="1">AVERAGE(OFFSET($R$3,0,0,'Données projet'!$E$9+1,1))-AVERAGE(OFFSET($H$3,0,0,'Données projet'!$E$9+1,1))</f>
        <v>214.60547318405733</v>
      </c>
      <c r="T21" s="59">
        <f t="shared" si="34"/>
        <v>306.35874106546646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0.7123662537209523</v>
      </c>
      <c r="AA21" s="21">
        <f>EXP(-LN(2)/25)*AA20+(1-EXP(-LN(2)/25))/(LN(2)/25)*Calculateur!V21*Calculateur!X21*VLOOKUP('Données projet'!$B$9,Paramètres!$A$1:$I$89,3,0)*0.475*44/12</f>
        <v>2.7018765056196843</v>
      </c>
      <c r="AB21" s="21">
        <f>EXP(-LN(2)/2)*AB20+(1-EXP(-LN(2)/2))/(LN(2)/2)*V21*Y21*VLOOKUP('Données projet'!$B$9,Paramètres!$A$1:$I$89,3,0)*0.475*44/12</f>
        <v>0</v>
      </c>
      <c r="AC21" s="22">
        <f t="shared" si="3"/>
        <v>3.4142427593406364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4.0942857142857143</v>
      </c>
      <c r="AI21" s="13">
        <f>IF('Données projet'!$A$62&gt;35,AI20+AH21-AQ20,IF(A21&lt;'Données projet'!$A$62,$AF$205^A21,IF(A21='Données projet'!$A$62,'Données projet'!$B$62,AI20+AH21-AQ20)))</f>
        <v>73.697142857142893</v>
      </c>
      <c r="AJ21" s="13">
        <f>AI21*VLOOKUP('Données projet'!$B$10,Paramètres!$A$1:$I$89,3,0)*VLOOKUP('Données projet'!$B$10,Paramètres!$A$1:$I$89,5,0)</f>
        <v>74.728902857142899</v>
      </c>
      <c r="AK21" s="13">
        <f t="shared" si="35"/>
        <v>20.843305655503205</v>
      </c>
      <c r="AL21" s="20">
        <f t="shared" si="4"/>
        <v>166.45492982619194</v>
      </c>
      <c r="AM21" s="59">
        <f t="shared" si="5"/>
        <v>378.22428301819502</v>
      </c>
      <c r="AN21" s="59">
        <f ca="1">AVERAGE(OFFSET($AM$3,0,0,'Données projet'!$E$10+1,1))-AVERAGE(OFFSET($H$3,0,0,'Données projet'!$E$10+1,1))</f>
        <v>752.45542076695506</v>
      </c>
      <c r="AO21" s="59">
        <f t="shared" si="36"/>
        <v>329.70629768420724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4.0942857142857143</v>
      </c>
      <c r="BD21" s="12">
        <f>IF('Données projet'!$A$88&gt;35,BD20+BC21-BL20,IF(A21&lt;'Données projet'!$A$88,$BA$205^A21,IF(A21='Données projet'!$A$88,'Données projet'!$B$88,BD20+BC21-BL20)))</f>
        <v>73.697142857142893</v>
      </c>
      <c r="BE21" s="13">
        <f>BD21*VLOOKUP('Données projet'!$B$11,Paramètres!$A$1:$I$89,3,0)*VLOOKUP('Données projet'!$B$11,Paramètres!$A$1:$I$89,5,0)</f>
        <v>66.681174857142892</v>
      </c>
      <c r="BF21" s="13">
        <f t="shared" si="37"/>
        <v>18.846960938055496</v>
      </c>
      <c r="BG21" s="20">
        <f t="shared" si="7"/>
        <v>148.96150317663719</v>
      </c>
      <c r="BH21" s="59">
        <f t="shared" si="8"/>
        <v>360.73085636864027</v>
      </c>
      <c r="BI21" s="59">
        <f ca="1">AVERAGE(OFFSET($BH$3,0,0,'Données projet'!$E$11+1,1))-AVERAGE(OFFSET($H$3,0,0,'Données projet'!$E$11+1,1))</f>
        <v>681.47578137804555</v>
      </c>
      <c r="BJ21" s="59">
        <f t="shared" si="38"/>
        <v>300.88511065995885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8.2051282051282026</v>
      </c>
      <c r="BY21" s="12">
        <f>IF('Données projet'!$A$114&gt;35,BY20+BX21-CG20,IF(A21&lt;'Données projet'!$A$114,$BV$205^A21,IF(A21='Données projet'!$A$114,'Données projet'!$B$114,BY20+BX21-CG20)))</f>
        <v>64.358974358974351</v>
      </c>
      <c r="BZ21" s="13">
        <f>BY21*VLOOKUP('Données projet'!$B$12,Paramètres!$A$1:$I$89,3,0)*VLOOKUP('Données projet'!$B$12,Paramètres!$A$1:$I$89,5,0)</f>
        <v>43.171999999999997</v>
      </c>
      <c r="CA21" s="13">
        <f t="shared" si="39"/>
        <v>12.835615554374531</v>
      </c>
      <c r="CB21" s="20">
        <f t="shared" si="10"/>
        <v>97.546597090535627</v>
      </c>
      <c r="CC21" s="59">
        <f t="shared" si="11"/>
        <v>309.31595028253872</v>
      </c>
      <c r="CD21" s="59">
        <f ca="1">AVERAGE(OFFSET($CC$3,0,0,'Données projet'!$E$12+1,1))-AVERAGE(OFFSET($H$3,0,0,'Données projet'!$E$12+1,1))</f>
        <v>335.73816489539837</v>
      </c>
      <c r="CE21" s="59">
        <f t="shared" si="40"/>
        <v>254.09787950201044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0.92366496140900134</v>
      </c>
      <c r="CM21" s="21">
        <f>EXP(-LN(2)/2)*CM20+(1-EXP(-LN(2)/2))/(LN(2)/2)*CG21*CJ21*VLOOKUP('Données projet'!$B$12,Paramètres!$A$1:$I$89,3,0)*0.475*44/12</f>
        <v>0.57376988041256183</v>
      </c>
      <c r="CN21" s="22">
        <f t="shared" si="12"/>
        <v>1.4974348418215633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17.793333333333333</v>
      </c>
      <c r="CT21" s="12">
        <f>IF('Données projet'!$A$140&gt;35,CT20+CS21-DB20,IF(A21&lt;'Données projet'!$A$140,$CQ$205^A21,IF(A21='Données projet'!$A$140,'Données projet'!$B$140,CT20+CS21-DB20)))</f>
        <v>100.24333333333333</v>
      </c>
      <c r="CU21" s="17">
        <f>CT21*VLOOKUP('Données projet'!$B$13,Paramètres!$A$1:$I$89,3,0)*VLOOKUP('Données projet'!$B$13,Paramètres!$A$1:$I$89,5,0)</f>
        <v>59.945513333333338</v>
      </c>
      <c r="CV21" s="13">
        <f t="shared" si="41"/>
        <v>17.15449234531231</v>
      </c>
      <c r="CW21" s="20">
        <f t="shared" si="13"/>
        <v>134.28250989030781</v>
      </c>
      <c r="CX21" s="59">
        <f t="shared" si="14"/>
        <v>346.05186308231089</v>
      </c>
      <c r="CY21" s="59">
        <f ca="1">AVERAGE(OFFSET($CX$3,0,0,'Données projet'!$E$13+1,1))-AVERAGE(OFFSET($H$3,0,0,'Données projet'!$E$13+1,1))</f>
        <v>318.50474972254085</v>
      </c>
      <c r="CZ21" s="59">
        <f t="shared" si="42"/>
        <v>326.45858332753562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7.1210468468478805</v>
      </c>
      <c r="DH21" s="21">
        <f>EXP(-LN(2)/2)*DH20+(1-EXP(-LN(2)/2))/(LN(2)/2)*DB21*DE21*VLOOKUP('Données projet'!$B$13,Paramètres!$A$1:$I$89,3,0)*0.475*44/12</f>
        <v>9.8577561752670704</v>
      </c>
      <c r="DI21" s="22">
        <f t="shared" si="15"/>
        <v>16.978803022114953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3">
        <f>'Scénario référence'!$B$16*5+'Scénario référence'!$B$17*0+'Scénario référence'!$B$18*5</f>
        <v>5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67">
        <f t="shared" si="1"/>
        <v>183.33333333333334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6.2820512820512819</v>
      </c>
      <c r="N22" s="13">
        <f>IF('Données projet'!$A$36&gt;35,N21+M22-V21,IF(A22&lt;'Données projet'!$A$36,$K$205^A22,IF(A22='Données projet'!$A$36,'Données projet'!$B$36,N21+M22-V21)))</f>
        <v>86.666666666666671</v>
      </c>
      <c r="O22" s="13">
        <f>N22*VLOOKUP('Données projet'!$B$9,Paramètres!$A$1:$I$89,3,0)*VLOOKUP('Données projet'!$B$9,Paramètres!$A$1:$I$89,5,0)</f>
        <v>78.415999999999997</v>
      </c>
      <c r="P22" s="13">
        <f t="shared" si="33"/>
        <v>21.749438265868008</v>
      </c>
      <c r="Q22" s="20">
        <f t="shared" si="2"/>
        <v>174.45480497972014</v>
      </c>
      <c r="R22" s="59">
        <f t="shared" si="0"/>
        <v>388.60689922274366</v>
      </c>
      <c r="S22" s="59">
        <f ca="1">AVERAGE(OFFSET($R$3,0,0,'Données projet'!$E$9+1,1))-AVERAGE(OFFSET($H$3,0,0,'Données projet'!$E$9+1,1))</f>
        <v>214.60547318405733</v>
      </c>
      <c r="T22" s="59">
        <f t="shared" si="34"/>
        <v>306.35874106546646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0.69839718598599587</v>
      </c>
      <c r="AA22" s="21">
        <f>EXP(-LN(2)/25)*AA21+(1-EXP(-LN(2)/25))/(LN(2)/25)*Calculateur!V22*Calculateur!X22*VLOOKUP('Données projet'!$B$9,Paramètres!$A$1:$I$89,3,0)*0.475*44/12</f>
        <v>2.6279935504880036</v>
      </c>
      <c r="AB22" s="21">
        <f>EXP(-LN(2)/2)*AB21+(1-EXP(-LN(2)/2))/(LN(2)/2)*V22*Y22*VLOOKUP('Données projet'!$B$9,Paramètres!$A$1:$I$89,3,0)*0.475*44/12</f>
        <v>0</v>
      </c>
      <c r="AC22" s="22">
        <f t="shared" si="3"/>
        <v>3.3263907364739995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4.0942857142857143</v>
      </c>
      <c r="AI22" s="13">
        <f>IF('Données projet'!$A$62&gt;35,AI21+AH22-AQ21,IF(A22&lt;'Données projet'!$A$62,$AF$205^A22,IF(A22='Données projet'!$A$62,'Données projet'!$B$62,AI21+AH22-AQ21)))</f>
        <v>77.791428571428611</v>
      </c>
      <c r="AJ22" s="13">
        <f>AI22*VLOOKUP('Données projet'!$B$10,Paramètres!$A$1:$I$89,3,0)*VLOOKUP('Données projet'!$B$10,Paramètres!$A$1:$I$89,5,0)</f>
        <v>78.880508571428621</v>
      </c>
      <c r="AK22" s="13">
        <f t="shared" si="35"/>
        <v>21.863238557926771</v>
      </c>
      <c r="AL22" s="20">
        <f t="shared" si="4"/>
        <v>175.462026250294</v>
      </c>
      <c r="AM22" s="59">
        <f t="shared" si="5"/>
        <v>389.6141204933175</v>
      </c>
      <c r="AN22" s="59">
        <f ca="1">AVERAGE(OFFSET($AM$3,0,0,'Données projet'!$E$10+1,1))-AVERAGE(OFFSET($H$3,0,0,'Données projet'!$E$10+1,1))</f>
        <v>752.45542076695506</v>
      </c>
      <c r="AO22" s="59">
        <f t="shared" si="36"/>
        <v>329.70629768420724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4.0942857142857143</v>
      </c>
      <c r="BD22" s="12">
        <f>IF('Données projet'!$A$88&gt;35,BD21+BC22-BL21,IF(A22&lt;'Données projet'!$A$88,$BA$205^A22,IF(A22='Données projet'!$A$88,'Données projet'!$B$88,BD21+BC22-BL21)))</f>
        <v>77.791428571428611</v>
      </c>
      <c r="BE22" s="13">
        <f>BD22*VLOOKUP('Données projet'!$B$11,Paramètres!$A$1:$I$89,3,0)*VLOOKUP('Données projet'!$B$11,Paramètres!$A$1:$I$89,5,0)</f>
        <v>70.385684571428612</v>
      </c>
      <c r="BF22" s="13">
        <f t="shared" si="37"/>
        <v>19.769205993092573</v>
      </c>
      <c r="BG22" s="20">
        <f t="shared" si="7"/>
        <v>157.01976773320771</v>
      </c>
      <c r="BH22" s="59">
        <f t="shared" si="8"/>
        <v>371.17186197623124</v>
      </c>
      <c r="BI22" s="59">
        <f ca="1">AVERAGE(OFFSET($BH$3,0,0,'Données projet'!$E$11+1,1))-AVERAGE(OFFSET($H$3,0,0,'Données projet'!$E$11+1,1))</f>
        <v>681.47578137804555</v>
      </c>
      <c r="BJ22" s="59">
        <f t="shared" si="38"/>
        <v>300.88511065995885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8.2051282051282026</v>
      </c>
      <c r="BY22" s="12">
        <f>IF('Données projet'!$A$114&gt;35,BY21+BX22-CG21,IF(A22&lt;'Données projet'!$A$114,$BV$205^A22,IF(A22='Données projet'!$A$114,'Données projet'!$B$114,BY21+BX22-CG21)))</f>
        <v>72.564102564102555</v>
      </c>
      <c r="BZ22" s="13">
        <f>BY22*VLOOKUP('Données projet'!$B$12,Paramètres!$A$1:$I$89,3,0)*VLOOKUP('Données projet'!$B$12,Paramètres!$A$1:$I$89,5,0)</f>
        <v>48.675999999999995</v>
      </c>
      <c r="CA22" s="13">
        <f t="shared" si="39"/>
        <v>14.27129866437352</v>
      </c>
      <c r="CB22" s="20">
        <f t="shared" si="10"/>
        <v>109.63321184045054</v>
      </c>
      <c r="CC22" s="59">
        <f t="shared" si="11"/>
        <v>323.7853060834741</v>
      </c>
      <c r="CD22" s="59">
        <f ca="1">AVERAGE(OFFSET($CC$3,0,0,'Données projet'!$E$12+1,1))-AVERAGE(OFFSET($H$3,0,0,'Données projet'!$E$12+1,1))</f>
        <v>335.73816489539837</v>
      </c>
      <c r="CE22" s="59">
        <f t="shared" si="40"/>
        <v>254.09787950201044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0.89840729446584289</v>
      </c>
      <c r="CM22" s="21">
        <f>EXP(-LN(2)/2)*CM21+(1-EXP(-LN(2)/2))/(LN(2)/2)*CG22*CJ22*VLOOKUP('Données projet'!$B$12,Paramètres!$A$1:$I$89,3,0)*0.475*44/12</f>
        <v>0.40571657328031691</v>
      </c>
      <c r="CN22" s="22">
        <f t="shared" si="12"/>
        <v>1.3041238677461597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17.793333333333333</v>
      </c>
      <c r="CT22" s="12">
        <f>IF('Données projet'!$A$140&gt;35,CT21+CS22-DB21,IF(A22&lt;'Données projet'!$A$140,$CQ$205^A22,IF(A22='Données projet'!$A$140,'Données projet'!$B$140,CT21+CS22-DB21)))</f>
        <v>118.03666666666666</v>
      </c>
      <c r="CU22" s="17">
        <f>CT22*VLOOKUP('Données projet'!$B$13,Paramètres!$A$1:$I$89,3,0)*VLOOKUP('Données projet'!$B$13,Paramètres!$A$1:$I$89,5,0)</f>
        <v>70.585926666666666</v>
      </c>
      <c r="CV22" s="13">
        <f t="shared" si="41"/>
        <v>19.818893148924182</v>
      </c>
      <c r="CW22" s="20">
        <f t="shared" si="13"/>
        <v>157.45506117882073</v>
      </c>
      <c r="CX22" s="59">
        <f t="shared" si="14"/>
        <v>371.60715542184425</v>
      </c>
      <c r="CY22" s="59">
        <f ca="1">AVERAGE(OFFSET($CX$3,0,0,'Données projet'!$E$13+1,1))-AVERAGE(OFFSET($H$3,0,0,'Données projet'!$E$13+1,1))</f>
        <v>318.50474972254085</v>
      </c>
      <c r="CZ22" s="59">
        <f t="shared" si="42"/>
        <v>326.45858332753562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6.9263214463412472</v>
      </c>
      <c r="DH22" s="21">
        <f>EXP(-LN(2)/2)*DH21+(1-EXP(-LN(2)/2))/(LN(2)/2)*DB22*DE22*VLOOKUP('Données projet'!$B$13,Paramètres!$A$1:$I$89,3,0)*0.475*44/12</f>
        <v>6.9704862388149103</v>
      </c>
      <c r="DI22" s="22">
        <f t="shared" si="15"/>
        <v>13.896807685156158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3">
        <f>'Scénario référence'!$B$16*5+'Scénario référence'!$B$17*0+'Scénario référence'!$B$18*5</f>
        <v>5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67">
        <f t="shared" si="1"/>
        <v>183.33333333333334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92.948717948717942</v>
      </c>
      <c r="L23" s="12">
        <f>VLOOKUP(A23,'Données projet'!$A$35:$I$55,9,0)</f>
        <v>6.2820512820512819</v>
      </c>
      <c r="M23" s="12">
        <f t="array" ref="M23">INDEX(L:L,MIN(IF(ISNUMBER(L23:L219),ROW(L23:L219),"")))</f>
        <v>6.2820512820512819</v>
      </c>
      <c r="N23" s="13">
        <f>IF('Données projet'!$A$36&gt;35,N22+M23-V22,IF(A23&lt;'Données projet'!$A$36,$K$205^A23,IF(A23='Données projet'!$A$36,'Données projet'!$B$36,N22+M23-V22)))</f>
        <v>92.948717948717956</v>
      </c>
      <c r="O23" s="13">
        <f>N23*VLOOKUP('Données projet'!$B$9,Paramètres!$A$1:$I$89,3,0)*VLOOKUP('Données projet'!$B$9,Paramètres!$A$1:$I$89,5,0)</f>
        <v>84.1</v>
      </c>
      <c r="P23" s="13">
        <f t="shared" si="33"/>
        <v>23.136720850470709</v>
      </c>
      <c r="Q23" s="20">
        <f t="shared" si="2"/>
        <v>186.77062214790314</v>
      </c>
      <c r="R23" s="59">
        <f t="shared" si="0"/>
        <v>403.28532503479886</v>
      </c>
      <c r="S23" s="59">
        <f ca="1">AVERAGE(OFFSET($R$3,0,0,'Données projet'!$E$9+1,1))-AVERAGE(OFFSET($H$3,0,0,'Données projet'!$E$9+1,1))</f>
        <v>214.60547318405733</v>
      </c>
      <c r="T23" s="59">
        <f t="shared" si="34"/>
        <v>306.35874106546646</v>
      </c>
      <c r="U23" s="15">
        <f>IF(ISNA(VLOOKUP(A23,'Données projet'!$A$35:$I$55,3,0)),0,VLOOKUP(A23,'Données projet'!$A$35:$I$55,3,0))</f>
        <v>4</v>
      </c>
      <c r="V23" s="15">
        <f>IF(ISNA(VLOOKUP(A23,'Données projet'!$A$35:$I$55,4,0)),0,VLOOKUP(A23,'Données projet'!$A$35:$I$55,4,0))</f>
        <v>8.9743589743589745</v>
      </c>
      <c r="W23" s="16">
        <f>IF(ISNA(VLOOKUP(A23,'Données projet'!$A$35:$I$55,5,0)),0%,VLOOKUP(A23,'Données projet'!$A$35:$I$55,5,0)*VLOOKUP('Données projet'!$B$9,Paramètres!$A$1:$I$89,7,0))</f>
        <v>0.03</v>
      </c>
      <c r="X23" s="16">
        <f>IF(ISNA(VLOOKUP(A23,'Données projet'!$A$35:$I$55,6,0)),0%,VLOOKUP(A23,'Données projet'!$A$35:$I$55,6,0)*VLOOKUP('Données projet'!$B$9,Paramètres!$A$1:$I$89,7,0))</f>
        <v>0.12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0.95399462760325859</v>
      </c>
      <c r="AA23" s="21">
        <f>EXP(-LN(2)/25)*AA22+(1-EXP(-LN(2)/25))/(LN(2)/25)*Calculateur!V23*Calculateur!X23*VLOOKUP('Données projet'!$B$9,Paramètres!$A$1:$I$89,3,0)*0.475*44/12</f>
        <v>3.6290600364125805</v>
      </c>
      <c r="AB23" s="21">
        <f>EXP(-LN(2)/2)*AB22+(1-EXP(-LN(2)/2))/(LN(2)/2)*V23*Y23*VLOOKUP('Données projet'!$B$9,Paramètres!$A$1:$I$89,3,0)*0.475*44/12</f>
        <v>0</v>
      </c>
      <c r="AC23" s="22">
        <f t="shared" si="3"/>
        <v>4.5830546640158394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4.0942857142857143</v>
      </c>
      <c r="AI23" s="13">
        <f>IF('Données projet'!$A$62&gt;35,AI22+AH23-AQ22,IF(A23&lt;'Données projet'!$A$62,$AF$205^A23,IF(A23='Données projet'!$A$62,'Données projet'!$B$62,AI22+AH23-AQ22)))</f>
        <v>81.885714285714329</v>
      </c>
      <c r="AJ23" s="13">
        <f>AI23*VLOOKUP('Données projet'!$B$10,Paramètres!$A$1:$I$89,3,0)*VLOOKUP('Données projet'!$B$10,Paramètres!$A$1:$I$89,5,0)</f>
        <v>83.032114285714343</v>
      </c>
      <c r="AK23" s="13">
        <f t="shared" si="35"/>
        <v>22.876939092662138</v>
      </c>
      <c r="AL23" s="20">
        <f t="shared" si="4"/>
        <v>184.45826796733903</v>
      </c>
      <c r="AM23" s="59">
        <f t="shared" si="5"/>
        <v>400.97297085423475</v>
      </c>
      <c r="AN23" s="59">
        <f ca="1">AVERAGE(OFFSET($AM$3,0,0,'Données projet'!$E$10+1,1))-AVERAGE(OFFSET($H$3,0,0,'Données projet'!$E$10+1,1))</f>
        <v>752.45542076695506</v>
      </c>
      <c r="AO23" s="59">
        <f t="shared" si="36"/>
        <v>329.70629768420724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4.0942857142857143</v>
      </c>
      <c r="BD23" s="12">
        <f>IF('Données projet'!$A$88&gt;35,BD22+BC23-BL22,IF(A23&lt;'Données projet'!$A$88,$BA$205^A23,IF(A23='Données projet'!$A$88,'Données projet'!$B$88,BD22+BC23-BL22)))</f>
        <v>81.885714285714329</v>
      </c>
      <c r="BE23" s="13">
        <f>BD23*VLOOKUP('Données projet'!$B$11,Paramètres!$A$1:$I$89,3,0)*VLOOKUP('Données projet'!$B$11,Paramètres!$A$1:$I$89,5,0)</f>
        <v>74.090194285714318</v>
      </c>
      <c r="BF23" s="13">
        <f t="shared" si="37"/>
        <v>20.685815608516002</v>
      </c>
      <c r="BG23" s="20">
        <f t="shared" si="7"/>
        <v>165.06821723245113</v>
      </c>
      <c r="BH23" s="59">
        <f t="shared" si="8"/>
        <v>381.58292011934685</v>
      </c>
      <c r="BI23" s="59">
        <f ca="1">AVERAGE(OFFSET($BH$3,0,0,'Données projet'!$E$11+1,1))-AVERAGE(OFFSET($H$3,0,0,'Données projet'!$E$11+1,1))</f>
        <v>681.47578137804555</v>
      </c>
      <c r="BJ23" s="59">
        <f t="shared" si="38"/>
        <v>300.88511065995885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>
        <f>VLOOKUP(A23,'Données projet'!$A$113:$I$133,2,0)</f>
        <v>80.769230769230759</v>
      </c>
      <c r="BW23" s="12">
        <f>VLOOKUP(A23,'Données projet'!$A$113:$I$133,9,0)</f>
        <v>8.2051282051282026</v>
      </c>
      <c r="BX23" s="12">
        <f t="array" ref="BX23">INDEX(BW:BW,MIN(IF(ISNUMBER(BW23:BW219),ROW(BW23:BW219),"")))</f>
        <v>8.2051282051282026</v>
      </c>
      <c r="BY23" s="12">
        <f>IF('Données projet'!$A$114&gt;35,BY22+BX23-CG22,IF(A23&lt;'Données projet'!$A$114,$BV$205^A23,IF(A23='Données projet'!$A$114,'Données projet'!$B$114,BY22+BX23-CG22)))</f>
        <v>80.769230769230759</v>
      </c>
      <c r="BZ23" s="13">
        <f>BY23*VLOOKUP('Données projet'!$B$12,Paramètres!$A$1:$I$89,3,0)*VLOOKUP('Données projet'!$B$12,Paramètres!$A$1:$I$89,5,0)</f>
        <v>54.179999999999993</v>
      </c>
      <c r="CA23" s="13">
        <f t="shared" si="39"/>
        <v>15.688167077713722</v>
      </c>
      <c r="CB23" s="20">
        <f t="shared" si="10"/>
        <v>121.68705766035139</v>
      </c>
      <c r="CC23" s="59">
        <f t="shared" si="11"/>
        <v>338.20176054724709</v>
      </c>
      <c r="CD23" s="59">
        <f ca="1">AVERAGE(OFFSET($CC$3,0,0,'Données projet'!$E$12+1,1))-AVERAGE(OFFSET($H$3,0,0,'Données projet'!$E$12+1,1))</f>
        <v>335.73816489539837</v>
      </c>
      <c r="CE23" s="59">
        <f t="shared" si="40"/>
        <v>254.09787950201044</v>
      </c>
      <c r="CF23" s="15">
        <f>IF(ISNA(VLOOKUP(A23,'Données projet'!$A$113:$I$133,3,0)),0,VLOOKUP(A23,'Données projet'!$A$113:$I$133,3,0))</f>
        <v>2</v>
      </c>
      <c r="CG23" s="15">
        <f>IF(ISNA(VLOOKUP(A23,'Données projet'!$A$113:$I$133,4,0)),0,VLOOKUP(A23,'Données projet'!$A$113:$I$133,4,0))</f>
        <v>14.102564102564102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0.13250000000000001</v>
      </c>
      <c r="CJ23" s="16">
        <f>IF(ISNA(VLOOKUP(A23,'Données projet'!$A$113:$I$133,7,0)),0%,VLOOKUP(A23,'Données projet'!$A$113:$I$133,7,0))</f>
        <v>0.25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2.2540363076817909</v>
      </c>
      <c r="CM23" s="21">
        <f>EXP(-LN(2)/2)*CM22+(1-EXP(-LN(2)/2))/(LN(2)/2)*CG23*CJ23*VLOOKUP('Données projet'!$B$12,Paramètres!$A$1:$I$89,3,0)*0.475*44/12</f>
        <v>2.5183260932480245</v>
      </c>
      <c r="CN23" s="22">
        <f t="shared" si="12"/>
        <v>4.7723624009298149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17.793333333333333</v>
      </c>
      <c r="CT23" s="12">
        <f>IF('Données projet'!$A$140&gt;35,CT22+CS23-DB22,IF(A23&lt;'Données projet'!$A$140,$CQ$205^A23,IF(A23='Données projet'!$A$140,'Données projet'!$B$140,CT22+CS23-DB22)))</f>
        <v>135.82999999999998</v>
      </c>
      <c r="CU23" s="17">
        <f>CT23*VLOOKUP('Données projet'!$B$13,Paramètres!$A$1:$I$89,3,0)*VLOOKUP('Données projet'!$B$13,Paramètres!$A$1:$I$89,5,0)</f>
        <v>81.226339999999993</v>
      </c>
      <c r="CV23" s="13">
        <f t="shared" si="41"/>
        <v>22.43676463604092</v>
      </c>
      <c r="CW23" s="20">
        <f t="shared" si="13"/>
        <v>180.54657390777126</v>
      </c>
      <c r="CX23" s="59">
        <f t="shared" si="14"/>
        <v>397.06127679466698</v>
      </c>
      <c r="CY23" s="59">
        <f ca="1">AVERAGE(OFFSET($CX$3,0,0,'Données projet'!$E$13+1,1))-AVERAGE(OFFSET($H$3,0,0,'Données projet'!$E$13+1,1))</f>
        <v>318.50474972254085</v>
      </c>
      <c r="CZ23" s="59">
        <f t="shared" si="42"/>
        <v>326.45858332753562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6.7369208221516317</v>
      </c>
      <c r="DH23" s="21">
        <f>EXP(-LN(2)/2)*DH22+(1-EXP(-LN(2)/2))/(LN(2)/2)*DB23*DE23*VLOOKUP('Données projet'!$B$13,Paramètres!$A$1:$I$89,3,0)*0.475*44/12</f>
        <v>4.9288780876335361</v>
      </c>
      <c r="DI23" s="22">
        <f t="shared" si="15"/>
        <v>11.665798909785167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3">
        <f>'Scénario référence'!$B$16*5+'Scénario référence'!$B$17*0+'Scénario référence'!$B$18*5</f>
        <v>5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67">
        <f t="shared" si="1"/>
        <v>183.33333333333334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5.3846153846153868</v>
      </c>
      <c r="N24" s="13">
        <f>IF('Données projet'!$A$36&gt;35,N23+M24-V23,IF(A24&lt;'Données projet'!$A$36,$K$205^A24,IF(A24='Données projet'!$A$36,'Données projet'!$B$36,N23+M24-V23)))</f>
        <v>89.358974358974365</v>
      </c>
      <c r="O24" s="13">
        <f>N24*VLOOKUP('Données projet'!$B$9,Paramètres!$A$1:$I$89,3,0)*VLOOKUP('Données projet'!$B$9,Paramètres!$A$1:$I$89,5,0)</f>
        <v>80.852000000000004</v>
      </c>
      <c r="P24" s="13">
        <f t="shared" si="33"/>
        <v>22.345373944816963</v>
      </c>
      <c r="Q24" s="20">
        <f t="shared" si="2"/>
        <v>179.73542628722291</v>
      </c>
      <c r="R24" s="59">
        <f t="shared" si="0"/>
        <v>398.59295466309732</v>
      </c>
      <c r="S24" s="59">
        <f ca="1">AVERAGE(OFFSET($R$3,0,0,'Données projet'!$E$9+1,1))-AVERAGE(OFFSET($H$3,0,0,'Données projet'!$E$9+1,1))</f>
        <v>214.60547318405733</v>
      </c>
      <c r="T24" s="59">
        <f t="shared" si="34"/>
        <v>306.35874106546646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0.93528737483522573</v>
      </c>
      <c r="AA24" s="21">
        <f>EXP(-LN(2)/25)*AA23+(1-EXP(-LN(2)/25))/(LN(2)/25)*Calculateur!V24*Calculateur!X24*VLOOKUP('Données projet'!$B$9,Paramètres!$A$1:$I$89,3,0)*0.475*44/12</f>
        <v>3.5298231988729056</v>
      </c>
      <c r="AB24" s="21">
        <f>EXP(-LN(2)/2)*AB23+(1-EXP(-LN(2)/2))/(LN(2)/2)*V24*Y24*VLOOKUP('Données projet'!$B$9,Paramètres!$A$1:$I$89,3,0)*0.475*44/12</f>
        <v>0</v>
      </c>
      <c r="AC24" s="22">
        <f t="shared" si="3"/>
        <v>4.4651105737081309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4.0942857142857143</v>
      </c>
      <c r="AI24" s="13">
        <f>IF('Données projet'!$A$62&gt;35,AI23+AH24-AQ23,IF(A24&lt;'Données projet'!$A$62,$AF$205^A24,IF(A24='Données projet'!$A$62,'Données projet'!$B$62,AI23+AH24-AQ23)))</f>
        <v>85.980000000000047</v>
      </c>
      <c r="AJ24" s="13">
        <f>AI24*VLOOKUP('Données projet'!$B$10,Paramètres!$A$1:$I$89,3,0)*VLOOKUP('Données projet'!$B$10,Paramètres!$A$1:$I$89,5,0)</f>
        <v>87.183720000000051</v>
      </c>
      <c r="AK24" s="13">
        <f t="shared" si="35"/>
        <v>23.884754436357664</v>
      </c>
      <c r="AL24" s="20">
        <f t="shared" si="4"/>
        <v>193.44425964332299</v>
      </c>
      <c r="AM24" s="59">
        <f t="shared" si="5"/>
        <v>412.30178801919737</v>
      </c>
      <c r="AN24" s="59">
        <f ca="1">AVERAGE(OFFSET($AM$3,0,0,'Données projet'!$E$10+1,1))-AVERAGE(OFFSET($H$3,0,0,'Données projet'!$E$10+1,1))</f>
        <v>752.45542076695506</v>
      </c>
      <c r="AO24" s="59">
        <f t="shared" si="36"/>
        <v>329.70629768420724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4.0942857142857143</v>
      </c>
      <c r="BD24" s="12">
        <f>IF('Données projet'!$A$88&gt;35,BD23+BC24-BL23,IF(A24&lt;'Données projet'!$A$88,$BA$205^A24,IF(A24='Données projet'!$A$88,'Données projet'!$B$88,BD23+BC24-BL23)))</f>
        <v>85.980000000000047</v>
      </c>
      <c r="BE24" s="13">
        <f>BD24*VLOOKUP('Données projet'!$B$11,Paramètres!$A$1:$I$89,3,0)*VLOOKUP('Données projet'!$B$11,Paramètres!$A$1:$I$89,5,0)</f>
        <v>77.794704000000038</v>
      </c>
      <c r="BF24" s="13">
        <f t="shared" si="37"/>
        <v>21.597103708846074</v>
      </c>
      <c r="BG24" s="20">
        <f t="shared" si="7"/>
        <v>173.10739842624028</v>
      </c>
      <c r="BH24" s="59">
        <f t="shared" si="8"/>
        <v>391.96492680211463</v>
      </c>
      <c r="BI24" s="59">
        <f ca="1">AVERAGE(OFFSET($BH$3,0,0,'Données projet'!$E$11+1,1))-AVERAGE(OFFSET($H$3,0,0,'Données projet'!$E$11+1,1))</f>
        <v>681.47578137804555</v>
      </c>
      <c r="BJ24" s="59">
        <f t="shared" si="38"/>
        <v>300.88511065995885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8.4615384615384617</v>
      </c>
      <c r="BY24" s="12">
        <f>IF('Données projet'!$A$114&gt;35,BY23+BX24-CG23,IF(A24&lt;'Données projet'!$A$114,$BV$205^A24,IF(A24='Données projet'!$A$114,'Données projet'!$B$114,BY23+BX24-CG23)))</f>
        <v>75.128205128205124</v>
      </c>
      <c r="BZ24" s="13">
        <f>BY24*VLOOKUP('Données projet'!$B$12,Paramètres!$A$1:$I$89,3,0)*VLOOKUP('Données projet'!$B$12,Paramètres!$A$1:$I$89,5,0)</f>
        <v>50.396000000000001</v>
      </c>
      <c r="CA24" s="13">
        <f t="shared" si="39"/>
        <v>14.71598138852033</v>
      </c>
      <c r="CB24" s="20">
        <f t="shared" si="10"/>
        <v>113.40336758500625</v>
      </c>
      <c r="CC24" s="59">
        <f t="shared" si="11"/>
        <v>332.26089596088065</v>
      </c>
      <c r="CD24" s="59">
        <f ca="1">AVERAGE(OFFSET($CC$3,0,0,'Données projet'!$E$12+1,1))-AVERAGE(OFFSET($H$3,0,0,'Données projet'!$E$12+1,1))</f>
        <v>335.73816489539837</v>
      </c>
      <c r="CE24" s="59">
        <f t="shared" si="40"/>
        <v>254.09787950201044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2.1923995663136147</v>
      </c>
      <c r="CM24" s="21">
        <f>EXP(-LN(2)/2)*CM23+(1-EXP(-LN(2)/2))/(LN(2)/2)*CG24*CJ24*VLOOKUP('Données projet'!$B$12,Paramètres!$A$1:$I$89,3,0)*0.475*44/12</f>
        <v>1.780725457774704</v>
      </c>
      <c r="CN24" s="22">
        <f t="shared" si="12"/>
        <v>3.9731250240883185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17.793333333333333</v>
      </c>
      <c r="CT24" s="12">
        <f>IF('Données projet'!$A$140&gt;35,CT23+CS24-DB23,IF(A24&lt;'Données projet'!$A$140,$CQ$205^A24,IF(A24='Données projet'!$A$140,'Données projet'!$B$140,CT23+CS24-DB23)))</f>
        <v>153.62333333333331</v>
      </c>
      <c r="CU24" s="17">
        <f>CT24*VLOOKUP('Données projet'!$B$13,Paramètres!$A$1:$I$89,3,0)*VLOOKUP('Données projet'!$B$13,Paramètres!$A$1:$I$89,5,0)</f>
        <v>91.866753333333321</v>
      </c>
      <c r="CV24" s="13">
        <f t="shared" si="41"/>
        <v>25.014901610216608</v>
      </c>
      <c r="CW24" s="20">
        <f t="shared" si="13"/>
        <v>203.56888236001612</v>
      </c>
      <c r="CX24" s="59">
        <f t="shared" si="14"/>
        <v>422.4264107358905</v>
      </c>
      <c r="CY24" s="59">
        <f ca="1">AVERAGE(OFFSET($CX$3,0,0,'Données projet'!$E$13+1,1))-AVERAGE(OFFSET($H$3,0,0,'Données projet'!$E$13+1,1))</f>
        <v>318.50474972254085</v>
      </c>
      <c r="CZ24" s="59">
        <f t="shared" si="42"/>
        <v>326.45858332753562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6.5526993679906269</v>
      </c>
      <c r="DH24" s="21">
        <f>EXP(-LN(2)/2)*DH23+(1-EXP(-LN(2)/2))/(LN(2)/2)*DB24*DE24*VLOOKUP('Données projet'!$B$13,Paramètres!$A$1:$I$89,3,0)*0.475*44/12</f>
        <v>3.485243119407456</v>
      </c>
      <c r="DI24" s="22">
        <f t="shared" si="15"/>
        <v>10.037942487398084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3">
        <f>'Scénario référence'!$B$16*5+'Scénario référence'!$B$17*0+'Scénario référence'!$B$18*5</f>
        <v>5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67">
        <f t="shared" si="1"/>
        <v>183.33333333333334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5.3846153846153868</v>
      </c>
      <c r="N25" s="13">
        <f>IF('Données projet'!$A$36&gt;35,N24+M25-V24,IF(A25&lt;'Données projet'!$A$36,$K$205^A25,IF(A25='Données projet'!$A$36,'Données projet'!$B$36,N24+M25-V24)))</f>
        <v>94.743589743589752</v>
      </c>
      <c r="O25" s="13">
        <f>N25*VLOOKUP('Données projet'!$B$9,Paramètres!$A$1:$I$89,3,0)*VLOOKUP('Données projet'!$B$9,Paramètres!$A$1:$I$89,5,0)</f>
        <v>85.724000000000004</v>
      </c>
      <c r="P25" s="13">
        <f t="shared" si="33"/>
        <v>23.531053427879847</v>
      </c>
      <c r="Q25" s="20">
        <f t="shared" si="2"/>
        <v>190.28588472022409</v>
      </c>
      <c r="R25" s="59">
        <f t="shared" si="0"/>
        <v>411.46679862369251</v>
      </c>
      <c r="S25" s="59">
        <f ca="1">AVERAGE(OFFSET($R$3,0,0,'Données projet'!$E$9+1,1))-AVERAGE(OFFSET($H$3,0,0,'Données projet'!$E$9+1,1))</f>
        <v>214.60547318405733</v>
      </c>
      <c r="T25" s="59">
        <f t="shared" si="34"/>
        <v>306.35874106546646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0.91694695988367647</v>
      </c>
      <c r="AA25" s="21">
        <f>EXP(-LN(2)/25)*AA24+(1-EXP(-LN(2)/25))/(LN(2)/25)*Calculateur!V25*Calculateur!X25*VLOOKUP('Données projet'!$B$9,Paramètres!$A$1:$I$89,3,0)*0.475*44/12</f>
        <v>3.4332999978743914</v>
      </c>
      <c r="AB25" s="21">
        <f>EXP(-LN(2)/2)*AB24+(1-EXP(-LN(2)/2))/(LN(2)/2)*V25*Y25*VLOOKUP('Données projet'!$B$9,Paramètres!$A$1:$I$89,3,0)*0.475*44/12</f>
        <v>0</v>
      </c>
      <c r="AC25" s="22">
        <f t="shared" si="3"/>
        <v>4.3502469577580678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4.0942857142857143</v>
      </c>
      <c r="AI25" s="13">
        <f>IF('Données projet'!$A$62&gt;35,AI24+AH25-AQ24,IF(A25&lt;'Données projet'!$A$62,$AF$205^A25,IF(A25='Données projet'!$A$62,'Données projet'!$B$62,AI24+AH25-AQ24)))</f>
        <v>90.074285714285764</v>
      </c>
      <c r="AJ25" s="13">
        <f>AI25*VLOOKUP('Données projet'!$B$10,Paramètres!$A$1:$I$89,3,0)*VLOOKUP('Données projet'!$B$10,Paramètres!$A$1:$I$89,5,0)</f>
        <v>91.335325714285773</v>
      </c>
      <c r="AK25" s="13">
        <f t="shared" si="35"/>
        <v>24.886996832891736</v>
      </c>
      <c r="AL25" s="20">
        <f t="shared" si="4"/>
        <v>202.42054510300082</v>
      </c>
      <c r="AM25" s="59">
        <f t="shared" si="5"/>
        <v>423.60145900646921</v>
      </c>
      <c r="AN25" s="59">
        <f ca="1">AVERAGE(OFFSET($AM$3,0,0,'Données projet'!$E$10+1,1))-AVERAGE(OFFSET($H$3,0,0,'Données projet'!$E$10+1,1))</f>
        <v>752.45542076695506</v>
      </c>
      <c r="AO25" s="59">
        <f t="shared" si="36"/>
        <v>329.70629768420724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4.0942857142857143</v>
      </c>
      <c r="BD25" s="12">
        <f>IF('Données projet'!$A$88&gt;35,BD24+BC25-BL24,IF(A25&lt;'Données projet'!$A$88,$BA$205^A25,IF(A25='Données projet'!$A$88,'Données projet'!$B$88,BD24+BC25-BL24)))</f>
        <v>90.074285714285764</v>
      </c>
      <c r="BE25" s="13">
        <f>BD25*VLOOKUP('Données projet'!$B$11,Paramètres!$A$1:$I$89,3,0)*VLOOKUP('Données projet'!$B$11,Paramètres!$A$1:$I$89,5,0)</f>
        <v>81.499213714285759</v>
      </c>
      <c r="BF25" s="13">
        <f t="shared" si="37"/>
        <v>22.503352631648468</v>
      </c>
      <c r="BG25" s="20">
        <f t="shared" si="7"/>
        <v>181.13780305250211</v>
      </c>
      <c r="BH25" s="59">
        <f t="shared" si="8"/>
        <v>402.3187169559705</v>
      </c>
      <c r="BI25" s="59">
        <f ca="1">AVERAGE(OFFSET($BH$3,0,0,'Données projet'!$E$11+1,1))-AVERAGE(OFFSET($H$3,0,0,'Données projet'!$E$11+1,1))</f>
        <v>681.47578137804555</v>
      </c>
      <c r="BJ25" s="59">
        <f t="shared" si="38"/>
        <v>300.88511065995885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8.4615384615384617</v>
      </c>
      <c r="BY25" s="12">
        <f>IF('Données projet'!$A$114&gt;35,BY24+BX25-CG24,IF(A25&lt;'Données projet'!$A$114,$BV$205^A25,IF(A25='Données projet'!$A$114,'Données projet'!$B$114,BY24+BX25-CG24)))</f>
        <v>83.589743589743591</v>
      </c>
      <c r="BZ25" s="13">
        <f>BY25*VLOOKUP('Données projet'!$B$12,Paramètres!$A$1:$I$89,3,0)*VLOOKUP('Données projet'!$B$12,Paramètres!$A$1:$I$89,5,0)</f>
        <v>56.071999999999996</v>
      </c>
      <c r="CA25" s="13">
        <f t="shared" si="39"/>
        <v>16.17126790367621</v>
      </c>
      <c r="CB25" s="20">
        <f t="shared" si="10"/>
        <v>125.82369159890273</v>
      </c>
      <c r="CC25" s="59">
        <f t="shared" si="11"/>
        <v>347.00460550237113</v>
      </c>
      <c r="CD25" s="59">
        <f ca="1">AVERAGE(OFFSET($CC$3,0,0,'Données projet'!$E$12+1,1))-AVERAGE(OFFSET($H$3,0,0,'Données projet'!$E$12+1,1))</f>
        <v>335.73816489539837</v>
      </c>
      <c r="CE25" s="59">
        <f t="shared" si="40"/>
        <v>254.09787950201044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2.1324482848794863</v>
      </c>
      <c r="CM25" s="21">
        <f>EXP(-LN(2)/2)*CM24+(1-EXP(-LN(2)/2))/(LN(2)/2)*CG25*CJ25*VLOOKUP('Données projet'!$B$12,Paramètres!$A$1:$I$89,3,0)*0.475*44/12</f>
        <v>1.2591630466240125</v>
      </c>
      <c r="CN25" s="22">
        <f t="shared" si="12"/>
        <v>3.3916113315034986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17.793333333333333</v>
      </c>
      <c r="CT25" s="12">
        <f>IF('Données projet'!$A$140&gt;35,CT24+CS25-DB24,IF(A25&lt;'Données projet'!$A$140,$CQ$205^A25,IF(A25='Données projet'!$A$140,'Données projet'!$B$140,CT24+CS25-DB24)))</f>
        <v>171.41666666666663</v>
      </c>
      <c r="CU25" s="17">
        <f>CT25*VLOOKUP('Données projet'!$B$13,Paramètres!$A$1:$I$89,3,0)*VLOOKUP('Données projet'!$B$13,Paramètres!$A$1:$I$89,5,0)</f>
        <v>102.50716666666666</v>
      </c>
      <c r="CV25" s="13">
        <f t="shared" si="41"/>
        <v>27.558431899391174</v>
      </c>
      <c r="CW25" s="20">
        <f t="shared" si="13"/>
        <v>226.53091750255075</v>
      </c>
      <c r="CX25" s="59">
        <f t="shared" si="14"/>
        <v>447.71183140601914</v>
      </c>
      <c r="CY25" s="59">
        <f ca="1">AVERAGE(OFFSET($CX$3,0,0,'Données projet'!$E$13+1,1))-AVERAGE(OFFSET($H$3,0,0,'Données projet'!$E$13+1,1))</f>
        <v>318.50474972254085</v>
      </c>
      <c r="CZ25" s="59">
        <f t="shared" si="42"/>
        <v>326.45858332753562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6.3735154591814398</v>
      </c>
      <c r="DH25" s="21">
        <f>EXP(-LN(2)/2)*DH24+(1-EXP(-LN(2)/2))/(LN(2)/2)*DB25*DE25*VLOOKUP('Données projet'!$B$13,Paramètres!$A$1:$I$89,3,0)*0.475*44/12</f>
        <v>2.4644390438167685</v>
      </c>
      <c r="DI25" s="22">
        <f t="shared" si="15"/>
        <v>8.8379545029982083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3">
        <f>'Scénario référence'!$B$16*5+'Scénario référence'!$B$17*0+'Scénario référence'!$B$18*5</f>
        <v>5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67">
        <f t="shared" si="1"/>
        <v>183.33333333333334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5.3846153846153868</v>
      </c>
      <c r="N26" s="13">
        <f>IF('Données projet'!$A$36&gt;35,N25+M26-V25,IF(A26&lt;'Données projet'!$A$36,$K$205^A26,IF(A26='Données projet'!$A$36,'Données projet'!$B$36,N25+M26-V25)))</f>
        <v>100.12820512820514</v>
      </c>
      <c r="O26" s="13">
        <f>N26*VLOOKUP('Données projet'!$B$9,Paramètres!$A$1:$I$89,3,0)*VLOOKUP('Données projet'!$B$9,Paramètres!$A$1:$I$89,5,0)</f>
        <v>90.596000000000018</v>
      </c>
      <c r="P26" s="13">
        <f t="shared" si="33"/>
        <v>24.708910578668217</v>
      </c>
      <c r="Q26" s="20">
        <f t="shared" si="2"/>
        <v>200.82271925784713</v>
      </c>
      <c r="R26" s="59">
        <f t="shared" si="0"/>
        <v>424.30791596739363</v>
      </c>
      <c r="S26" s="59">
        <f ca="1">AVERAGE(OFFSET($R$3,0,0,'Données projet'!$E$9+1,1))-AVERAGE(OFFSET($H$3,0,0,'Données projet'!$E$9+1,1))</f>
        <v>214.60547318405733</v>
      </c>
      <c r="T26" s="59">
        <f t="shared" si="34"/>
        <v>306.35874106546646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0.8989661892827786</v>
      </c>
      <c r="AA26" s="21">
        <f>EXP(-LN(2)/25)*AA25+(1-EXP(-LN(2)/25))/(LN(2)/25)*Calculateur!V26*Calculateur!X26*VLOOKUP('Données projet'!$B$9,Paramètres!$A$1:$I$89,3,0)*0.475*44/12</f>
        <v>3.3394162288831164</v>
      </c>
      <c r="AB26" s="21">
        <f>EXP(-LN(2)/2)*AB25+(1-EXP(-LN(2)/2))/(LN(2)/2)*V26*Y26*VLOOKUP('Données projet'!$B$9,Paramètres!$A$1:$I$89,3,0)*0.475*44/12</f>
        <v>0</v>
      </c>
      <c r="AC26" s="22">
        <f t="shared" si="3"/>
        <v>4.2383824181658953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4.0942857142857143</v>
      </c>
      <c r="AI26" s="13">
        <f>IF('Données projet'!$A$62&gt;35,AI25+AH26-AQ25,IF(A26&lt;'Données projet'!$A$62,$AF$205^A26,IF(A26='Données projet'!$A$62,'Données projet'!$B$62,AI25+AH26-AQ25)))</f>
        <v>94.168571428571482</v>
      </c>
      <c r="AJ26" s="13">
        <f>AI26*VLOOKUP('Données projet'!$B$10,Paramètres!$A$1:$I$89,3,0)*VLOOKUP('Données projet'!$B$10,Paramètres!$A$1:$I$89,5,0)</f>
        <v>95.486931428571495</v>
      </c>
      <c r="AK26" s="13">
        <f t="shared" si="35"/>
        <v>25.883948535791781</v>
      </c>
      <c r="AL26" s="20">
        <f t="shared" si="4"/>
        <v>211.38761593793268</v>
      </c>
      <c r="AM26" s="59">
        <f t="shared" si="5"/>
        <v>434.87281264747918</v>
      </c>
      <c r="AN26" s="59">
        <f ca="1">AVERAGE(OFFSET($AM$3,0,0,'Données projet'!$E$10+1,1))-AVERAGE(OFFSET($H$3,0,0,'Données projet'!$E$10+1,1))</f>
        <v>752.45542076695506</v>
      </c>
      <c r="AO26" s="59">
        <f t="shared" si="36"/>
        <v>329.70629768420724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4.0942857142857143</v>
      </c>
      <c r="BD26" s="12">
        <f>IF('Données projet'!$A$88&gt;35,BD25+BC26-BL25,IF(A26&lt;'Données projet'!$A$88,$BA$205^A26,IF(A26='Données projet'!$A$88,'Données projet'!$B$88,BD25+BC26-BL25)))</f>
        <v>94.168571428571482</v>
      </c>
      <c r="BE26" s="13">
        <f>BD26*VLOOKUP('Données projet'!$B$11,Paramètres!$A$1:$I$89,3,0)*VLOOKUP('Données projet'!$B$11,Paramètres!$A$1:$I$89,5,0)</f>
        <v>85.203723428571479</v>
      </c>
      <c r="BF26" s="13">
        <f t="shared" si="37"/>
        <v>23.404817596574706</v>
      </c>
      <c r="BG26" s="20">
        <f t="shared" si="7"/>
        <v>189.15987561879626</v>
      </c>
      <c r="BH26" s="59">
        <f t="shared" si="8"/>
        <v>412.64507232834274</v>
      </c>
      <c r="BI26" s="59">
        <f ca="1">AVERAGE(OFFSET($BH$3,0,0,'Données projet'!$E$11+1,1))-AVERAGE(OFFSET($H$3,0,0,'Données projet'!$E$11+1,1))</f>
        <v>681.47578137804555</v>
      </c>
      <c r="BJ26" s="59">
        <f t="shared" si="38"/>
        <v>300.88511065995885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8.4615384615384617</v>
      </c>
      <c r="BY26" s="12">
        <f>IF('Données projet'!$A$114&gt;35,BY25+BX26-CG25,IF(A26&lt;'Données projet'!$A$114,$BV$205^A26,IF(A26='Données projet'!$A$114,'Données projet'!$B$114,BY25+BX26-CG25)))</f>
        <v>92.051282051282058</v>
      </c>
      <c r="BZ26" s="13">
        <f>BY26*VLOOKUP('Données projet'!$B$12,Paramètres!$A$1:$I$89,3,0)*VLOOKUP('Données projet'!$B$12,Paramètres!$A$1:$I$89,5,0)</f>
        <v>61.748000000000005</v>
      </c>
      <c r="CA26" s="13">
        <f t="shared" si="39"/>
        <v>17.609476905605167</v>
      </c>
      <c r="CB26" s="20">
        <f t="shared" si="10"/>
        <v>138.21427227726232</v>
      </c>
      <c r="CC26" s="59">
        <f t="shared" si="11"/>
        <v>361.69946898680882</v>
      </c>
      <c r="CD26" s="59">
        <f ca="1">AVERAGE(OFFSET($CC$3,0,0,'Données projet'!$E$12+1,1))-AVERAGE(OFFSET($H$3,0,0,'Données projet'!$E$12+1,1))</f>
        <v>335.73816489539837</v>
      </c>
      <c r="CE26" s="59">
        <f t="shared" si="40"/>
        <v>254.09787950201044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2.0741363743888752</v>
      </c>
      <c r="CM26" s="21">
        <f>EXP(-LN(2)/2)*CM25+(1-EXP(-LN(2)/2))/(LN(2)/2)*CG26*CJ26*VLOOKUP('Données projet'!$B$12,Paramètres!$A$1:$I$89,3,0)*0.475*44/12</f>
        <v>0.89036272888735213</v>
      </c>
      <c r="CN26" s="22">
        <f t="shared" si="12"/>
        <v>2.9644991032762276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>
        <f>VLOOKUP(A26,'Données projet'!$A$139:$I$159,2,0)</f>
        <v>189.21</v>
      </c>
      <c r="CR26" s="12">
        <f>VLOOKUP(A26,'Données projet'!$A$139:$I$159,9,0)</f>
        <v>17.793333333333333</v>
      </c>
      <c r="CS26" s="12">
        <f t="array" ref="CS26">INDEX(CR:CR,MIN(IF(ISNUMBER(CR26:CR222),ROW(CR26:CR222),"")))</f>
        <v>17.793333333333333</v>
      </c>
      <c r="CT26" s="12">
        <f>IF('Données projet'!$A$140&gt;35,CT25+CS26-DB25,IF(A26&lt;'Données projet'!$A$140,$CQ$205^A26,IF(A26='Données projet'!$A$140,'Données projet'!$B$140,CT25+CS26-DB25)))</f>
        <v>189.20999999999995</v>
      </c>
      <c r="CU26" s="17">
        <f>CT26*VLOOKUP('Données projet'!$B$13,Paramètres!$A$1:$I$89,3,0)*VLOOKUP('Données projet'!$B$13,Paramètres!$A$1:$I$89,5,0)</f>
        <v>113.14757999999998</v>
      </c>
      <c r="CV26" s="13">
        <f t="shared" si="41"/>
        <v>30.071356907423628</v>
      </c>
      <c r="CW26" s="20">
        <f t="shared" si="13"/>
        <v>249.43964844709606</v>
      </c>
      <c r="CX26" s="59">
        <f t="shared" si="14"/>
        <v>472.92484515664256</v>
      </c>
      <c r="CY26" s="59">
        <f ca="1">AVERAGE(OFFSET($CX$3,0,0,'Données projet'!$E$13+1,1))-AVERAGE(OFFSET($H$3,0,0,'Données projet'!$E$13+1,1))</f>
        <v>318.50474972254085</v>
      </c>
      <c r="CZ26" s="59">
        <f t="shared" si="42"/>
        <v>326.45858332753562</v>
      </c>
      <c r="DA26" s="15">
        <f>IF(ISNA(VLOOKUP(A26,'Données projet'!$A$139:$I$159,3,0)),0,VLOOKUP(A26,'Données projet'!$A$139:$I$159,3,0))</f>
        <v>2</v>
      </c>
      <c r="DB26" s="15">
        <f>IF(ISNA(VLOOKUP(A26,'Données projet'!$A$139:$I$159,4,0)),0,VLOOKUP(A26,'Données projet'!$A$139:$I$159,4,0))</f>
        <v>58.370000000000005</v>
      </c>
      <c r="DC26" s="16">
        <f>IF(ISNA(VLOOKUP(A26,'Données projet'!$A$139:$I$159,5,0)),0%,VLOOKUP(A26,'Données projet'!$A$139:$I$159,5,0)*VLOOKUP('Données projet'!$B$13,Paramètres!$A$1:$I$89,7,0))</f>
        <v>0.1125</v>
      </c>
      <c r="DD26" s="16">
        <f>IF(ISNA(VLOOKUP(A26,'Données projet'!$A$139:$I$159,6,0)),0%,VLOOKUP(A26,'Données projet'!$A$139:$I$159,6,0)*VLOOKUP('Données projet'!$B$13,Paramètres!$A$1:$I$89,7,0))</f>
        <v>0.16650000000000001</v>
      </c>
      <c r="DE26" s="16">
        <f>IF(ISNA(VLOOKUP(A26,'Données projet'!$A$139:$I$159,7,0)),0%,VLOOKUP(A26,'Données projet'!$A$139:$I$159,7,0))</f>
        <v>0.38</v>
      </c>
      <c r="DF26" s="21">
        <f>EXP(-LN(2)/35)*DF25+(1-EXP(-LN(2)/35))/(LN(2)/35)*DB26*DC26*VLOOKUP('Données projet'!$B$13,Paramètres!$A$1:$I$89,3,0)*0.475*44/12</f>
        <v>5.2092086876860018</v>
      </c>
      <c r="DG26" s="21">
        <f>EXP(-LN(2)/25)*DG25+(1-EXP(-LN(2)/25))/(LN(2)/25)*Calculateur!DB26*Calculateur!DD26*VLOOKUP('Données projet'!$B$13,Paramètres!$A$1:$I$89,3,0)*0.475*44/12</f>
        <v>13.878504455144835</v>
      </c>
      <c r="DH26" s="21">
        <f>EXP(-LN(2)/2)*DH25+(1-EXP(-LN(2)/2))/(LN(2)/2)*DB26*DE26*VLOOKUP('Données projet'!$B$13,Paramètres!$A$1:$I$89,3,0)*0.475*44/12</f>
        <v>16.760549395416017</v>
      </c>
      <c r="DI26" s="22">
        <f t="shared" si="15"/>
        <v>35.848262538246857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3">
        <f>'Scénario référence'!$B$16*5+'Scénario référence'!$B$17*0+'Scénario référence'!$B$18*5</f>
        <v>5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67">
        <f t="shared" si="1"/>
        <v>183.33333333333334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5.3846153846153868</v>
      </c>
      <c r="N27" s="13">
        <f>IF('Données projet'!$A$36&gt;35,N26+M27-V26,IF(A27&lt;'Données projet'!$A$36,$K$205^A27,IF(A27='Données projet'!$A$36,'Données projet'!$B$36,N26+M27-V26)))</f>
        <v>105.51282051282053</v>
      </c>
      <c r="O27" s="13">
        <f>N27*VLOOKUP('Données projet'!$B$9,Paramètres!$A$1:$I$89,3,0)*VLOOKUP('Données projet'!$B$9,Paramètres!$A$1:$I$89,5,0)</f>
        <v>95.468000000000004</v>
      </c>
      <c r="P27" s="13">
        <f t="shared" si="33"/>
        <v>25.879414022319047</v>
      </c>
      <c r="Q27" s="20">
        <f t="shared" si="2"/>
        <v>211.34674608887232</v>
      </c>
      <c r="R27" s="59">
        <f t="shared" si="0"/>
        <v>437.11745427249213</v>
      </c>
      <c r="S27" s="59">
        <f ca="1">AVERAGE(OFFSET($R$3,0,0,'Données projet'!$E$9+1,1))-AVERAGE(OFFSET($H$3,0,0,'Données projet'!$E$9+1,1))</f>
        <v>214.60547318405733</v>
      </c>
      <c r="T27" s="59">
        <f t="shared" si="34"/>
        <v>306.35874106546646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0.88133801062617712</v>
      </c>
      <c r="AA27" s="21">
        <f>EXP(-LN(2)/25)*AA26+(1-EXP(-LN(2)/25))/(LN(2)/25)*Calculateur!V27*Calculateur!X27*VLOOKUP('Données projet'!$B$9,Paramètres!$A$1:$I$89,3,0)*0.475*44/12</f>
        <v>3.2480997164920407</v>
      </c>
      <c r="AB27" s="21">
        <f>EXP(-LN(2)/2)*AB26+(1-EXP(-LN(2)/2))/(LN(2)/2)*V27*Y27*VLOOKUP('Données projet'!$B$9,Paramètres!$A$1:$I$89,3,0)*0.475*44/12</f>
        <v>0</v>
      </c>
      <c r="AC27" s="22">
        <f t="shared" si="3"/>
        <v>4.1294377271182174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4.0942857142857143</v>
      </c>
      <c r="AI27" s="13">
        <f>IF('Données projet'!$A$62&gt;35,AI26+AH27-AQ26,IF(A27&lt;'Données projet'!$A$62,$AF$205^A27,IF(A27='Données projet'!$A$62,'Données projet'!$B$62,AI26+AH27-AQ26)))</f>
        <v>98.2628571428572</v>
      </c>
      <c r="AJ27" s="13">
        <f>AI27*VLOOKUP('Données projet'!$B$10,Paramètres!$A$1:$I$89,3,0)*VLOOKUP('Données projet'!$B$10,Paramètres!$A$1:$I$89,5,0)</f>
        <v>99.638537142857203</v>
      </c>
      <c r="AK27" s="13">
        <f t="shared" si="35"/>
        <v>26.875865866848134</v>
      </c>
      <c r="AL27" s="20">
        <f t="shared" si="4"/>
        <v>220.34591857523677</v>
      </c>
      <c r="AM27" s="59">
        <f t="shared" si="5"/>
        <v>446.11662675885657</v>
      </c>
      <c r="AN27" s="59">
        <f ca="1">AVERAGE(OFFSET($AM$3,0,0,'Données projet'!$E$10+1,1))-AVERAGE(OFFSET($H$3,0,0,'Données projet'!$E$10+1,1))</f>
        <v>752.45542076695506</v>
      </c>
      <c r="AO27" s="59">
        <f t="shared" si="36"/>
        <v>329.70629768420724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4.0942857142857143</v>
      </c>
      <c r="BD27" s="12">
        <f>IF('Données projet'!$A$88&gt;35,BD26+BC27-BL26,IF(A27&lt;'Données projet'!$A$88,$BA$205^A27,IF(A27='Données projet'!$A$88,'Données projet'!$B$88,BD26+BC27-BL26)))</f>
        <v>98.2628571428572</v>
      </c>
      <c r="BE27" s="13">
        <f>BD27*VLOOKUP('Données projet'!$B$11,Paramètres!$A$1:$I$89,3,0)*VLOOKUP('Données projet'!$B$11,Paramètres!$A$1:$I$89,5,0)</f>
        <v>88.908233142857185</v>
      </c>
      <c r="BF27" s="13">
        <f t="shared" si="37"/>
        <v>24.301730375247274</v>
      </c>
      <c r="BG27" s="20">
        <f t="shared" si="7"/>
        <v>197.17401979403192</v>
      </c>
      <c r="BH27" s="59">
        <f t="shared" si="8"/>
        <v>422.94472797765172</v>
      </c>
      <c r="BI27" s="59">
        <f ca="1">AVERAGE(OFFSET($BH$3,0,0,'Données projet'!$E$11+1,1))-AVERAGE(OFFSET($H$3,0,0,'Données projet'!$E$11+1,1))</f>
        <v>681.47578137804555</v>
      </c>
      <c r="BJ27" s="59">
        <f t="shared" si="38"/>
        <v>300.88511065995885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8.4615384615384617</v>
      </c>
      <c r="BY27" s="12">
        <f>IF('Données projet'!$A$114&gt;35,BY26+BX27-CG26,IF(A27&lt;'Données projet'!$A$114,$BV$205^A27,IF(A27='Données projet'!$A$114,'Données projet'!$B$114,BY26+BX27-CG26)))</f>
        <v>100.51282051282053</v>
      </c>
      <c r="BZ27" s="13">
        <f>BY27*VLOOKUP('Données projet'!$B$12,Paramètres!$A$1:$I$89,3,0)*VLOOKUP('Données projet'!$B$12,Paramètres!$A$1:$I$89,5,0)</f>
        <v>67.424000000000007</v>
      </c>
      <c r="CA27" s="13">
        <f t="shared" si="39"/>
        <v>19.032356736143235</v>
      </c>
      <c r="CB27" s="20">
        <f t="shared" si="10"/>
        <v>150.57815464878283</v>
      </c>
      <c r="CC27" s="59">
        <f t="shared" si="11"/>
        <v>376.34886283240263</v>
      </c>
      <c r="CD27" s="59">
        <f ca="1">AVERAGE(OFFSET($CC$3,0,0,'Données projet'!$E$12+1,1))-AVERAGE(OFFSET($H$3,0,0,'Données projet'!$E$12+1,1))</f>
        <v>335.73816489539837</v>
      </c>
      <c r="CE27" s="59">
        <f t="shared" si="40"/>
        <v>254.09787950201044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2.01741900615712</v>
      </c>
      <c r="CM27" s="21">
        <f>EXP(-LN(2)/2)*CM26+(1-EXP(-LN(2)/2))/(LN(2)/2)*CG27*CJ27*VLOOKUP('Données projet'!$B$12,Paramètres!$A$1:$I$89,3,0)*0.475*44/12</f>
        <v>0.62958152331200623</v>
      </c>
      <c r="CN27" s="22">
        <f t="shared" si="12"/>
        <v>2.6470005294691261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18.678333333333331</v>
      </c>
      <c r="CT27" s="12">
        <f>IF('Données projet'!$A$140&gt;35,CT26+CS27-DB26,IF(A27&lt;'Données projet'!$A$140,$CQ$205^A27,IF(A27='Données projet'!$A$140,'Données projet'!$B$140,CT26+CS27-DB26)))</f>
        <v>149.51833333333329</v>
      </c>
      <c r="CU27" s="17">
        <f>CT27*VLOOKUP('Données projet'!$B$13,Paramètres!$A$1:$I$89,3,0)*VLOOKUP('Données projet'!$B$13,Paramètres!$A$1:$I$89,5,0)</f>
        <v>89.411963333333304</v>
      </c>
      <c r="CV27" s="13">
        <f t="shared" si="41"/>
        <v>24.423350649115033</v>
      </c>
      <c r="CW27" s="20">
        <f t="shared" si="13"/>
        <v>198.2631718527642</v>
      </c>
      <c r="CX27" s="59">
        <f t="shared" si="14"/>
        <v>424.03388003638401</v>
      </c>
      <c r="CY27" s="59">
        <f ca="1">AVERAGE(OFFSET($CX$3,0,0,'Données projet'!$E$13+1,1))-AVERAGE(OFFSET($H$3,0,0,'Données projet'!$E$13+1,1))</f>
        <v>318.50474972254085</v>
      </c>
      <c r="CZ27" s="59">
        <f t="shared" si="42"/>
        <v>326.45858332753562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5.1070592826240464</v>
      </c>
      <c r="DG27" s="21">
        <f>EXP(-LN(2)/25)*DG26+(1-EXP(-LN(2)/25))/(LN(2)/25)*Calculateur!DB27*Calculateur!DD27*VLOOKUP('Données projet'!$B$13,Paramètres!$A$1:$I$89,3,0)*0.475*44/12</f>
        <v>13.498996020980069</v>
      </c>
      <c r="DH27" s="21">
        <f>EXP(-LN(2)/2)*DH26+(1-EXP(-LN(2)/2))/(LN(2)/2)*DB27*DE27*VLOOKUP('Données projet'!$B$13,Paramètres!$A$1:$I$89,3,0)*0.475*44/12</f>
        <v>11.851498133910756</v>
      </c>
      <c r="DI27" s="22">
        <f t="shared" si="15"/>
        <v>30.457553437514871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3">
        <f>'Scénario référence'!$B$16*5+'Scénario référence'!$B$17*0+'Scénario référence'!$B$18*5</f>
        <v>5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67">
        <f t="shared" si="1"/>
        <v>183.33333333333334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>
        <f>VLOOKUP(A28,'Données projet'!$A$35:$I$55,2,0)</f>
        <v>110.8974358974359</v>
      </c>
      <c r="L28" s="12">
        <f>VLOOKUP(A28,'Données projet'!$A$35:$I$55,9,0)</f>
        <v>5.3846153846153868</v>
      </c>
      <c r="M28" s="12">
        <f t="array" ref="M28">INDEX(L:L,MIN(IF(ISNUMBER(L28:L224),ROW(L28:L224),"")))</f>
        <v>5.3846153846153868</v>
      </c>
      <c r="N28" s="13">
        <f>IF('Données projet'!$A$36&gt;35,N27+M28-V27,IF(A28&lt;'Données projet'!$A$36,$K$205^A28,IF(A28='Données projet'!$A$36,'Données projet'!$B$36,N27+M28-V27)))</f>
        <v>110.89743589743591</v>
      </c>
      <c r="O28" s="13">
        <f>N28*VLOOKUP('Données projet'!$B$9,Paramètres!$A$1:$I$89,3,0)*VLOOKUP('Données projet'!$B$9,Paramètres!$A$1:$I$89,5,0)</f>
        <v>100.34</v>
      </c>
      <c r="P28" s="13">
        <f t="shared" si="33"/>
        <v>27.042981851767511</v>
      </c>
      <c r="Q28" s="20">
        <f t="shared" si="2"/>
        <v>221.85869339182841</v>
      </c>
      <c r="R28" s="59">
        <f t="shared" si="0"/>
        <v>449.89646735816052</v>
      </c>
      <c r="S28" s="59">
        <f ca="1">AVERAGE(OFFSET($R$3,0,0,'Données projet'!$E$9+1,1))-AVERAGE(OFFSET($H$3,0,0,'Données projet'!$E$9+1,1))</f>
        <v>214.60547318405733</v>
      </c>
      <c r="T28" s="59">
        <f t="shared" si="34"/>
        <v>306.35874106546646</v>
      </c>
      <c r="U28" s="15">
        <f>IF(ISNA(VLOOKUP(A28,'Données projet'!$A$35:$I$55,3,0)),0,VLOOKUP(A28,'Données projet'!$A$35:$I$55,3,0))</f>
        <v>5</v>
      </c>
      <c r="V28" s="15">
        <f>IF(ISNA(VLOOKUP(A28,'Données projet'!$A$35:$I$55,4,0)),0,VLOOKUP(A28,'Données projet'!$A$35:$I$55,4,0))</f>
        <v>7.0512820512820511</v>
      </c>
      <c r="W28" s="16">
        <f>IF(ISNA(VLOOKUP(A28,'Données projet'!$A$35:$I$55,5,0)),0%,VLOOKUP(A28,'Données projet'!$A$35:$I$55,5,0)*VLOOKUP('Données projet'!$B$9,Paramètres!$A$1:$I$89,7,0))</f>
        <v>0.03</v>
      </c>
      <c r="X28" s="16">
        <f>IF(ISNA(VLOOKUP(A28,'Données projet'!$A$35:$I$55,6,0)),0%,VLOOKUP(A28,'Données projet'!$A$35:$I$55,6,0)*VLOOKUP('Données projet'!$B$9,Paramètres!$A$1:$I$89,7,0))</f>
        <v>0.12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1.075642540443511</v>
      </c>
      <c r="AA28" s="21">
        <f>EXP(-LN(2)/25)*AA27+(1-EXP(-LN(2)/25))/(LN(2)/25)*Calculateur!V28*Calculateur!X28*VLOOKUP('Données projet'!$B$9,Paramètres!$A$1:$I$89,3,0)*0.475*44/12</f>
        <v>4.0022959864623751</v>
      </c>
      <c r="AB28" s="21">
        <f>EXP(-LN(2)/2)*AB27+(1-EXP(-LN(2)/2))/(LN(2)/2)*V28*Y28*VLOOKUP('Données projet'!$B$9,Paramètres!$A$1:$I$89,3,0)*0.475*44/12</f>
        <v>0</v>
      </c>
      <c r="AC28" s="22">
        <f t="shared" si="3"/>
        <v>5.0779385269058857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4.0942857142857143</v>
      </c>
      <c r="AI28" s="13">
        <f>IF('Données projet'!$A$62&gt;35,AI27+AH28-AQ27,IF(A28&lt;'Données projet'!$A$62,$AF$205^A28,IF(A28='Données projet'!$A$62,'Données projet'!$B$62,AI27+AH28-AQ27)))</f>
        <v>102.35714285714292</v>
      </c>
      <c r="AJ28" s="13">
        <f>AI28*VLOOKUP('Données projet'!$B$10,Paramètres!$A$1:$I$89,3,0)*VLOOKUP('Données projet'!$B$10,Paramètres!$A$1:$I$89,5,0)</f>
        <v>103.79014285714292</v>
      </c>
      <c r="AK28" s="13">
        <f t="shared" si="35"/>
        <v>27.862982579231517</v>
      </c>
      <c r="AL28" s="20">
        <f t="shared" si="4"/>
        <v>229.29586013501878</v>
      </c>
      <c r="AM28" s="59">
        <f t="shared" si="5"/>
        <v>457.33363410135087</v>
      </c>
      <c r="AN28" s="59">
        <f ca="1">AVERAGE(OFFSET($AM$3,0,0,'Données projet'!$E$10+1,1))-AVERAGE(OFFSET($H$3,0,0,'Données projet'!$E$10+1,1))</f>
        <v>752.45542076695506</v>
      </c>
      <c r="AO28" s="59">
        <f t="shared" si="36"/>
        <v>329.70629768420724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4.0942857142857143</v>
      </c>
      <c r="BD28" s="12">
        <f>IF('Données projet'!$A$88&gt;35,BD27+BC28-BL27,IF(A28&lt;'Données projet'!$A$88,$BA$205^A28,IF(A28='Données projet'!$A$88,'Données projet'!$B$88,BD27+BC28-BL27)))</f>
        <v>102.35714285714292</v>
      </c>
      <c r="BE28" s="13">
        <f>BD28*VLOOKUP('Données projet'!$B$11,Paramètres!$A$1:$I$89,3,0)*VLOOKUP('Données projet'!$B$11,Paramètres!$A$1:$I$89,5,0)</f>
        <v>92.612742857142905</v>
      </c>
      <c r="BF28" s="13">
        <f t="shared" si="37"/>
        <v>25.194302332262133</v>
      </c>
      <c r="BG28" s="20">
        <f t="shared" si="7"/>
        <v>205.18060370488044</v>
      </c>
      <c r="BH28" s="59">
        <f t="shared" si="8"/>
        <v>433.21837767121258</v>
      </c>
      <c r="BI28" s="59">
        <f ca="1">AVERAGE(OFFSET($BH$3,0,0,'Données projet'!$E$11+1,1))-AVERAGE(OFFSET($H$3,0,0,'Données projet'!$E$11+1,1))</f>
        <v>681.47578137804555</v>
      </c>
      <c r="BJ28" s="59">
        <f t="shared" si="38"/>
        <v>300.88511065995885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>
        <f>VLOOKUP(A28,'Données projet'!$A$113:$I$133,2,0)</f>
        <v>108.97435897435896</v>
      </c>
      <c r="BW28" s="12">
        <f>VLOOKUP(A28,'Données projet'!$A$113:$I$133,9,0)</f>
        <v>8.4615384615384617</v>
      </c>
      <c r="BX28" s="12">
        <f t="array" ref="BX28">INDEX(BW:BW,MIN(IF(ISNUMBER(BW28:BW224),ROW(BW28:BW224),"")))</f>
        <v>8.4615384615384617</v>
      </c>
      <c r="BY28" s="12">
        <f>IF('Données projet'!$A$114&gt;35,BY27+BX28-CG27,IF(A28&lt;'Données projet'!$A$114,$BV$205^A28,IF(A28='Données projet'!$A$114,'Données projet'!$B$114,BY27+BX28-CG27)))</f>
        <v>108.97435897435899</v>
      </c>
      <c r="BZ28" s="13">
        <f>BY28*VLOOKUP('Données projet'!$B$12,Paramètres!$A$1:$I$89,3,0)*VLOOKUP('Données projet'!$B$12,Paramètres!$A$1:$I$89,5,0)</f>
        <v>73.100000000000009</v>
      </c>
      <c r="CA28" s="13">
        <f t="shared" si="39"/>
        <v>20.44134457781275</v>
      </c>
      <c r="CB28" s="20">
        <f t="shared" si="10"/>
        <v>162.91784180635725</v>
      </c>
      <c r="CC28" s="59">
        <f t="shared" si="11"/>
        <v>390.95561577268938</v>
      </c>
      <c r="CD28" s="59">
        <f ca="1">AVERAGE(OFFSET($CC$3,0,0,'Données projet'!$E$12+1,1))-AVERAGE(OFFSET($H$3,0,0,'Données projet'!$E$12+1,1))</f>
        <v>335.73816489539837</v>
      </c>
      <c r="CE28" s="59">
        <f t="shared" si="40"/>
        <v>254.09787950201044</v>
      </c>
      <c r="CF28" s="15">
        <f>IF(ISNA(VLOOKUP(A28,'Données projet'!$A$113:$I$133,3,0)),0,VLOOKUP(A28,'Données projet'!$A$113:$I$133,3,0))</f>
        <v>3</v>
      </c>
      <c r="CG28" s="15">
        <f>IF(ISNA(VLOOKUP(A28,'Données projet'!$A$113:$I$133,4,0)),0,VLOOKUP(A28,'Données projet'!$A$113:$I$133,4,0))</f>
        <v>16.025641025641026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0.13250000000000001</v>
      </c>
      <c r="CJ28" s="16">
        <f>IF(ISNA(VLOOKUP(A28,'Données projet'!$A$113:$I$133,7,0)),0%,VLOOKUP(A28,'Données projet'!$A$113:$I$133,7,0))</f>
        <v>0.25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3.5306571318062794</v>
      </c>
      <c r="CM28" s="21">
        <f>EXP(-LN(2)/2)*CM27+(1-EXP(-LN(2)/2))/(LN(2)/2)*CG28*CJ28*VLOOKUP('Données projet'!$B$12,Paramètres!$A$1:$I$89,3,0)*0.475*44/12</f>
        <v>2.9809099474456566</v>
      </c>
      <c r="CN28" s="22">
        <f t="shared" si="12"/>
        <v>6.511567079251936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18.678333333333331</v>
      </c>
      <c r="CT28" s="12">
        <f>IF('Données projet'!$A$140&gt;35,CT27+CS28-DB27,IF(A28&lt;'Données projet'!$A$140,$CQ$205^A28,IF(A28='Données projet'!$A$140,'Données projet'!$B$140,CT27+CS28-DB27)))</f>
        <v>168.19666666666663</v>
      </c>
      <c r="CU28" s="17">
        <f>CT28*VLOOKUP('Données projet'!$B$13,Paramètres!$A$1:$I$89,3,0)*VLOOKUP('Données projet'!$B$13,Paramètres!$A$1:$I$89,5,0)</f>
        <v>100.58160666666666</v>
      </c>
      <c r="CV28" s="13">
        <f t="shared" si="41"/>
        <v>27.100510515925464</v>
      </c>
      <c r="CW28" s="20">
        <f t="shared" si="13"/>
        <v>222.37968742634794</v>
      </c>
      <c r="CX28" s="59">
        <f t="shared" si="14"/>
        <v>450.41746139268002</v>
      </c>
      <c r="CY28" s="59">
        <f ca="1">AVERAGE(OFFSET($CX$3,0,0,'Données projet'!$E$13+1,1))-AVERAGE(OFFSET($H$3,0,0,'Données projet'!$E$13+1,1))</f>
        <v>318.50474972254085</v>
      </c>
      <c r="CZ28" s="59">
        <f t="shared" si="42"/>
        <v>326.45858332753562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5.006912965090371</v>
      </c>
      <c r="DG28" s="21">
        <f>EXP(-LN(2)/25)*DG27+(1-EXP(-LN(2)/25))/(LN(2)/25)*Calculateur!DB28*Calculateur!DD28*VLOOKUP('Données projet'!$B$13,Paramètres!$A$1:$I$89,3,0)*0.475*44/12</f>
        <v>13.129865264905021</v>
      </c>
      <c r="DH28" s="21">
        <f>EXP(-LN(2)/2)*DH27+(1-EXP(-LN(2)/2))/(LN(2)/2)*DB28*DE28*VLOOKUP('Données projet'!$B$13,Paramètres!$A$1:$I$89,3,0)*0.475*44/12</f>
        <v>8.3802746977080105</v>
      </c>
      <c r="DI28" s="22">
        <f t="shared" si="15"/>
        <v>26.517052927703403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3">
        <f>'Scénario référence'!$B$16*5+'Scénario référence'!$B$17*0+'Scénario référence'!$B$18*5</f>
        <v>5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67">
        <f t="shared" si="1"/>
        <v>183.33333333333334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4.3589743589743595</v>
      </c>
      <c r="N29" s="13">
        <f>IF('Données projet'!$A$36&gt;35,N28+M29-V28,IF(A29&lt;'Données projet'!$A$36,$K$205^A29,IF(A29='Données projet'!$A$36,'Données projet'!$B$36,N28+M29-V28)))</f>
        <v>108.20512820512823</v>
      </c>
      <c r="O29" s="13">
        <f>N29*VLOOKUP('Données projet'!$B$9,Paramètres!$A$1:$I$89,3,0)*VLOOKUP('Données projet'!$B$9,Paramètres!$A$1:$I$89,5,0)</f>
        <v>97.904000000000025</v>
      </c>
      <c r="P29" s="13">
        <f t="shared" si="33"/>
        <v>26.46204051223464</v>
      </c>
      <c r="Q29" s="20">
        <f t="shared" si="2"/>
        <v>216.60418722547536</v>
      </c>
      <c r="R29" s="59">
        <f t="shared" si="0"/>
        <v>446.89090127466557</v>
      </c>
      <c r="S29" s="59">
        <f ca="1">AVERAGE(OFFSET($R$3,0,0,'Données projet'!$E$9+1,1))-AVERAGE(OFFSET($H$3,0,0,'Données projet'!$E$9+1,1))</f>
        <v>214.60547318405733</v>
      </c>
      <c r="T29" s="59">
        <f t="shared" si="34"/>
        <v>306.35874106546646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1.0545498463025813</v>
      </c>
      <c r="AA29" s="21">
        <f>EXP(-LN(2)/25)*AA28+(1-EXP(-LN(2)/25))/(LN(2)/25)*Calculateur!V29*Calculateur!X29*VLOOKUP('Données projet'!$B$9,Paramètres!$A$1:$I$89,3,0)*0.475*44/12</f>
        <v>3.8928529922409627</v>
      </c>
      <c r="AB29" s="21">
        <f>EXP(-LN(2)/2)*AB28+(1-EXP(-LN(2)/2))/(LN(2)/2)*V29*Y29*VLOOKUP('Données projet'!$B$9,Paramètres!$A$1:$I$89,3,0)*0.475*44/12</f>
        <v>0</v>
      </c>
      <c r="AC29" s="22">
        <f t="shared" si="3"/>
        <v>4.9474028385435442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4.0942857142857143</v>
      </c>
      <c r="AI29" s="13">
        <f>IF('Données projet'!$A$62&gt;35,AI28+AH29-AQ28,IF(A29&lt;'Données projet'!$A$62,$AF$205^A29,IF(A29='Données projet'!$A$62,'Données projet'!$B$62,AI28+AH29-AQ28)))</f>
        <v>106.45142857142864</v>
      </c>
      <c r="AJ29" s="13">
        <f>AI29*VLOOKUP('Données projet'!$B$10,Paramètres!$A$1:$I$89,3,0)*VLOOKUP('Données projet'!$B$10,Paramètres!$A$1:$I$89,5,0)</f>
        <v>107.94174857142863</v>
      </c>
      <c r="AK29" s="13">
        <f t="shared" si="35"/>
        <v>28.845512667364968</v>
      </c>
      <c r="AL29" s="20">
        <f t="shared" si="4"/>
        <v>238.23781332423221</v>
      </c>
      <c r="AM29" s="59">
        <f t="shared" si="5"/>
        <v>468.52452737342242</v>
      </c>
      <c r="AN29" s="59">
        <f ca="1">AVERAGE(OFFSET($AM$3,0,0,'Données projet'!$E$10+1,1))-AVERAGE(OFFSET($H$3,0,0,'Données projet'!$E$10+1,1))</f>
        <v>752.45542076695506</v>
      </c>
      <c r="AO29" s="59">
        <f t="shared" si="36"/>
        <v>329.70629768420724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4.0942857142857143</v>
      </c>
      <c r="BD29" s="12">
        <f>IF('Données projet'!$A$88&gt;35,BD28+BC29-BL28,IF(A29&lt;'Données projet'!$A$88,$BA$205^A29,IF(A29='Données projet'!$A$88,'Données projet'!$B$88,BD28+BC29-BL28)))</f>
        <v>106.45142857142864</v>
      </c>
      <c r="BE29" s="13">
        <f>BD29*VLOOKUP('Données projet'!$B$11,Paramètres!$A$1:$I$89,3,0)*VLOOKUP('Données projet'!$B$11,Paramètres!$A$1:$I$89,5,0)</f>
        <v>96.317252571428625</v>
      </c>
      <c r="BF29" s="13">
        <f t="shared" si="37"/>
        <v>26.082726965934707</v>
      </c>
      <c r="BG29" s="20">
        <f t="shared" si="7"/>
        <v>213.1799643609078</v>
      </c>
      <c r="BH29" s="59">
        <f t="shared" si="8"/>
        <v>443.46667841009798</v>
      </c>
      <c r="BI29" s="59">
        <f ca="1">AVERAGE(OFFSET($BH$3,0,0,'Données projet'!$E$11+1,1))-AVERAGE(OFFSET($H$3,0,0,'Données projet'!$E$11+1,1))</f>
        <v>681.47578137804555</v>
      </c>
      <c r="BJ29" s="59">
        <f t="shared" si="38"/>
        <v>300.88511065995885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8.0769230769230802</v>
      </c>
      <c r="BY29" s="12">
        <f>IF('Données projet'!$A$114&gt;35,BY28+BX29-CG28,IF(A29&lt;'Données projet'!$A$114,$BV$205^A29,IF(A29='Données projet'!$A$114,'Données projet'!$B$114,BY28+BX29-CG28)))</f>
        <v>101.02564102564105</v>
      </c>
      <c r="BZ29" s="13">
        <f>BY29*VLOOKUP('Données projet'!$B$12,Paramètres!$A$1:$I$89,3,0)*VLOOKUP('Données projet'!$B$12,Paramètres!$A$1:$I$89,5,0)</f>
        <v>67.768000000000029</v>
      </c>
      <c r="CA29" s="13">
        <f t="shared" si="39"/>
        <v>19.118132278240573</v>
      </c>
      <c r="CB29" s="20">
        <f t="shared" si="10"/>
        <v>151.32668038460238</v>
      </c>
      <c r="CC29" s="59">
        <f t="shared" si="11"/>
        <v>381.61339443379256</v>
      </c>
      <c r="CD29" s="59">
        <f ca="1">AVERAGE(OFFSET($CC$3,0,0,'Données projet'!$E$12+1,1))-AVERAGE(OFFSET($H$3,0,0,'Données projet'!$E$12+1,1))</f>
        <v>335.73816489539837</v>
      </c>
      <c r="CE29" s="59">
        <f t="shared" si="40"/>
        <v>254.09787950201044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3.4341111268678475</v>
      </c>
      <c r="CM29" s="21">
        <f>EXP(-LN(2)/2)*CM28+(1-EXP(-LN(2)/2))/(LN(2)/2)*CG29*CJ29*VLOOKUP('Données projet'!$B$12,Paramètres!$A$1:$I$89,3,0)*0.475*44/12</f>
        <v>2.1078216379452588</v>
      </c>
      <c r="CN29" s="22">
        <f t="shared" si="12"/>
        <v>5.5419327648131063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18.678333333333331</v>
      </c>
      <c r="CT29" s="12">
        <f>IF('Données projet'!$A$140&gt;35,CT28+CS29-DB28,IF(A29&lt;'Données projet'!$A$140,$CQ$205^A29,IF(A29='Données projet'!$A$140,'Données projet'!$B$140,CT28+CS29-DB28)))</f>
        <v>186.87499999999997</v>
      </c>
      <c r="CU29" s="17">
        <f>CT29*VLOOKUP('Données projet'!$B$13,Paramètres!$A$1:$I$89,3,0)*VLOOKUP('Données projet'!$B$13,Paramètres!$A$1:$I$89,5,0)</f>
        <v>111.75125</v>
      </c>
      <c r="CV29" s="13">
        <f t="shared" si="41"/>
        <v>29.743212667393731</v>
      </c>
      <c r="CW29" s="20">
        <f t="shared" si="13"/>
        <v>246.4361891457107</v>
      </c>
      <c r="CX29" s="59">
        <f t="shared" si="14"/>
        <v>476.72290319490088</v>
      </c>
      <c r="CY29" s="59">
        <f ca="1">AVERAGE(OFFSET($CX$3,0,0,'Données projet'!$E$13+1,1))-AVERAGE(OFFSET($H$3,0,0,'Données projet'!$E$13+1,1))</f>
        <v>318.50474972254085</v>
      </c>
      <c r="CZ29" s="59">
        <f t="shared" si="42"/>
        <v>326.45858332753562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4.908730455760308</v>
      </c>
      <c r="DG29" s="21">
        <f>EXP(-LN(2)/25)*DG28+(1-EXP(-LN(2)/25))/(LN(2)/25)*Calculateur!DB29*Calculateur!DD29*VLOOKUP('Données projet'!$B$13,Paramètres!$A$1:$I$89,3,0)*0.475*44/12</f>
        <v>12.770828408766588</v>
      </c>
      <c r="DH29" s="21">
        <f>EXP(-LN(2)/2)*DH28+(1-EXP(-LN(2)/2))/(LN(2)/2)*DB29*DE29*VLOOKUP('Données projet'!$B$13,Paramètres!$A$1:$I$89,3,0)*0.475*44/12</f>
        <v>5.9257490669553796</v>
      </c>
      <c r="DI29" s="22">
        <f t="shared" si="15"/>
        <v>23.605307931482276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3">
        <f>'Scénario référence'!$B$16*5+'Scénario référence'!$B$17*0+'Scénario référence'!$B$18*5</f>
        <v>5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67">
        <f t="shared" si="1"/>
        <v>183.33333333333334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4.3589743589743595</v>
      </c>
      <c r="N30" s="13">
        <f>IF('Données projet'!$A$36&gt;35,N29+M30-V29,IF(A30&lt;'Données projet'!$A$36,$K$205^A30,IF(A30='Données projet'!$A$36,'Données projet'!$B$36,N29+M30-V29)))</f>
        <v>112.5641025641026</v>
      </c>
      <c r="O30" s="13">
        <f>N30*VLOOKUP('Données projet'!$B$9,Paramètres!$A$1:$I$89,3,0)*VLOOKUP('Données projet'!$B$9,Paramètres!$A$1:$I$89,5,0)</f>
        <v>101.84800000000003</v>
      </c>
      <c r="P30" s="13">
        <f t="shared" si="33"/>
        <v>27.401787773922248</v>
      </c>
      <c r="Q30" s="20">
        <f t="shared" si="2"/>
        <v>225.1100470395813</v>
      </c>
      <c r="R30" s="59">
        <f t="shared" si="0"/>
        <v>457.62788991214484</v>
      </c>
      <c r="S30" s="59">
        <f ca="1">AVERAGE(OFFSET($R$3,0,0,'Données projet'!$E$9+1,1))-AVERAGE(OFFSET($H$3,0,0,'Données projet'!$E$9+1,1))</f>
        <v>214.60547318405733</v>
      </c>
      <c r="T30" s="59">
        <f t="shared" si="34"/>
        <v>306.35874106546646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1.0338707670284821</v>
      </c>
      <c r="AA30" s="21">
        <f>EXP(-LN(2)/25)*AA29+(1-EXP(-LN(2)/25))/(LN(2)/25)*Calculateur!V30*Calculateur!X30*VLOOKUP('Données projet'!$B$9,Paramètres!$A$1:$I$89,3,0)*0.475*44/12</f>
        <v>3.7864027224518919</v>
      </c>
      <c r="AB30" s="21">
        <f>EXP(-LN(2)/2)*AB29+(1-EXP(-LN(2)/2))/(LN(2)/2)*V30*Y30*VLOOKUP('Données projet'!$B$9,Paramètres!$A$1:$I$89,3,0)*0.475*44/12</f>
        <v>0</v>
      </c>
      <c r="AC30" s="22">
        <f t="shared" si="3"/>
        <v>4.8202734894803738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4.0942857142857143</v>
      </c>
      <c r="AI30" s="13">
        <f>IF('Données projet'!$A$62&gt;35,AI29+AH30-AQ29,IF(A30&lt;'Données projet'!$A$62,$AF$205^A30,IF(A30='Données projet'!$A$62,'Données projet'!$B$62,AI29+AH30-AQ29)))</f>
        <v>110.54571428571435</v>
      </c>
      <c r="AJ30" s="13">
        <f>AI30*VLOOKUP('Données projet'!$B$10,Paramètres!$A$1:$I$89,3,0)*VLOOKUP('Données projet'!$B$10,Paramètres!$A$1:$I$89,5,0)</f>
        <v>112.09335428571437</v>
      </c>
      <c r="AK30" s="13">
        <f t="shared" si="35"/>
        <v>29.823652732348606</v>
      </c>
      <c r="AL30" s="20">
        <f t="shared" si="4"/>
        <v>247.17212055645965</v>
      </c>
      <c r="AM30" s="59">
        <f t="shared" si="5"/>
        <v>479.68996342902312</v>
      </c>
      <c r="AN30" s="59">
        <f ca="1">AVERAGE(OFFSET($AM$3,0,0,'Données projet'!$E$10+1,1))-AVERAGE(OFFSET($H$3,0,0,'Données projet'!$E$10+1,1))</f>
        <v>752.45542076695506</v>
      </c>
      <c r="AO30" s="59">
        <f t="shared" si="36"/>
        <v>329.70629768420724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4.0942857142857143</v>
      </c>
      <c r="BD30" s="12">
        <f>IF('Données projet'!$A$88&gt;35,BD29+BC30-BL29,IF(A30&lt;'Données projet'!$A$88,$BA$205^A30,IF(A30='Données projet'!$A$88,'Données projet'!$B$88,BD29+BC30-BL29)))</f>
        <v>110.54571428571435</v>
      </c>
      <c r="BE30" s="13">
        <f>BD30*VLOOKUP('Données projet'!$B$11,Paramètres!$A$1:$I$89,3,0)*VLOOKUP('Données projet'!$B$11,Paramètres!$A$1:$I$89,5,0)</f>
        <v>100.02176228571433</v>
      </c>
      <c r="BF30" s="13">
        <f t="shared" si="37"/>
        <v>26.967182047167292</v>
      </c>
      <c r="BG30" s="20">
        <f t="shared" si="7"/>
        <v>221.17241137976885</v>
      </c>
      <c r="BH30" s="59">
        <f t="shared" si="8"/>
        <v>453.69025425233235</v>
      </c>
      <c r="BI30" s="59">
        <f ca="1">AVERAGE(OFFSET($BH$3,0,0,'Données projet'!$E$11+1,1))-AVERAGE(OFFSET($H$3,0,0,'Données projet'!$E$11+1,1))</f>
        <v>681.47578137804555</v>
      </c>
      <c r="BJ30" s="59">
        <f t="shared" si="38"/>
        <v>300.88511065995885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8.0769230769230802</v>
      </c>
      <c r="BY30" s="12">
        <f>IF('Données projet'!$A$114&gt;35,BY29+BX30-CG29,IF(A30&lt;'Données projet'!$A$114,$BV$205^A30,IF(A30='Données projet'!$A$114,'Données projet'!$B$114,BY29+BX30-CG29)))</f>
        <v>109.10256410256413</v>
      </c>
      <c r="BZ30" s="13">
        <f>BY30*VLOOKUP('Données projet'!$B$12,Paramètres!$A$1:$I$89,3,0)*VLOOKUP('Données projet'!$B$12,Paramètres!$A$1:$I$89,5,0)</f>
        <v>73.186000000000021</v>
      </c>
      <c r="CA30" s="13">
        <f t="shared" si="39"/>
        <v>20.462592502396515</v>
      </c>
      <c r="CB30" s="20">
        <f t="shared" si="10"/>
        <v>163.10463194167394</v>
      </c>
      <c r="CC30" s="59">
        <f t="shared" si="11"/>
        <v>395.62247481423742</v>
      </c>
      <c r="CD30" s="59">
        <f ca="1">AVERAGE(OFFSET($CC$3,0,0,'Données projet'!$E$12+1,1))-AVERAGE(OFFSET($H$3,0,0,'Données projet'!$E$12+1,1))</f>
        <v>335.73816489539837</v>
      </c>
      <c r="CE30" s="59">
        <f t="shared" si="40"/>
        <v>254.09787950201044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3.3402051775115909</v>
      </c>
      <c r="CM30" s="21">
        <f>EXP(-LN(2)/2)*CM29+(1-EXP(-LN(2)/2))/(LN(2)/2)*CG30*CJ30*VLOOKUP('Données projet'!$B$12,Paramètres!$A$1:$I$89,3,0)*0.475*44/12</f>
        <v>1.4904549737228283</v>
      </c>
      <c r="CN30" s="22">
        <f t="shared" si="12"/>
        <v>4.8306601512344187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18.678333333333331</v>
      </c>
      <c r="CT30" s="12">
        <f>IF('Données projet'!$A$140&gt;35,CT29+CS30-DB29,IF(A30&lt;'Données projet'!$A$140,$CQ$205^A30,IF(A30='Données projet'!$A$140,'Données projet'!$B$140,CT29+CS30-DB29)))</f>
        <v>205.55333333333331</v>
      </c>
      <c r="CU30" s="17">
        <f>CT30*VLOOKUP('Données projet'!$B$13,Paramètres!$A$1:$I$89,3,0)*VLOOKUP('Données projet'!$B$13,Paramètres!$A$1:$I$89,5,0)</f>
        <v>122.92089333333332</v>
      </c>
      <c r="CV30" s="13">
        <f t="shared" si="41"/>
        <v>32.355293246449399</v>
      </c>
      <c r="CW30" s="20">
        <f t="shared" si="13"/>
        <v>270.43935829312153</v>
      </c>
      <c r="CX30" s="59">
        <f t="shared" si="14"/>
        <v>502.95720116568503</v>
      </c>
      <c r="CY30" s="59">
        <f ca="1">AVERAGE(OFFSET($CX$3,0,0,'Données projet'!$E$13+1,1))-AVERAGE(OFFSET($H$3,0,0,'Données projet'!$E$13+1,1))</f>
        <v>318.50474972254085</v>
      </c>
      <c r="CZ30" s="59">
        <f t="shared" si="42"/>
        <v>326.45858332753562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4.8124732455527903</v>
      </c>
      <c r="DG30" s="21">
        <f>EXP(-LN(2)/25)*DG29+(1-EXP(-LN(2)/25))/(LN(2)/25)*Calculateur!DB30*Calculateur!DD30*VLOOKUP('Données projet'!$B$13,Paramètres!$A$1:$I$89,3,0)*0.475*44/12</f>
        <v>12.421609434340189</v>
      </c>
      <c r="DH30" s="21">
        <f>EXP(-LN(2)/2)*DH29+(1-EXP(-LN(2)/2))/(LN(2)/2)*DB30*DE30*VLOOKUP('Données projet'!$B$13,Paramètres!$A$1:$I$89,3,0)*0.475*44/12</f>
        <v>4.1901373488540061</v>
      </c>
      <c r="DI30" s="22">
        <f t="shared" si="15"/>
        <v>21.424220028746984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3">
        <f>'Scénario référence'!$B$16*5+'Scénario référence'!$B$17*0+'Scénario référence'!$B$18*5</f>
        <v>5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67">
        <f t="shared" si="1"/>
        <v>183.33333333333334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4.3589743589743595</v>
      </c>
      <c r="N31" s="13">
        <f>IF('Données projet'!$A$36&gt;35,N30+M31-V30,IF(A31&lt;'Données projet'!$A$36,$K$205^A31,IF(A31='Données projet'!$A$36,'Données projet'!$B$36,N30+M31-V30)))</f>
        <v>116.92307692307696</v>
      </c>
      <c r="O31" s="13">
        <f>N31*VLOOKUP('Données projet'!$B$9,Paramètres!$A$1:$I$89,3,0)*VLOOKUP('Données projet'!$B$9,Paramètres!$A$1:$I$89,5,0)</f>
        <v>105.79200000000003</v>
      </c>
      <c r="P31" s="13">
        <f t="shared" si="33"/>
        <v>28.337307525240949</v>
      </c>
      <c r="Q31" s="20">
        <f t="shared" si="2"/>
        <v>233.60854393979471</v>
      </c>
      <c r="R31" s="59">
        <f t="shared" si="0"/>
        <v>468.3400133617788</v>
      </c>
      <c r="S31" s="59">
        <f ca="1">AVERAGE(OFFSET($R$3,0,0,'Données projet'!$E$9+1,1))-AVERAGE(OFFSET($H$3,0,0,'Données projet'!$E$9+1,1))</f>
        <v>214.60547318405733</v>
      </c>
      <c r="T31" s="59">
        <f t="shared" si="34"/>
        <v>306.35874106546646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1.013597191885955</v>
      </c>
      <c r="AA31" s="21">
        <f>EXP(-LN(2)/25)*AA30+(1-EXP(-LN(2)/25))/(LN(2)/25)*Calculateur!V31*Calculateur!X31*VLOOKUP('Données projet'!$B$9,Paramètres!$A$1:$I$89,3,0)*0.475*44/12</f>
        <v>3.6828633408881797</v>
      </c>
      <c r="AB31" s="21">
        <f>EXP(-LN(2)/2)*AB30+(1-EXP(-LN(2)/2))/(LN(2)/2)*V31*Y31*VLOOKUP('Données projet'!$B$9,Paramètres!$A$1:$I$89,3,0)*0.475*44/12</f>
        <v>0</v>
      </c>
      <c r="AC31" s="22">
        <f t="shared" si="3"/>
        <v>4.6964605327741342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4.0942857142857143</v>
      </c>
      <c r="AI31" s="13">
        <f>IF('Données projet'!$A$62&gt;35,AI30+AH31-AQ30,IF(A31&lt;'Données projet'!$A$62,$AF$205^A31,IF(A31='Données projet'!$A$62,'Données projet'!$B$62,AI30+AH31-AQ30)))</f>
        <v>114.64000000000007</v>
      </c>
      <c r="AJ31" s="13">
        <f>AI31*VLOOKUP('Données projet'!$B$10,Paramètres!$A$1:$I$89,3,0)*VLOOKUP('Données projet'!$B$10,Paramètres!$A$1:$I$89,5,0)</f>
        <v>116.24496000000008</v>
      </c>
      <c r="AK31" s="13">
        <f t="shared" si="35"/>
        <v>30.797583987099902</v>
      </c>
      <c r="AL31" s="20">
        <f t="shared" si="4"/>
        <v>256.09909744419912</v>
      </c>
      <c r="AM31" s="59">
        <f t="shared" si="5"/>
        <v>490.83056686618318</v>
      </c>
      <c r="AN31" s="59">
        <f ca="1">AVERAGE(OFFSET($AM$3,0,0,'Données projet'!$E$10+1,1))-AVERAGE(OFFSET($H$3,0,0,'Données projet'!$E$10+1,1))</f>
        <v>752.45542076695506</v>
      </c>
      <c r="AO31" s="59">
        <f t="shared" si="36"/>
        <v>329.70629768420724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4.0942857142857143</v>
      </c>
      <c r="BD31" s="12">
        <f>IF('Données projet'!$A$88&gt;35,BD30+BC31-BL30,IF(A31&lt;'Données projet'!$A$88,$BA$205^A31,IF(A31='Données projet'!$A$88,'Données projet'!$B$88,BD30+BC31-BL30)))</f>
        <v>114.64000000000007</v>
      </c>
      <c r="BE31" s="13">
        <f>BD31*VLOOKUP('Données projet'!$B$11,Paramètres!$A$1:$I$89,3,0)*VLOOKUP('Données projet'!$B$11,Paramètres!$A$1:$I$89,5,0)</f>
        <v>103.72627200000005</v>
      </c>
      <c r="BF31" s="13">
        <f t="shared" si="37"/>
        <v>27.847831432539717</v>
      </c>
      <c r="BG31" s="20">
        <f t="shared" si="7"/>
        <v>229.15823014500677</v>
      </c>
      <c r="BH31" s="59">
        <f t="shared" si="8"/>
        <v>463.88969956699088</v>
      </c>
      <c r="BI31" s="59">
        <f ca="1">AVERAGE(OFFSET($BH$3,0,0,'Données projet'!$E$11+1,1))-AVERAGE(OFFSET($H$3,0,0,'Données projet'!$E$11+1,1))</f>
        <v>681.47578137804555</v>
      </c>
      <c r="BJ31" s="59">
        <f t="shared" si="38"/>
        <v>300.88511065995885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8.0769230769230802</v>
      </c>
      <c r="BY31" s="12">
        <f>IF('Données projet'!$A$114&gt;35,BY30+BX31-CG30,IF(A31&lt;'Données projet'!$A$114,$BV$205^A31,IF(A31='Données projet'!$A$114,'Données projet'!$B$114,BY30+BX31-CG30)))</f>
        <v>117.17948717948721</v>
      </c>
      <c r="BZ31" s="13">
        <f>BY31*VLOOKUP('Données projet'!$B$12,Paramètres!$A$1:$I$89,3,0)*VLOOKUP('Données projet'!$B$12,Paramètres!$A$1:$I$89,5,0)</f>
        <v>78.604000000000028</v>
      </c>
      <c r="CA31" s="13">
        <f t="shared" si="39"/>
        <v>21.795505948627731</v>
      </c>
      <c r="CB31" s="20">
        <f t="shared" si="10"/>
        <v>174.86247286052671</v>
      </c>
      <c r="CC31" s="59">
        <f t="shared" si="11"/>
        <v>409.5939422825108</v>
      </c>
      <c r="CD31" s="59">
        <f ca="1">AVERAGE(OFFSET($CC$3,0,0,'Données projet'!$E$12+1,1))-AVERAGE(OFFSET($H$3,0,0,'Données projet'!$E$12+1,1))</f>
        <v>335.73816489539837</v>
      </c>
      <c r="CE31" s="59">
        <f t="shared" si="40"/>
        <v>254.09787950201044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3.2488670912787803</v>
      </c>
      <c r="CM31" s="21">
        <f>EXP(-LN(2)/2)*CM30+(1-EXP(-LN(2)/2))/(LN(2)/2)*CG31*CJ31*VLOOKUP('Données projet'!$B$12,Paramètres!$A$1:$I$89,3,0)*0.475*44/12</f>
        <v>1.0539108189726294</v>
      </c>
      <c r="CN31" s="22">
        <f t="shared" si="12"/>
        <v>4.3027779102514092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18.678333333333331</v>
      </c>
      <c r="CT31" s="12">
        <f>IF('Données projet'!$A$140&gt;35,CT30+CS31-DB30,IF(A31&lt;'Données projet'!$A$140,$CQ$205^A31,IF(A31='Données projet'!$A$140,'Données projet'!$B$140,CT30+CS31-DB30)))</f>
        <v>224.23166666666665</v>
      </c>
      <c r="CU31" s="17">
        <f>CT31*VLOOKUP('Données projet'!$B$13,Paramètres!$A$1:$I$89,3,0)*VLOOKUP('Données projet'!$B$13,Paramètres!$A$1:$I$89,5,0)</f>
        <v>134.09053666666668</v>
      </c>
      <c r="CV31" s="13">
        <f t="shared" si="41"/>
        <v>34.93985124057766</v>
      </c>
      <c r="CW31" s="20">
        <f t="shared" si="13"/>
        <v>294.39459227178389</v>
      </c>
      <c r="CX31" s="59">
        <f t="shared" si="14"/>
        <v>529.12606169376795</v>
      </c>
      <c r="CY31" s="59">
        <f ca="1">AVERAGE(OFFSET($CX$3,0,0,'Données projet'!$E$13+1,1))-AVERAGE(OFFSET($H$3,0,0,'Données projet'!$E$13+1,1))</f>
        <v>318.50474972254085</v>
      </c>
      <c r="CZ31" s="59">
        <f t="shared" si="42"/>
        <v>326.45858332753562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4.7181035805263409</v>
      </c>
      <c r="DG31" s="21">
        <f>EXP(-LN(2)/25)*DG30+(1-EXP(-LN(2)/25))/(LN(2)/25)*Calculateur!DB31*Calculateur!DD31*VLOOKUP('Données projet'!$B$13,Paramètres!$A$1:$I$89,3,0)*0.475*44/12</f>
        <v>12.081939871134106</v>
      </c>
      <c r="DH31" s="21">
        <f>EXP(-LN(2)/2)*DH30+(1-EXP(-LN(2)/2))/(LN(2)/2)*DB31*DE31*VLOOKUP('Données projet'!$B$13,Paramètres!$A$1:$I$89,3,0)*0.475*44/12</f>
        <v>2.9628745334776903</v>
      </c>
      <c r="DI31" s="22">
        <f t="shared" si="15"/>
        <v>19.762917985138138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3">
        <f>'Scénario référence'!$B$16*5+'Scénario référence'!$B$17*0+'Scénario référence'!$B$18*5</f>
        <v>5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67">
        <f t="shared" si="1"/>
        <v>183.33333333333334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4.3589743589743595</v>
      </c>
      <c r="N32" s="13">
        <f>IF('Données projet'!$A$36&gt;35,N31+M32-V31,IF(A32&lt;'Données projet'!$A$36,$K$205^A32,IF(A32='Données projet'!$A$36,'Données projet'!$B$36,N31+M32-V31)))</f>
        <v>121.28205128205133</v>
      </c>
      <c r="O32" s="13">
        <f>N32*VLOOKUP('Données projet'!$B$9,Paramètres!$A$1:$I$89,3,0)*VLOOKUP('Données projet'!$B$9,Paramètres!$A$1:$I$89,5,0)</f>
        <v>109.73600000000003</v>
      </c>
      <c r="P32" s="13">
        <f t="shared" si="33"/>
        <v>29.268775417505548</v>
      </c>
      <c r="Q32" s="20">
        <f t="shared" si="2"/>
        <v>242.09998385215556</v>
      </c>
      <c r="R32" s="59">
        <f t="shared" si="0"/>
        <v>479.02788117493139</v>
      </c>
      <c r="S32" s="59">
        <f ca="1">AVERAGE(OFFSET($R$3,0,0,'Données projet'!$E$9+1,1))-AVERAGE(OFFSET($H$3,0,0,'Données projet'!$E$9+1,1))</f>
        <v>214.60547318405733</v>
      </c>
      <c r="T32" s="59">
        <f t="shared" si="34"/>
        <v>306.35874106546646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0.99372116918631304</v>
      </c>
      <c r="AA32" s="21">
        <f>EXP(-LN(2)/25)*AA31+(1-EXP(-LN(2)/25))/(LN(2)/25)*Calculateur!V32*Calculateur!X32*VLOOKUP('Données projet'!$B$9,Paramètres!$A$1:$I$89,3,0)*0.475*44/12</f>
        <v>3.5821552491582267</v>
      </c>
      <c r="AB32" s="21">
        <f>EXP(-LN(2)/2)*AB31+(1-EXP(-LN(2)/2))/(LN(2)/2)*V32*Y32*VLOOKUP('Données projet'!$B$9,Paramètres!$A$1:$I$89,3,0)*0.475*44/12</f>
        <v>0</v>
      </c>
      <c r="AC32" s="22">
        <f t="shared" si="3"/>
        <v>4.5758764183445395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4.0942857142857143</v>
      </c>
      <c r="AI32" s="13">
        <f>IF('Données projet'!$A$62&gt;35,AI31+AH32-AQ31,IF(A32&lt;'Données projet'!$A$62,$AF$205^A32,IF(A32='Données projet'!$A$62,'Données projet'!$B$62,AI31+AH32-AQ31)))</f>
        <v>118.73428571428579</v>
      </c>
      <c r="AJ32" s="13">
        <f>AI32*VLOOKUP('Données projet'!$B$10,Paramètres!$A$1:$I$89,3,0)*VLOOKUP('Données projet'!$B$10,Paramètres!$A$1:$I$89,5,0)</f>
        <v>120.39656571428579</v>
      </c>
      <c r="AK32" s="13">
        <f t="shared" si="35"/>
        <v>31.767473966995706</v>
      </c>
      <c r="AL32" s="20">
        <f t="shared" si="4"/>
        <v>265.01903577823191</v>
      </c>
      <c r="AM32" s="59">
        <f t="shared" si="5"/>
        <v>501.94693310100774</v>
      </c>
      <c r="AN32" s="59">
        <f ca="1">AVERAGE(OFFSET($AM$3,0,0,'Données projet'!$E$10+1,1))-AVERAGE(OFFSET($H$3,0,0,'Données projet'!$E$10+1,1))</f>
        <v>752.45542076695506</v>
      </c>
      <c r="AO32" s="59">
        <f t="shared" si="36"/>
        <v>329.70629768420724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4.0942857142857143</v>
      </c>
      <c r="BD32" s="12">
        <f>IF('Données projet'!$A$88&gt;35,BD31+BC32-BL31,IF(A32&lt;'Données projet'!$A$88,$BA$205^A32,IF(A32='Données projet'!$A$88,'Données projet'!$B$88,BD31+BC32-BL31)))</f>
        <v>118.73428571428579</v>
      </c>
      <c r="BE32" s="13">
        <f>BD32*VLOOKUP('Données projet'!$B$11,Paramètres!$A$1:$I$89,3,0)*VLOOKUP('Données projet'!$B$11,Paramètres!$A$1:$I$89,5,0)</f>
        <v>107.43078171428577</v>
      </c>
      <c r="BF32" s="13">
        <f t="shared" si="37"/>
        <v>28.724826611108305</v>
      </c>
      <c r="BG32" s="20">
        <f t="shared" si="7"/>
        <v>237.13768450006134</v>
      </c>
      <c r="BH32" s="59">
        <f t="shared" si="8"/>
        <v>474.0655818228372</v>
      </c>
      <c r="BI32" s="59">
        <f ca="1">AVERAGE(OFFSET($BH$3,0,0,'Données projet'!$E$11+1,1))-AVERAGE(OFFSET($H$3,0,0,'Données projet'!$E$11+1,1))</f>
        <v>681.47578137804555</v>
      </c>
      <c r="BJ32" s="59">
        <f t="shared" si="38"/>
        <v>300.88511065995885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8.0769230769230802</v>
      </c>
      <c r="BY32" s="12">
        <f>IF('Données projet'!$A$114&gt;35,BY31+BX32-CG31,IF(A32&lt;'Données projet'!$A$114,$BV$205^A32,IF(A32='Données projet'!$A$114,'Données projet'!$B$114,BY31+BX32-CG31)))</f>
        <v>125.25641025641029</v>
      </c>
      <c r="BZ32" s="13">
        <f>BY32*VLOOKUP('Données projet'!$B$12,Paramètres!$A$1:$I$89,3,0)*VLOOKUP('Données projet'!$B$12,Paramètres!$A$1:$I$89,5,0)</f>
        <v>84.022000000000034</v>
      </c>
      <c r="CA32" s="13">
        <f t="shared" si="39"/>
        <v>23.117759050061025</v>
      </c>
      <c r="CB32" s="20">
        <f t="shared" si="10"/>
        <v>186.60174701218966</v>
      </c>
      <c r="CC32" s="59">
        <f t="shared" si="11"/>
        <v>423.5296443349655</v>
      </c>
      <c r="CD32" s="59">
        <f ca="1">AVERAGE(OFFSET($CC$3,0,0,'Données projet'!$E$12+1,1))-AVERAGE(OFFSET($H$3,0,0,'Données projet'!$E$12+1,1))</f>
        <v>335.73816489539837</v>
      </c>
      <c r="CE32" s="59">
        <f t="shared" si="40"/>
        <v>254.09787950201044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3.1600266498172669</v>
      </c>
      <c r="CM32" s="21">
        <f>EXP(-LN(2)/2)*CM31+(1-EXP(-LN(2)/2))/(LN(2)/2)*CG32*CJ32*VLOOKUP('Données projet'!$B$12,Paramètres!$A$1:$I$89,3,0)*0.475*44/12</f>
        <v>0.74522748686141416</v>
      </c>
      <c r="CN32" s="22">
        <f t="shared" si="12"/>
        <v>3.905254136678681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>
        <f>VLOOKUP(A32,'Données projet'!$A$139:$I$159,2,0)</f>
        <v>242.91</v>
      </c>
      <c r="CR32" s="12">
        <f>VLOOKUP(A32,'Données projet'!$A$139:$I$159,9,0)</f>
        <v>18.678333333333331</v>
      </c>
      <c r="CS32" s="12">
        <f t="array" ref="CS32">INDEX(CR:CR,MIN(IF(ISNUMBER(CR32:CR228),ROW(CR32:CR228),"")))</f>
        <v>18.678333333333331</v>
      </c>
      <c r="CT32" s="12">
        <f>IF('Données projet'!$A$140&gt;35,CT31+CS32-DB31,IF(A32&lt;'Données projet'!$A$140,$CQ$205^A32,IF(A32='Données projet'!$A$140,'Données projet'!$B$140,CT31+CS32-DB31)))</f>
        <v>242.91</v>
      </c>
      <c r="CU32" s="17">
        <f>CT32*VLOOKUP('Données projet'!$B$13,Paramètres!$A$1:$I$89,3,0)*VLOOKUP('Données projet'!$B$13,Paramètres!$A$1:$I$89,5,0)</f>
        <v>145.26018000000002</v>
      </c>
      <c r="CV32" s="13">
        <f t="shared" si="41"/>
        <v>37.499439910321911</v>
      </c>
      <c r="CW32" s="20">
        <f t="shared" si="13"/>
        <v>318.30633801047736</v>
      </c>
      <c r="CX32" s="59">
        <f t="shared" si="14"/>
        <v>555.2342353332532</v>
      </c>
      <c r="CY32" s="59">
        <f ca="1">AVERAGE(OFFSET($CX$3,0,0,'Données projet'!$E$13+1,1))-AVERAGE(OFFSET($H$3,0,0,'Données projet'!$E$13+1,1))</f>
        <v>318.50474972254085</v>
      </c>
      <c r="CZ32" s="59">
        <f t="shared" si="42"/>
        <v>326.45858332753562</v>
      </c>
      <c r="DA32" s="15">
        <f>IF(ISNA(VLOOKUP(A32,'Données projet'!$A$139:$I$159,3,0)),0,VLOOKUP(A32,'Données projet'!$A$139:$I$159,3,0))</f>
        <v>3</v>
      </c>
      <c r="DB32" s="15">
        <f>IF(ISNA(VLOOKUP(A32,'Données projet'!$A$139:$I$159,4,0)),0,VLOOKUP(A32,'Données projet'!$A$139:$I$159,4,0))</f>
        <v>54.97</v>
      </c>
      <c r="DC32" s="16">
        <f>IF(ISNA(VLOOKUP(A32,'Données projet'!$A$139:$I$159,5,0)),0%,VLOOKUP(A32,'Données projet'!$A$139:$I$159,5,0)*VLOOKUP('Données projet'!$B$13,Paramètres!$A$1:$I$89,7,0))</f>
        <v>0.27</v>
      </c>
      <c r="DD32" s="16">
        <f>IF(ISNA(VLOOKUP(A32,'Données projet'!$A$139:$I$159,6,0)),0%,VLOOKUP(A32,'Données projet'!$A$139:$I$159,6,0)*VLOOKUP('Données projet'!$B$13,Paramètres!$A$1:$I$89,7,0))</f>
        <v>9.0000000000000011E-2</v>
      </c>
      <c r="DE32" s="16">
        <f>IF(ISNA(VLOOKUP(A32,'Données projet'!$A$139:$I$159,7,0)),0%,VLOOKUP(A32,'Données projet'!$A$139:$I$159,7,0))</f>
        <v>0.2</v>
      </c>
      <c r="DF32" s="21">
        <f>EXP(-LN(2)/35)*DF31+(1-EXP(-LN(2)/35))/(LN(2)/35)*DB32*DC32*VLOOKUP('Données projet'!$B$13,Paramètres!$A$1:$I$89,3,0)*0.475*44/12</f>
        <v>16.399449167801741</v>
      </c>
      <c r="DG32" s="21">
        <f>EXP(-LN(2)/25)*DG31+(1-EXP(-LN(2)/25))/(LN(2)/25)*Calculateur!DB32*Calculateur!DD32*VLOOKUP('Données projet'!$B$13,Paramètres!$A$1:$I$89,3,0)*0.475*44/12</f>
        <v>15.66072743303994</v>
      </c>
      <c r="DH32" s="21">
        <f>EXP(-LN(2)/2)*DH31+(1-EXP(-LN(2)/2))/(LN(2)/2)*DB32*DE32*VLOOKUP('Données projet'!$B$13,Paramètres!$A$1:$I$89,3,0)*0.475*44/12</f>
        <v>9.5388302780725702</v>
      </c>
      <c r="DI32" s="22">
        <f t="shared" si="15"/>
        <v>41.599006878914253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3">
        <f>'Scénario référence'!$B$16*5+'Scénario référence'!$B$17*0+'Scénario référence'!$B$18*5</f>
        <v>5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67">
        <f t="shared" si="1"/>
        <v>183.33333333333334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125.64102564102564</v>
      </c>
      <c r="L33" s="12">
        <f>VLOOKUP(A33,'Données projet'!$A$35:$I$55,9,0)</f>
        <v>4.3589743589743595</v>
      </c>
      <c r="M33" s="12">
        <f t="array" ref="M33">INDEX(L:L,MIN(IF(ISNUMBER(L33:L229),ROW(L33:L229),"")))</f>
        <v>4.3589743589743595</v>
      </c>
      <c r="N33" s="13">
        <f>IF('Données projet'!$A$36&gt;35,N32+M33-V32,IF(A33&lt;'Données projet'!$A$36,$K$205^A33,IF(A33='Données projet'!$A$36,'Données projet'!$B$36,N32+M33-V32)))</f>
        <v>125.64102564102569</v>
      </c>
      <c r="O33" s="13">
        <f>N33*VLOOKUP('Données projet'!$B$9,Paramètres!$A$1:$I$89,3,0)*VLOOKUP('Données projet'!$B$9,Paramètres!$A$1:$I$89,5,0)</f>
        <v>113.68000000000004</v>
      </c>
      <c r="P33" s="13">
        <f t="shared" si="33"/>
        <v>30.196353760243682</v>
      </c>
      <c r="Q33" s="20">
        <f t="shared" si="2"/>
        <v>250.58464946575782</v>
      </c>
      <c r="R33" s="59">
        <f t="shared" si="0"/>
        <v>489.69207439879983</v>
      </c>
      <c r="S33" s="59">
        <f ca="1">AVERAGE(OFFSET($R$3,0,0,'Données projet'!$E$9+1,1))-AVERAGE(OFFSET($H$3,0,0,'Données projet'!$E$9+1,1))</f>
        <v>214.60547318405733</v>
      </c>
      <c r="T33" s="59">
        <f t="shared" si="34"/>
        <v>306.35874106546646</v>
      </c>
      <c r="U33" s="15">
        <f>IF(ISNA(VLOOKUP(A33,'Données projet'!$A$35:$I$55,3,0)),0,VLOOKUP(A33,'Données projet'!$A$35:$I$55,3,0))</f>
        <v>6</v>
      </c>
      <c r="V33" s="15">
        <f>IF(ISNA(VLOOKUP(A33,'Données projet'!$A$35:$I$55,4,0)),0,VLOOKUP(A33,'Données projet'!$A$35:$I$55,4,0))</f>
        <v>5.7692307692307692</v>
      </c>
      <c r="W33" s="16">
        <f>IF(ISNA(VLOOKUP(A33,'Données projet'!$A$35:$I$55,5,0)),0%,VLOOKUP(A33,'Données projet'!$A$35:$I$55,5,0)*VLOOKUP('Données projet'!$B$9,Paramètres!$A$1:$I$89,7,0))</f>
        <v>0.03</v>
      </c>
      <c r="X33" s="16">
        <f>IF(ISNA(VLOOKUP(A33,'Données projet'!$A$35:$I$55,6,0)),0%,VLOOKUP(A33,'Données projet'!$A$35:$I$55,6,0)*VLOOKUP('Données projet'!$B$9,Paramètres!$A$1:$I$89,7,0))</f>
        <v>0.12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1.1473515646034942</v>
      </c>
      <c r="AA33" s="21">
        <f>EXP(-LN(2)/25)*AA32+(1-EXP(-LN(2)/25))/(LN(2)/25)*Calculateur!V33*Calculateur!X33*VLOOKUP('Données projet'!$B$9,Paramètres!$A$1:$I$89,3,0)*0.475*44/12</f>
        <v>4.1739411661973236</v>
      </c>
      <c r="AB33" s="21">
        <f>EXP(-LN(2)/2)*AB32+(1-EXP(-LN(2)/2))/(LN(2)/2)*V33*Y33*VLOOKUP('Données projet'!$B$9,Paramètres!$A$1:$I$89,3,0)*0.475*44/12</f>
        <v>0</v>
      </c>
      <c r="AC33" s="22">
        <f t="shared" si="3"/>
        <v>5.3212927308008178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4.0942857142857143</v>
      </c>
      <c r="AI33" s="13">
        <f>IF('Données projet'!$A$62&gt;35,AI32+AH33-AQ32,IF(A33&lt;'Données projet'!$A$62,$AF$205^A33,IF(A33='Données projet'!$A$62,'Données projet'!$B$62,AI32+AH33-AQ32)))</f>
        <v>122.82857142857151</v>
      </c>
      <c r="AJ33" s="13">
        <f>AI33*VLOOKUP('Données projet'!$B$10,Paramètres!$A$1:$I$89,3,0)*VLOOKUP('Données projet'!$B$10,Paramètres!$A$1:$I$89,5,0)</f>
        <v>124.54817142857152</v>
      </c>
      <c r="AK33" s="13">
        <f t="shared" si="35"/>
        <v>32.733477997934884</v>
      </c>
      <c r="AL33" s="20">
        <f t="shared" si="4"/>
        <v>273.93220608449866</v>
      </c>
      <c r="AM33" s="59">
        <f t="shared" si="5"/>
        <v>513.03963101754061</v>
      </c>
      <c r="AN33" s="59">
        <f ca="1">AVERAGE(OFFSET($AM$3,0,0,'Données projet'!$E$10+1,1))-AVERAGE(OFFSET($H$3,0,0,'Données projet'!$E$10+1,1))</f>
        <v>752.45542076695506</v>
      </c>
      <c r="AO33" s="59">
        <f t="shared" si="36"/>
        <v>329.70629768420724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4.0942857142857143</v>
      </c>
      <c r="BD33" s="12">
        <f>IF('Données projet'!$A$88&gt;35,BD32+BC33-BL32,IF(A33&lt;'Données projet'!$A$88,$BA$205^A33,IF(A33='Données projet'!$A$88,'Données projet'!$B$88,BD32+BC33-BL32)))</f>
        <v>122.82857142857151</v>
      </c>
      <c r="BE33" s="13">
        <f>BD33*VLOOKUP('Données projet'!$B$11,Paramètres!$A$1:$I$89,3,0)*VLOOKUP('Données projet'!$B$11,Paramètres!$A$1:$I$89,5,0)</f>
        <v>111.13529142857149</v>
      </c>
      <c r="BF33" s="13">
        <f t="shared" si="37"/>
        <v>29.598308031859261</v>
      </c>
      <c r="BG33" s="20">
        <f t="shared" si="7"/>
        <v>245.11101906025024</v>
      </c>
      <c r="BH33" s="59">
        <f t="shared" si="8"/>
        <v>484.21844399329223</v>
      </c>
      <c r="BI33" s="59">
        <f ca="1">AVERAGE(OFFSET($BH$3,0,0,'Données projet'!$E$11+1,1))-AVERAGE(OFFSET($H$3,0,0,'Données projet'!$E$11+1,1))</f>
        <v>681.47578137804555</v>
      </c>
      <c r="BJ33" s="59">
        <f t="shared" si="38"/>
        <v>300.88511065995885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133.33333333333334</v>
      </c>
      <c r="BW33" s="12">
        <f>VLOOKUP(A33,'Données projet'!$A$113:$I$133,9,0)</f>
        <v>8.0769230769230802</v>
      </c>
      <c r="BX33" s="12">
        <f t="array" ref="BX33">INDEX(BW:BW,MIN(IF(ISNUMBER(BW33:BW229),ROW(BW33:BW229),"")))</f>
        <v>8.0769230769230802</v>
      </c>
      <c r="BY33" s="12">
        <f>IF('Données projet'!$A$114&gt;35,BY32+BX33-CG32,IF(A33&lt;'Données projet'!$A$114,$BV$205^A33,IF(A33='Données projet'!$A$114,'Données projet'!$B$114,BY32+BX33-CG32)))</f>
        <v>133.33333333333337</v>
      </c>
      <c r="BZ33" s="13">
        <f>BY33*VLOOKUP('Données projet'!$B$12,Paramètres!$A$1:$I$89,3,0)*VLOOKUP('Données projet'!$B$12,Paramètres!$A$1:$I$89,5,0)</f>
        <v>89.440000000000026</v>
      </c>
      <c r="CA33" s="13">
        <f t="shared" si="39"/>
        <v>24.430117455867048</v>
      </c>
      <c r="CB33" s="20">
        <f t="shared" si="10"/>
        <v>198.3237879023018</v>
      </c>
      <c r="CC33" s="59">
        <f t="shared" si="11"/>
        <v>437.43121283534379</v>
      </c>
      <c r="CD33" s="59">
        <f ca="1">AVERAGE(OFFSET($CC$3,0,0,'Données projet'!$E$12+1,1))-AVERAGE(OFFSET($H$3,0,0,'Données projet'!$E$12+1,1))</f>
        <v>335.73816489539837</v>
      </c>
      <c r="CE33" s="59">
        <f t="shared" si="40"/>
        <v>254.09787950201044</v>
      </c>
      <c r="CF33" s="15">
        <f>IF(ISNA(VLOOKUP(A33,'Données projet'!$A$113:$I$133,3,0)),0,VLOOKUP(A33,'Données projet'!$A$113:$I$133,3,0))</f>
        <v>4</v>
      </c>
      <c r="CG33" s="15">
        <f>IF(ISNA(VLOOKUP(A33,'Données projet'!$A$113:$I$133,4,0)),0,VLOOKUP(A33,'Données projet'!$A$113:$I$133,4,0))</f>
        <v>16.666666666666668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0.13250000000000001</v>
      </c>
      <c r="CJ33" s="16">
        <f>IF(ISNA(VLOOKUP(A33,'Données projet'!$A$113:$I$133,7,0)),0%,VLOOKUP(A33,'Données projet'!$A$113:$I$133,7,0))</f>
        <v>0.25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4.7047562915419743</v>
      </c>
      <c r="CM33" s="21">
        <f>EXP(-LN(2)/2)*CM32+(1-EXP(-LN(2)/2))/(LN(2)/2)*CG33*CJ33*VLOOKUP('Données projet'!$B$12,Paramètres!$A$1:$I$89,3,0)*0.475*44/12</f>
        <v>3.1641131358083752</v>
      </c>
      <c r="CN33" s="22">
        <f t="shared" si="12"/>
        <v>7.868869427350349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17.804285714285715</v>
      </c>
      <c r="CT33" s="12">
        <f>IF('Données projet'!$A$140&gt;35,CT32+CS33-DB32,IF(A33&lt;'Données projet'!$A$140,$CQ$205^A33,IF(A33='Données projet'!$A$140,'Données projet'!$B$140,CT32+CS33-DB32)))</f>
        <v>205.74428571428572</v>
      </c>
      <c r="CU33" s="17">
        <f>CT33*VLOOKUP('Données projet'!$B$13,Paramètres!$A$1:$I$89,3,0)*VLOOKUP('Données projet'!$B$13,Paramètres!$A$1:$I$89,5,0)</f>
        <v>123.03508285714287</v>
      </c>
      <c r="CV33" s="13">
        <f t="shared" si="41"/>
        <v>32.381850192327164</v>
      </c>
      <c r="CW33" s="20">
        <f t="shared" si="13"/>
        <v>270.68449172782698</v>
      </c>
      <c r="CX33" s="59">
        <f t="shared" si="14"/>
        <v>509.79191666086899</v>
      </c>
      <c r="CY33" s="59">
        <f ca="1">AVERAGE(OFFSET($CX$3,0,0,'Données projet'!$E$13+1,1))-AVERAGE(OFFSET($H$3,0,0,'Données projet'!$E$13+1,1))</f>
        <v>318.50474972254085</v>
      </c>
      <c r="CZ33" s="59">
        <f t="shared" si="42"/>
        <v>326.45858332753562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16.07786597229746</v>
      </c>
      <c r="DG33" s="21">
        <f>EXP(-LN(2)/25)*DG32+(1-EXP(-LN(2)/25))/(LN(2)/25)*Calculateur!DB33*Calculateur!DD33*VLOOKUP('Données projet'!$B$13,Paramètres!$A$1:$I$89,3,0)*0.475*44/12</f>
        <v>15.2324840178216</v>
      </c>
      <c r="DH33" s="21">
        <f>EXP(-LN(2)/2)*DH32+(1-EXP(-LN(2)/2))/(LN(2)/2)*DB33*DE33*VLOOKUP('Données projet'!$B$13,Paramètres!$A$1:$I$89,3,0)*0.475*44/12</f>
        <v>6.7449715742126752</v>
      </c>
      <c r="DI33" s="22">
        <f t="shared" si="15"/>
        <v>38.055321564331734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3">
        <f>'Scénario référence'!$B$16*5+'Scénario référence'!$B$17*0+'Scénario référence'!$B$18*5</f>
        <v>5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67">
        <f t="shared" si="1"/>
        <v>183.33333333333334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3.7179487179487181</v>
      </c>
      <c r="N34" s="13">
        <f>IF('Données projet'!$A$36&gt;35,N33+M34-V33,IF(A34&lt;'Données projet'!$A$36,$K$205^A34,IF(A34='Données projet'!$A$36,'Données projet'!$B$36,N33+M34-V33)))</f>
        <v>123.58974358974365</v>
      </c>
      <c r="O34" s="13">
        <f>N34*VLOOKUP('Données projet'!$B$9,Paramètres!$A$1:$I$89,3,0)*VLOOKUP('Données projet'!$B$9,Paramètres!$A$1:$I$89,5,0)</f>
        <v>111.82400000000004</v>
      </c>
      <c r="P34" s="13">
        <f t="shared" si="33"/>
        <v>29.760321002196417</v>
      </c>
      <c r="Q34" s="20">
        <f t="shared" si="2"/>
        <v>246.59269241215881</v>
      </c>
      <c r="R34" s="59">
        <f t="shared" si="0"/>
        <v>486.64081562497637</v>
      </c>
      <c r="S34" s="59">
        <f ca="1">AVERAGE(OFFSET($R$3,0,0,'Données projet'!$E$9+1,1))-AVERAGE(OFFSET($H$3,0,0,'Données projet'!$E$9+1,1))</f>
        <v>214.60547318405733</v>
      </c>
      <c r="T34" s="59">
        <f t="shared" si="34"/>
        <v>306.35874106546646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1.124852700236973</v>
      </c>
      <c r="AA34" s="21">
        <f>EXP(-LN(2)/25)*AA33+(1-EXP(-LN(2)/25))/(LN(2)/25)*Calculateur!V34*Calculateur!X34*VLOOKUP('Données projet'!$B$9,Paramètres!$A$1:$I$89,3,0)*0.475*44/12</f>
        <v>4.0598045255096311</v>
      </c>
      <c r="AB34" s="21">
        <f>EXP(-LN(2)/2)*AB33+(1-EXP(-LN(2)/2))/(LN(2)/2)*V34*Y34*VLOOKUP('Données projet'!$B$9,Paramètres!$A$1:$I$89,3,0)*0.475*44/12</f>
        <v>0</v>
      </c>
      <c r="AC34" s="22">
        <f t="shared" si="3"/>
        <v>5.1846572257466041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4.0942857142857143</v>
      </c>
      <c r="AI34" s="13">
        <f>IF('Données projet'!$A$62&gt;35,AI33+AH34-AQ33,IF(A34&lt;'Données projet'!$A$62,$AF$205^A34,IF(A34='Données projet'!$A$62,'Données projet'!$B$62,AI33+AH34-AQ33)))</f>
        <v>126.92285714285723</v>
      </c>
      <c r="AJ34" s="13">
        <f>AI34*VLOOKUP('Données projet'!$B$10,Paramètres!$A$1:$I$89,3,0)*VLOOKUP('Données projet'!$B$10,Paramètres!$A$1:$I$89,5,0)</f>
        <v>128.69977714285722</v>
      </c>
      <c r="AK34" s="13">
        <f t="shared" si="35"/>
        <v>33.69574046316044</v>
      </c>
      <c r="AL34" s="20">
        <f t="shared" si="4"/>
        <v>282.83885983048071</v>
      </c>
      <c r="AM34" s="59">
        <f t="shared" si="5"/>
        <v>522.8869830432983</v>
      </c>
      <c r="AN34" s="59">
        <f ca="1">AVERAGE(OFFSET($AM$3,0,0,'Données projet'!$E$10+1,1))-AVERAGE(OFFSET($H$3,0,0,'Données projet'!$E$10+1,1))</f>
        <v>752.45542076695506</v>
      </c>
      <c r="AO34" s="59">
        <f t="shared" si="36"/>
        <v>329.70629768420724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4.0942857142857143</v>
      </c>
      <c r="BD34" s="12">
        <f>IF('Données projet'!$A$88&gt;35,BD33+BC34-BL33,IF(A34&lt;'Données projet'!$A$88,$BA$205^A34,IF(A34='Données projet'!$A$88,'Données projet'!$B$88,BD33+BC34-BL33)))</f>
        <v>126.92285714285723</v>
      </c>
      <c r="BE34" s="13">
        <f>BD34*VLOOKUP('Données projet'!$B$11,Paramètres!$A$1:$I$89,3,0)*VLOOKUP('Données projet'!$B$11,Paramètres!$A$1:$I$89,5,0)</f>
        <v>114.83980114285721</v>
      </c>
      <c r="BF34" s="13">
        <f t="shared" si="37"/>
        <v>30.468406249196239</v>
      </c>
      <c r="BG34" s="20">
        <f t="shared" si="7"/>
        <v>253.07846120782642</v>
      </c>
      <c r="BH34" s="59">
        <f t="shared" si="8"/>
        <v>493.12658442064401</v>
      </c>
      <c r="BI34" s="59">
        <f ca="1">AVERAGE(OFFSET($BH$3,0,0,'Données projet'!$E$11+1,1))-AVERAGE(OFFSET($H$3,0,0,'Données projet'!$E$11+1,1))</f>
        <v>681.47578137804555</v>
      </c>
      <c r="BJ34" s="59">
        <f t="shared" si="38"/>
        <v>300.88511065995885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7.6923076923076881</v>
      </c>
      <c r="BY34" s="12">
        <f>IF('Données projet'!$A$114&gt;35,BY33+BX34-CG33,IF(A34&lt;'Données projet'!$A$114,$BV$205^A34,IF(A34='Données projet'!$A$114,'Données projet'!$B$114,BY33+BX34-CG33)))</f>
        <v>124.35897435897438</v>
      </c>
      <c r="BZ34" s="13">
        <f>BY34*VLOOKUP('Données projet'!$B$12,Paramètres!$A$1:$I$89,3,0)*VLOOKUP('Données projet'!$B$12,Paramètres!$A$1:$I$89,5,0)</f>
        <v>83.420000000000016</v>
      </c>
      <c r="CA34" s="13">
        <f t="shared" si="39"/>
        <v>22.971343750654679</v>
      </c>
      <c r="CB34" s="20">
        <f t="shared" si="10"/>
        <v>185.29825703239024</v>
      </c>
      <c r="CC34" s="59">
        <f t="shared" si="11"/>
        <v>425.3463802452078</v>
      </c>
      <c r="CD34" s="59">
        <f ca="1">AVERAGE(OFFSET($CC$3,0,0,'Données projet'!$E$12+1,1))-AVERAGE(OFFSET($H$3,0,0,'Données projet'!$E$12+1,1))</f>
        <v>335.73816489539837</v>
      </c>
      <c r="CE34" s="59">
        <f t="shared" si="40"/>
        <v>254.09787950201044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4.5761044833373781</v>
      </c>
      <c r="CM34" s="21">
        <f>EXP(-LN(2)/2)*CM33+(1-EXP(-LN(2)/2))/(LN(2)/2)*CG34*CJ34*VLOOKUP('Données projet'!$B$12,Paramètres!$A$1:$I$89,3,0)*0.475*44/12</f>
        <v>2.2373658547715336</v>
      </c>
      <c r="CN34" s="22">
        <f t="shared" si="12"/>
        <v>6.8134703381089121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17.804285714285715</v>
      </c>
      <c r="CT34" s="12">
        <f>IF('Données projet'!$A$140&gt;35,CT33+CS34-DB33,IF(A34&lt;'Données projet'!$A$140,$CQ$205^A34,IF(A34='Données projet'!$A$140,'Données projet'!$B$140,CT33+CS34-DB33)))</f>
        <v>223.54857142857145</v>
      </c>
      <c r="CU34" s="17">
        <f>CT34*VLOOKUP('Données projet'!$B$13,Paramètres!$A$1:$I$89,3,0)*VLOOKUP('Données projet'!$B$13,Paramètres!$A$1:$I$89,5,0)</f>
        <v>133.68204571428575</v>
      </c>
      <c r="CV34" s="13">
        <f t="shared" si="41"/>
        <v>34.84578405456601</v>
      </c>
      <c r="CW34" s="20">
        <f t="shared" si="13"/>
        <v>293.51930351408345</v>
      </c>
      <c r="CX34" s="59">
        <f t="shared" si="14"/>
        <v>533.56742672690098</v>
      </c>
      <c r="CY34" s="59">
        <f ca="1">AVERAGE(OFFSET($CX$3,0,0,'Données projet'!$E$13+1,1))-AVERAGE(OFFSET($H$3,0,0,'Données projet'!$E$13+1,1))</f>
        <v>318.50474972254085</v>
      </c>
      <c r="CZ34" s="59">
        <f t="shared" si="42"/>
        <v>326.45858332753562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15.762588827110635</v>
      </c>
      <c r="DG34" s="21">
        <f>EXP(-LN(2)/25)*DG33+(1-EXP(-LN(2)/25))/(LN(2)/25)*Calculateur!DB34*Calculateur!DD34*VLOOKUP('Données projet'!$B$13,Paramètres!$A$1:$I$89,3,0)*0.475*44/12</f>
        <v>14.815950941312748</v>
      </c>
      <c r="DH34" s="21">
        <f>EXP(-LN(2)/2)*DH33+(1-EXP(-LN(2)/2))/(LN(2)/2)*DB34*DE34*VLOOKUP('Données projet'!$B$13,Paramètres!$A$1:$I$89,3,0)*0.475*44/12</f>
        <v>4.7694151390362851</v>
      </c>
      <c r="DI34" s="22">
        <f t="shared" si="15"/>
        <v>35.347954907459666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3">
        <f>'Scénario référence'!$B$16*5+'Scénario référence'!$B$17*0+'Scénario référence'!$B$18*5</f>
        <v>5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67">
        <f t="shared" si="1"/>
        <v>183.33333333333334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3.7179487179487181</v>
      </c>
      <c r="N35" s="13">
        <f>IF('Données projet'!$A$36&gt;35,N34+M35-V34,IF(A35&lt;'Données projet'!$A$36,$K$205^A35,IF(A35='Données projet'!$A$36,'Données projet'!$B$36,N34+M35-V34)))</f>
        <v>127.30769230769236</v>
      </c>
      <c r="O35" s="13">
        <f>N35*VLOOKUP('Données projet'!$B$9,Paramètres!$A$1:$I$89,3,0)*VLOOKUP('Données projet'!$B$9,Paramètres!$A$1:$I$89,5,0)</f>
        <v>115.18800000000006</v>
      </c>
      <c r="P35" s="13">
        <f t="shared" si="33"/>
        <v>30.550020086194078</v>
      </c>
      <c r="Q35" s="20">
        <f t="shared" ref="Q35:Q66" si="53">(O35+P35)*0.475*44/12</f>
        <v>253.82705165012138</v>
      </c>
      <c r="R35" s="59">
        <f t="shared" si="0"/>
        <v>494.7995541306467</v>
      </c>
      <c r="S35" s="59">
        <f ca="1">AVERAGE(OFFSET($R$3,0,0,'Données projet'!$E$9+1,1))-AVERAGE(OFFSET($H$3,0,0,'Données projet'!$E$9+1,1))</f>
        <v>214.60547318405733</v>
      </c>
      <c r="T35" s="59">
        <f t="shared" si="34"/>
        <v>306.35874106546646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1.1027950248777272</v>
      </c>
      <c r="AA35" s="21">
        <f>EXP(-LN(2)/25)*AA34+(1-EXP(-LN(2)/25))/(LN(2)/25)*Calculateur!V35*Calculateur!X35*VLOOKUP('Données projet'!$B$9,Paramètres!$A$1:$I$89,3,0)*0.475*44/12</f>
        <v>3.9487889572637291</v>
      </c>
      <c r="AB35" s="21">
        <f>EXP(-LN(2)/2)*AB34+(1-EXP(-LN(2)/2))/(LN(2)/2)*V35*Y35*VLOOKUP('Données projet'!$B$9,Paramètres!$A$1:$I$89,3,0)*0.475*44/12</f>
        <v>0</v>
      </c>
      <c r="AC35" s="22">
        <f t="shared" si="3"/>
        <v>5.0515839821414561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4.0942857142857143</v>
      </c>
      <c r="AI35" s="13">
        <f>IF('Données projet'!$A$62&gt;35,AI34+AH35-AQ34,IF(A35&lt;'Données projet'!$A$62,$AF$205^A35,IF(A35='Données projet'!$A$62,'Données projet'!$B$62,AI34+AH35-AQ34)))</f>
        <v>131.01714285714294</v>
      </c>
      <c r="AJ35" s="13">
        <f>AI35*VLOOKUP('Données projet'!$B$10,Paramètres!$A$1:$I$89,3,0)*VLOOKUP('Données projet'!$B$10,Paramètres!$A$1:$I$89,5,0)</f>
        <v>132.85138285714297</v>
      </c>
      <c r="AK35" s="13">
        <f t="shared" si="35"/>
        <v>34.654395902029187</v>
      </c>
      <c r="AL35" s="20">
        <f t="shared" si="4"/>
        <v>291.73923133889144</v>
      </c>
      <c r="AM35" s="59">
        <f t="shared" si="5"/>
        <v>532.71173381941674</v>
      </c>
      <c r="AN35" s="59">
        <f ca="1">AVERAGE(OFFSET($AM$3,0,0,'Données projet'!$E$10+1,1))-AVERAGE(OFFSET($H$3,0,0,'Données projet'!$E$10+1,1))</f>
        <v>752.45542076695506</v>
      </c>
      <c r="AO35" s="59">
        <f t="shared" si="36"/>
        <v>329.70629768420724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4.0942857142857143</v>
      </c>
      <c r="BD35" s="12">
        <f>IF('Données projet'!$A$88&gt;35,BD34+BC35-BL34,IF(A35&lt;'Données projet'!$A$88,$BA$205^A35,IF(A35='Données projet'!$A$88,'Données projet'!$B$88,BD34+BC35-BL34)))</f>
        <v>131.01714285714294</v>
      </c>
      <c r="BE35" s="13">
        <f>BD35*VLOOKUP('Données projet'!$B$11,Paramètres!$A$1:$I$89,3,0)*VLOOKUP('Données projet'!$B$11,Paramètres!$A$1:$I$89,5,0)</f>
        <v>118.54431085714293</v>
      </c>
      <c r="BF35" s="13">
        <f t="shared" si="37"/>
        <v>31.335242916471387</v>
      </c>
      <c r="BG35" s="20">
        <f t="shared" si="7"/>
        <v>261.04022282237821</v>
      </c>
      <c r="BH35" s="59">
        <f t="shared" si="8"/>
        <v>502.0127253029035</v>
      </c>
      <c r="BI35" s="59">
        <f ca="1">AVERAGE(OFFSET($BH$3,0,0,'Données projet'!$E$11+1,1))-AVERAGE(OFFSET($H$3,0,0,'Données projet'!$E$11+1,1))</f>
        <v>681.47578137804555</v>
      </c>
      <c r="BJ35" s="59">
        <f t="shared" si="38"/>
        <v>300.88511065995885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7.6923076923076881</v>
      </c>
      <c r="BY35" s="12">
        <f>IF('Données projet'!$A$114&gt;35,BY34+BX35-CG34,IF(A35&lt;'Données projet'!$A$114,$BV$205^A35,IF(A35='Données projet'!$A$114,'Données projet'!$B$114,BY34+BX35-CG34)))</f>
        <v>132.05128205128207</v>
      </c>
      <c r="BZ35" s="13">
        <f>BY35*VLOOKUP('Données projet'!$B$12,Paramètres!$A$1:$I$89,3,0)*VLOOKUP('Données projet'!$B$12,Paramètres!$A$1:$I$89,5,0)</f>
        <v>88.580000000000013</v>
      </c>
      <c r="CA35" s="13">
        <f t="shared" si="39"/>
        <v>24.222438846820232</v>
      </c>
      <c r="CB35" s="20">
        <f t="shared" si="10"/>
        <v>196.46424765821192</v>
      </c>
      <c r="CC35" s="59">
        <f t="shared" si="11"/>
        <v>437.43675013873724</v>
      </c>
      <c r="CD35" s="59">
        <f ca="1">AVERAGE(OFFSET($CC$3,0,0,'Données projet'!$E$12+1,1))-AVERAGE(OFFSET($H$3,0,0,'Données projet'!$E$12+1,1))</f>
        <v>335.73816489539837</v>
      </c>
      <c r="CE35" s="59">
        <f t="shared" si="40"/>
        <v>254.09787950201044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4.4509706655936414</v>
      </c>
      <c r="CM35" s="21">
        <f>EXP(-LN(2)/2)*CM34+(1-EXP(-LN(2)/2))/(LN(2)/2)*CG35*CJ35*VLOOKUP('Données projet'!$B$12,Paramètres!$A$1:$I$89,3,0)*0.475*44/12</f>
        <v>1.5820565679041878</v>
      </c>
      <c r="CN35" s="22">
        <f t="shared" si="12"/>
        <v>6.0330272334978297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17.804285714285715</v>
      </c>
      <c r="CT35" s="12">
        <f>IF('Données projet'!$A$140&gt;35,CT34+CS35-DB34,IF(A35&lt;'Données projet'!$A$140,$CQ$205^A35,IF(A35='Données projet'!$A$140,'Données projet'!$B$140,CT34+CS35-DB34)))</f>
        <v>241.35285714285718</v>
      </c>
      <c r="CU35" s="17">
        <f>CT35*VLOOKUP('Données projet'!$B$13,Paramètres!$A$1:$I$89,3,0)*VLOOKUP('Données projet'!$B$13,Paramètres!$A$1:$I$89,5,0)</f>
        <v>144.3290085714286</v>
      </c>
      <c r="CV35" s="13">
        <f t="shared" si="41"/>
        <v>37.286956054873187</v>
      </c>
      <c r="CW35" s="20">
        <f t="shared" si="13"/>
        <v>316.31447172414227</v>
      </c>
      <c r="CX35" s="59">
        <f t="shared" si="14"/>
        <v>557.28697420466756</v>
      </c>
      <c r="CY35" s="59">
        <f ca="1">AVERAGE(OFFSET($CX$3,0,0,'Données projet'!$E$13+1,1))-AVERAGE(OFFSET($H$3,0,0,'Données projet'!$E$13+1,1))</f>
        <v>318.50474972254085</v>
      </c>
      <c r="CZ35" s="59">
        <f t="shared" si="42"/>
        <v>326.45858332753562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15.453494074440854</v>
      </c>
      <c r="DG35" s="21">
        <f>EXP(-LN(2)/25)*DG34+(1-EXP(-LN(2)/25))/(LN(2)/25)*Calculateur!DB35*Calculateur!DD35*VLOOKUP('Données projet'!$B$13,Paramètres!$A$1:$I$89,3,0)*0.475*44/12</f>
        <v>14.410807983685553</v>
      </c>
      <c r="DH35" s="21">
        <f>EXP(-LN(2)/2)*DH34+(1-EXP(-LN(2)/2))/(LN(2)/2)*DB35*DE35*VLOOKUP('Données projet'!$B$13,Paramètres!$A$1:$I$89,3,0)*0.475*44/12</f>
        <v>3.3724857871063376</v>
      </c>
      <c r="DI35" s="22">
        <f t="shared" si="15"/>
        <v>33.23678784523274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3">
        <f>'Scénario référence'!$B$16*5+'Scénario référence'!$B$17*0+'Scénario référence'!$B$18*5</f>
        <v>5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67">
        <f t="shared" si="1"/>
        <v>183.33333333333334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3.7179487179487181</v>
      </c>
      <c r="N36" s="13">
        <f>IF('Données projet'!$A$36&gt;35,N35+M36-V35,IF(A36&lt;'Données projet'!$A$36,$K$205^A36,IF(A36='Données projet'!$A$36,'Données projet'!$B$36,N35+M36-V35)))</f>
        <v>131.02564102564108</v>
      </c>
      <c r="O36" s="13">
        <f>N36*VLOOKUP('Données projet'!$B$9,Paramètres!$A$1:$I$89,3,0)*VLOOKUP('Données projet'!$B$9,Paramètres!$A$1:$I$89,5,0)</f>
        <v>118.55200000000005</v>
      </c>
      <c r="P36" s="13">
        <f t="shared" si="33"/>
        <v>31.337038825554682</v>
      </c>
      <c r="Q36" s="20">
        <f t="shared" si="53"/>
        <v>261.05674262117452</v>
      </c>
      <c r="R36" s="59">
        <f t="shared" si="0"/>
        <v>502.93758845571529</v>
      </c>
      <c r="S36" s="59">
        <f ca="1">AVERAGE(OFFSET($R$3,0,0,'Données projet'!$E$9+1,1))-AVERAGE(OFFSET($H$3,0,0,'Données projet'!$E$9+1,1))</f>
        <v>214.60547318405733</v>
      </c>
      <c r="T36" s="59">
        <f t="shared" si="34"/>
        <v>306.35874106546646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1.0811698870784225</v>
      </c>
      <c r="AA36" s="21">
        <f>EXP(-LN(2)/25)*AA35+(1-EXP(-LN(2)/25))/(LN(2)/25)*Calculateur!V36*Calculateur!X36*VLOOKUP('Données projet'!$B$9,Paramètres!$A$1:$I$89,3,0)*0.475*44/12</f>
        <v>3.8408091155695665</v>
      </c>
      <c r="AB36" s="21">
        <f>EXP(-LN(2)/2)*AB35+(1-EXP(-LN(2)/2))/(LN(2)/2)*V36*Y36*VLOOKUP('Données projet'!$B$9,Paramètres!$A$1:$I$89,3,0)*0.475*44/12</f>
        <v>0</v>
      </c>
      <c r="AC36" s="22">
        <f t="shared" si="3"/>
        <v>4.9219790026479888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4.0942857142857143</v>
      </c>
      <c r="AI36" s="13">
        <f>IF('Données projet'!$A$62&gt;35,AI35+AH36-AQ35,IF(A36&lt;'Données projet'!$A$62,$AF$205^A36,IF(A36='Données projet'!$A$62,'Données projet'!$B$62,AI35+AH36-AQ35)))</f>
        <v>135.11142857142866</v>
      </c>
      <c r="AJ36" s="13">
        <f>AI36*VLOOKUP('Données projet'!$B$10,Paramètres!$A$1:$I$89,3,0)*VLOOKUP('Données projet'!$B$10,Paramètres!$A$1:$I$89,5,0)</f>
        <v>137.00298857142866</v>
      </c>
      <c r="AK36" s="13">
        <f t="shared" si="35"/>
        <v>35.609569967576427</v>
      </c>
      <c r="AL36" s="20">
        <f t="shared" si="4"/>
        <v>300.63353945543383</v>
      </c>
      <c r="AM36" s="59">
        <f t="shared" si="5"/>
        <v>542.5143852899746</v>
      </c>
      <c r="AN36" s="59">
        <f ca="1">AVERAGE(OFFSET($AM$3,0,0,'Données projet'!$E$10+1,1))-AVERAGE(OFFSET($H$3,0,0,'Données projet'!$E$10+1,1))</f>
        <v>752.45542076695506</v>
      </c>
      <c r="AO36" s="59">
        <f t="shared" si="36"/>
        <v>329.70629768420724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4.0942857142857143</v>
      </c>
      <c r="BD36" s="12">
        <f>IF('Données projet'!$A$88&gt;35,BD35+BC36-BL35,IF(A36&lt;'Données projet'!$A$88,$BA$205^A36,IF(A36='Données projet'!$A$88,'Données projet'!$B$88,BD35+BC36-BL35)))</f>
        <v>135.11142857142866</v>
      </c>
      <c r="BE36" s="13">
        <f>BD36*VLOOKUP('Données projet'!$B$11,Paramètres!$A$1:$I$89,3,0)*VLOOKUP('Données projet'!$B$11,Paramètres!$A$1:$I$89,5,0)</f>
        <v>122.24882057142864</v>
      </c>
      <c r="BF36" s="13">
        <f t="shared" si="37"/>
        <v>32.198931651835657</v>
      </c>
      <c r="BG36" s="20">
        <f t="shared" si="7"/>
        <v>268.99650178885196</v>
      </c>
      <c r="BH36" s="59">
        <f t="shared" si="8"/>
        <v>510.87734762339267</v>
      </c>
      <c r="BI36" s="59">
        <f ca="1">AVERAGE(OFFSET($BH$3,0,0,'Données projet'!$E$11+1,1))-AVERAGE(OFFSET($H$3,0,0,'Données projet'!$E$11+1,1))</f>
        <v>681.47578137804555</v>
      </c>
      <c r="BJ36" s="59">
        <f t="shared" si="38"/>
        <v>300.88511065995885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7.6923076923076881</v>
      </c>
      <c r="BY36" s="12">
        <f>IF('Données projet'!$A$114&gt;35,BY35+BX36-CG35,IF(A36&lt;'Données projet'!$A$114,$BV$205^A36,IF(A36='Données projet'!$A$114,'Données projet'!$B$114,BY35+BX36-CG35)))</f>
        <v>139.74358974358975</v>
      </c>
      <c r="BZ36" s="13">
        <f>BY36*VLOOKUP('Données projet'!$B$12,Paramètres!$A$1:$I$89,3,0)*VLOOKUP('Données projet'!$B$12,Paramètres!$A$1:$I$89,5,0)</f>
        <v>93.740000000000009</v>
      </c>
      <c r="CA36" s="13">
        <f t="shared" si="39"/>
        <v>25.465074435109123</v>
      </c>
      <c r="CB36" s="20">
        <f t="shared" si="10"/>
        <v>207.61550464114839</v>
      </c>
      <c r="CC36" s="59">
        <f t="shared" si="11"/>
        <v>449.49635047568916</v>
      </c>
      <c r="CD36" s="59">
        <f ca="1">AVERAGE(OFFSET($CC$3,0,0,'Données projet'!$E$12+1,1))-AVERAGE(OFFSET($H$3,0,0,'Données projet'!$E$12+1,1))</f>
        <v>335.73816489539837</v>
      </c>
      <c r="CE36" s="59">
        <f t="shared" si="40"/>
        <v>254.09787950201044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4.3292586386766088</v>
      </c>
      <c r="CM36" s="21">
        <f>EXP(-LN(2)/2)*CM35+(1-EXP(-LN(2)/2))/(LN(2)/2)*CG36*CJ36*VLOOKUP('Données projet'!$B$12,Paramètres!$A$1:$I$89,3,0)*0.475*44/12</f>
        <v>1.118682927385767</v>
      </c>
      <c r="CN36" s="22">
        <f t="shared" si="12"/>
        <v>5.4479415660623758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17.804285714285715</v>
      </c>
      <c r="CT36" s="12">
        <f>IF('Données projet'!$A$140&gt;35,CT35+CS36-DB35,IF(A36&lt;'Données projet'!$A$140,$CQ$205^A36,IF(A36='Données projet'!$A$140,'Données projet'!$B$140,CT35+CS36-DB35)))</f>
        <v>259.1571428571429</v>
      </c>
      <c r="CU36" s="17">
        <f>CT36*VLOOKUP('Données projet'!$B$13,Paramètres!$A$1:$I$89,3,0)*VLOOKUP('Données projet'!$B$13,Paramètres!$A$1:$I$89,5,0)</f>
        <v>154.97597142857146</v>
      </c>
      <c r="CV36" s="13">
        <f t="shared" si="41"/>
        <v>39.70723624796571</v>
      </c>
      <c r="CW36" s="20">
        <f t="shared" si="13"/>
        <v>339.07325336996888</v>
      </c>
      <c r="CX36" s="59">
        <f t="shared" si="14"/>
        <v>580.95409920450959</v>
      </c>
      <c r="CY36" s="59">
        <f ca="1">AVERAGE(OFFSET($CX$3,0,0,'Données projet'!$E$13+1,1))-AVERAGE(OFFSET($H$3,0,0,'Données projet'!$E$13+1,1))</f>
        <v>318.50474972254085</v>
      </c>
      <c r="CZ36" s="59">
        <f t="shared" si="42"/>
        <v>326.45858332753562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15.150460481341744</v>
      </c>
      <c r="DG36" s="21">
        <f>EXP(-LN(2)/25)*DG35+(1-EXP(-LN(2)/25))/(LN(2)/25)*Calculateur!DB36*Calculateur!DD36*VLOOKUP('Données projet'!$B$13,Paramètres!$A$1:$I$89,3,0)*0.475*44/12</f>
        <v>14.016743681540216</v>
      </c>
      <c r="DH36" s="21">
        <f>EXP(-LN(2)/2)*DH35+(1-EXP(-LN(2)/2))/(LN(2)/2)*DB36*DE36*VLOOKUP('Données projet'!$B$13,Paramètres!$A$1:$I$89,3,0)*0.475*44/12</f>
        <v>2.3847075695181426</v>
      </c>
      <c r="DI36" s="22">
        <f t="shared" si="15"/>
        <v>31.5519117324001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3">
        <f>'Scénario référence'!$B$16*5+'Scénario référence'!$B$17*0+'Scénario référence'!$B$18*5</f>
        <v>5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67">
        <f t="shared" si="1"/>
        <v>183.33333333333334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3.7179487179487181</v>
      </c>
      <c r="N37" s="13">
        <f>IF('Données projet'!$A$36&gt;35,N36+M37-V36,IF(A37&lt;'Données projet'!$A$36,$K$205^A37,IF(A37='Données projet'!$A$36,'Données projet'!$B$36,N36+M37-V36)))</f>
        <v>134.74358974358981</v>
      </c>
      <c r="O37" s="13">
        <f>N37*VLOOKUP('Données projet'!$B$9,Paramètres!$A$1:$I$89,3,0)*VLOOKUP('Données projet'!$B$9,Paramètres!$A$1:$I$89,5,0)</f>
        <v>121.91600000000005</v>
      </c>
      <c r="P37" s="13">
        <f t="shared" si="33"/>
        <v>32.121462013015105</v>
      </c>
      <c r="Q37" s="20">
        <f t="shared" si="53"/>
        <v>268.28191300600139</v>
      </c>
      <c r="R37" s="59">
        <f t="shared" si="0"/>
        <v>511.05534446811697</v>
      </c>
      <c r="S37" s="59">
        <f ca="1">AVERAGE(OFFSET($R$3,0,0,'Données projet'!$E$9+1,1))-AVERAGE(OFFSET($H$3,0,0,'Données projet'!$E$9+1,1))</f>
        <v>214.60547318405733</v>
      </c>
      <c r="T37" s="59">
        <f t="shared" si="34"/>
        <v>306.35874106546646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1.0599688050413307</v>
      </c>
      <c r="AA37" s="21">
        <f>EXP(-LN(2)/25)*AA36+(1-EXP(-LN(2)/25))/(LN(2)/25)*Calculateur!V37*Calculateur!X37*VLOOKUP('Données projet'!$B$9,Paramètres!$A$1:$I$89,3,0)*0.475*44/12</f>
        <v>3.7357819883249435</v>
      </c>
      <c r="AB37" s="21">
        <f>EXP(-LN(2)/2)*AB36+(1-EXP(-LN(2)/2))/(LN(2)/2)*V37*Y37*VLOOKUP('Données projet'!$B$9,Paramètres!$A$1:$I$89,3,0)*0.475*44/12</f>
        <v>0</v>
      </c>
      <c r="AC37" s="22">
        <f t="shared" si="3"/>
        <v>4.795750793366274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4.0942857142857143</v>
      </c>
      <c r="AI37" s="13">
        <f>IF('Données projet'!$A$62&gt;35,AI36+AH37-AQ36,IF(A37&lt;'Données projet'!$A$62,$AF$205^A37,IF(A37='Données projet'!$A$62,'Données projet'!$B$62,AI36+AH37-AQ36)))</f>
        <v>139.20571428571438</v>
      </c>
      <c r="AJ37" s="13">
        <f>AI37*VLOOKUP('Données projet'!$B$10,Paramètres!$A$1:$I$89,3,0)*VLOOKUP('Données projet'!$B$10,Paramètres!$A$1:$I$89,5,0)</f>
        <v>141.15459428571441</v>
      </c>
      <c r="AK37" s="13">
        <f t="shared" si="35"/>
        <v>36.561380264751591</v>
      </c>
      <c r="AL37" s="20">
        <f t="shared" si="4"/>
        <v>309.52198900872827</v>
      </c>
      <c r="AM37" s="59">
        <f t="shared" si="5"/>
        <v>552.29542047084385</v>
      </c>
      <c r="AN37" s="59">
        <f ca="1">AVERAGE(OFFSET($AM$3,0,0,'Données projet'!$E$10+1,1))-AVERAGE(OFFSET($H$3,0,0,'Données projet'!$E$10+1,1))</f>
        <v>752.45542076695506</v>
      </c>
      <c r="AO37" s="59">
        <f t="shared" si="36"/>
        <v>329.70629768420724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4.0942857142857143</v>
      </c>
      <c r="BD37" s="12">
        <f>IF('Données projet'!$A$88&gt;35,BD36+BC37-BL36,IF(A37&lt;'Données projet'!$A$88,$BA$205^A37,IF(A37='Données projet'!$A$88,'Données projet'!$B$88,BD36+BC37-BL36)))</f>
        <v>139.20571428571438</v>
      </c>
      <c r="BE37" s="13">
        <f>BD37*VLOOKUP('Données projet'!$B$11,Paramètres!$A$1:$I$89,3,0)*VLOOKUP('Données projet'!$B$11,Paramètres!$A$1:$I$89,5,0)</f>
        <v>125.95333028571436</v>
      </c>
      <c r="BF37" s="13">
        <f t="shared" si="37"/>
        <v>33.059578796189285</v>
      </c>
      <c r="BG37" s="20">
        <f t="shared" si="7"/>
        <v>276.94748331764885</v>
      </c>
      <c r="BH37" s="59">
        <f t="shared" si="8"/>
        <v>519.72091477976437</v>
      </c>
      <c r="BI37" s="59">
        <f ca="1">AVERAGE(OFFSET($BH$3,0,0,'Données projet'!$E$11+1,1))-AVERAGE(OFFSET($H$3,0,0,'Données projet'!$E$11+1,1))</f>
        <v>681.47578137804555</v>
      </c>
      <c r="BJ37" s="59">
        <f t="shared" si="38"/>
        <v>300.88511065995885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7.6923076923076881</v>
      </c>
      <c r="BY37" s="12">
        <f>IF('Données projet'!$A$114&gt;35,BY36+BX37-CG36,IF(A37&lt;'Données projet'!$A$114,$BV$205^A37,IF(A37='Données projet'!$A$114,'Données projet'!$B$114,BY36+BX37-CG36)))</f>
        <v>147.43589743589743</v>
      </c>
      <c r="BZ37" s="13">
        <f>BY37*VLOOKUP('Données projet'!$B$12,Paramètres!$A$1:$I$89,3,0)*VLOOKUP('Données projet'!$B$12,Paramètres!$A$1:$I$89,5,0)</f>
        <v>98.9</v>
      </c>
      <c r="CA37" s="13">
        <f t="shared" si="39"/>
        <v>26.699769255487553</v>
      </c>
      <c r="CB37" s="20">
        <f t="shared" si="10"/>
        <v>218.7529314533075</v>
      </c>
      <c r="CC37" s="59">
        <f t="shared" si="11"/>
        <v>461.52636291542308</v>
      </c>
      <c r="CD37" s="59">
        <f ca="1">AVERAGE(OFFSET($CC$3,0,0,'Données projet'!$E$12+1,1))-AVERAGE(OFFSET($H$3,0,0,'Données projet'!$E$12+1,1))</f>
        <v>335.73816489539837</v>
      </c>
      <c r="CE37" s="59">
        <f t="shared" si="40"/>
        <v>254.09787950201044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4.2108748335361801</v>
      </c>
      <c r="CM37" s="21">
        <f>EXP(-LN(2)/2)*CM36+(1-EXP(-LN(2)/2))/(LN(2)/2)*CG37*CJ37*VLOOKUP('Données projet'!$B$12,Paramètres!$A$1:$I$89,3,0)*0.475*44/12</f>
        <v>0.79102828395209401</v>
      </c>
      <c r="CN37" s="22">
        <f t="shared" si="12"/>
        <v>5.0019031174882738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17.804285714285715</v>
      </c>
      <c r="CT37" s="12">
        <f>IF('Données projet'!$A$140&gt;35,CT36+CS37-DB36,IF(A37&lt;'Données projet'!$A$140,$CQ$205^A37,IF(A37='Données projet'!$A$140,'Données projet'!$B$140,CT36+CS37-DB36)))</f>
        <v>276.9614285714286</v>
      </c>
      <c r="CU37" s="17">
        <f>CT37*VLOOKUP('Données projet'!$B$13,Paramètres!$A$1:$I$89,3,0)*VLOOKUP('Données projet'!$B$13,Paramètres!$A$1:$I$89,5,0)</f>
        <v>165.62293428571431</v>
      </c>
      <c r="CV37" s="13">
        <f t="shared" si="41"/>
        <v>42.108223194605671</v>
      </c>
      <c r="CW37" s="20">
        <f t="shared" si="13"/>
        <v>361.7984326115573</v>
      </c>
      <c r="CX37" s="59">
        <f t="shared" si="14"/>
        <v>604.57186407367294</v>
      </c>
      <c r="CY37" s="59">
        <f ca="1">AVERAGE(OFFSET($CX$3,0,0,'Données projet'!$E$13+1,1))-AVERAGE(OFFSET($H$3,0,0,'Données projet'!$E$13+1,1))</f>
        <v>318.50474972254085</v>
      </c>
      <c r="CZ37" s="59">
        <f t="shared" si="42"/>
        <v>326.45858332753562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14.853369192171066</v>
      </c>
      <c r="DG37" s="21">
        <f>EXP(-LN(2)/25)*DG36+(1-EXP(-LN(2)/25))/(LN(2)/25)*Calculateur!DB37*Calculateur!DD37*VLOOKUP('Données projet'!$B$13,Paramètres!$A$1:$I$89,3,0)*0.475*44/12</f>
        <v>13.633455088459984</v>
      </c>
      <c r="DH37" s="21">
        <f>EXP(-LN(2)/2)*DH36+(1-EXP(-LN(2)/2))/(LN(2)/2)*DB37*DE37*VLOOKUP('Données projet'!$B$13,Paramètres!$A$1:$I$89,3,0)*0.475*44/12</f>
        <v>1.6862428935531688</v>
      </c>
      <c r="DI37" s="22">
        <f t="shared" si="15"/>
        <v>30.173067174184215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3">
        <f>'Scénario référence'!$B$16*5+'Scénario référence'!$B$17*0+'Scénario référence'!$B$18*5</f>
        <v>5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67">
        <f t="shared" si="1"/>
        <v>183.33333333333334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138.46153846153845</v>
      </c>
      <c r="L38" s="12">
        <f>VLOOKUP(A38,'Données projet'!$A$35:$I$55,9,0)</f>
        <v>3.7179487179487181</v>
      </c>
      <c r="M38" s="12">
        <f t="array" ref="M38">INDEX(L:L,MIN(IF(ISNUMBER(L38:L234),ROW(L38:L234),"")))</f>
        <v>3.7179487179487181</v>
      </c>
      <c r="N38" s="13">
        <f>IF('Données projet'!$A$36&gt;35,N37+M38-V37,IF(A38&lt;'Données projet'!$A$36,$K$205^A38,IF(A38='Données projet'!$A$36,'Données projet'!$B$36,N37+M38-V37)))</f>
        <v>138.46153846153854</v>
      </c>
      <c r="O38" s="13">
        <f>N38*VLOOKUP('Données projet'!$B$9,Paramètres!$A$1:$I$89,3,0)*VLOOKUP('Données projet'!$B$9,Paramètres!$A$1:$I$89,5,0)</f>
        <v>125.28000000000007</v>
      </c>
      <c r="P38" s="13">
        <f t="shared" si="33"/>
        <v>32.903369495688672</v>
      </c>
      <c r="Q38" s="20">
        <f t="shared" si="53"/>
        <v>275.50270187165785</v>
      </c>
      <c r="R38" s="59">
        <f t="shared" si="0"/>
        <v>519.15323459623232</v>
      </c>
      <c r="S38" s="59">
        <f ca="1">AVERAGE(OFFSET($R$3,0,0,'Données projet'!$E$9+1,1))-AVERAGE(OFFSET($H$3,0,0,'Données projet'!$E$9+1,1))</f>
        <v>214.60547318405733</v>
      </c>
      <c r="T38" s="59">
        <f t="shared" si="34"/>
        <v>306.35874106546646</v>
      </c>
      <c r="U38" s="15">
        <f>IF(ISNA(VLOOKUP(A38,'Données projet'!$A$35:$I$55,3,0)),0,VLOOKUP(A38,'Données projet'!$A$35:$I$55,3,0))</f>
        <v>7</v>
      </c>
      <c r="V38" s="15">
        <f>IF(ISNA(VLOOKUP(A38,'Données projet'!$A$35:$I$55,4,0)),0,VLOOKUP(A38,'Données projet'!$A$35:$I$55,4,0))</f>
        <v>4.4871794871794872</v>
      </c>
      <c r="W38" s="16">
        <f>IF(ISNA(VLOOKUP(A38,'Données projet'!$A$35:$I$55,5,0)),0%,VLOOKUP(A38,'Données projet'!$A$35:$I$55,5,0)*VLOOKUP('Données projet'!$B$9,Paramètres!$A$1:$I$89,7,0))</f>
        <v>0.03</v>
      </c>
      <c r="X38" s="16">
        <f>IF(ISNA(VLOOKUP(A38,'Données projet'!$A$35:$I$55,6,0)),0%,VLOOKUP(A38,'Données projet'!$A$35:$I$55,6,0)*VLOOKUP('Données projet'!$B$9,Paramètres!$A$1:$I$89,7,0))</f>
        <v>0.12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1.1738297555187165</v>
      </c>
      <c r="AA38" s="21">
        <f>EXP(-LN(2)/25)*AA37+(1-EXP(-LN(2)/25))/(LN(2)/25)*Calculateur!V38*Calculateur!X38*VLOOKUP('Données projet'!$B$9,Paramètres!$A$1:$I$89,3,0)*0.475*44/12</f>
        <v>4.1700913872793839</v>
      </c>
      <c r="AB38" s="21">
        <f>EXP(-LN(2)/2)*AB37+(1-EXP(-LN(2)/2))/(LN(2)/2)*V38*Y38*VLOOKUP('Données projet'!$B$9,Paramètres!$A$1:$I$89,3,0)*0.475*44/12</f>
        <v>0</v>
      </c>
      <c r="AC38" s="22">
        <f t="shared" si="3"/>
        <v>5.3439211427981004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4.0942857142857143</v>
      </c>
      <c r="AI38" s="13">
        <f>IF('Données projet'!$A$62&gt;35,AI37+AH38-AQ37,IF(A38&lt;'Données projet'!$A$62,$AF$205^A38,IF(A38='Données projet'!$A$62,'Données projet'!$B$62,AI37+AH38-AQ37)))</f>
        <v>143.3000000000001</v>
      </c>
      <c r="AJ38" s="13">
        <f>AI38*VLOOKUP('Données projet'!$B$10,Paramètres!$A$1:$I$89,3,0)*VLOOKUP('Données projet'!$B$10,Paramètres!$A$1:$I$89,5,0)</f>
        <v>145.3062000000001</v>
      </c>
      <c r="AK38" s="13">
        <f t="shared" si="35"/>
        <v>37.509937087266451</v>
      </c>
      <c r="AL38" s="20">
        <f t="shared" si="4"/>
        <v>318.40477209365588</v>
      </c>
      <c r="AM38" s="59">
        <f t="shared" si="5"/>
        <v>562.05530481823041</v>
      </c>
      <c r="AN38" s="59">
        <f ca="1">AVERAGE(OFFSET($AM$3,0,0,'Données projet'!$E$10+1,1))-AVERAGE(OFFSET($H$3,0,0,'Données projet'!$E$10+1,1))</f>
        <v>752.45542076695506</v>
      </c>
      <c r="AO38" s="59">
        <f t="shared" si="36"/>
        <v>329.70629768420724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4.0942857142857143</v>
      </c>
      <c r="BD38" s="12">
        <f>IF('Données projet'!$A$88&gt;35,BD37+BC38-BL37,IF(A38&lt;'Données projet'!$A$88,$BA$205^A38,IF(A38='Données projet'!$A$88,'Données projet'!$B$88,BD37+BC38-BL37)))</f>
        <v>143.3000000000001</v>
      </c>
      <c r="BE38" s="13">
        <f>BD38*VLOOKUP('Données projet'!$B$11,Paramètres!$A$1:$I$89,3,0)*VLOOKUP('Données projet'!$B$11,Paramètres!$A$1:$I$89,5,0)</f>
        <v>129.65784000000008</v>
      </c>
      <c r="BF38" s="13">
        <f t="shared" si="37"/>
        <v>33.917284079455818</v>
      </c>
      <c r="BG38" s="20">
        <f t="shared" si="7"/>
        <v>284.89334110505234</v>
      </c>
      <c r="BH38" s="59">
        <f t="shared" si="8"/>
        <v>528.54387382962682</v>
      </c>
      <c r="BI38" s="59">
        <f ca="1">AVERAGE(OFFSET($BH$3,0,0,'Données projet'!$E$11+1,1))-AVERAGE(OFFSET($H$3,0,0,'Données projet'!$E$11+1,1))</f>
        <v>681.47578137804555</v>
      </c>
      <c r="BJ38" s="59">
        <f t="shared" si="38"/>
        <v>300.88511065995885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155.12820512820511</v>
      </c>
      <c r="BW38" s="12">
        <f>VLOOKUP(A38,'Données projet'!$A$113:$I$133,9,0)</f>
        <v>7.6923076923076881</v>
      </c>
      <c r="BX38" s="12">
        <f t="array" ref="BX38">INDEX(BW:BW,MIN(IF(ISNUMBER(BW38:BW234),ROW(BW38:BW234),"")))</f>
        <v>7.6923076923076881</v>
      </c>
      <c r="BY38" s="12">
        <f>IF('Données projet'!$A$114&gt;35,BY37+BX38-CG37,IF(A38&lt;'Données projet'!$A$114,$BV$205^A38,IF(A38='Données projet'!$A$114,'Données projet'!$B$114,BY37+BX38-CG37)))</f>
        <v>155.12820512820511</v>
      </c>
      <c r="BZ38" s="13">
        <f>BY38*VLOOKUP('Données projet'!$B$12,Paramètres!$A$1:$I$89,3,0)*VLOOKUP('Données projet'!$B$12,Paramètres!$A$1:$I$89,5,0)</f>
        <v>104.05999999999997</v>
      </c>
      <c r="CA38" s="13">
        <f t="shared" si="39"/>
        <v>27.926984861261648</v>
      </c>
      <c r="CB38" s="20">
        <f t="shared" si="10"/>
        <v>229.87733196669731</v>
      </c>
      <c r="CC38" s="59">
        <f t="shared" si="11"/>
        <v>473.52786469127182</v>
      </c>
      <c r="CD38" s="59">
        <f ca="1">AVERAGE(OFFSET($CC$3,0,0,'Données projet'!$E$12+1,1))-AVERAGE(OFFSET($H$3,0,0,'Données projet'!$E$12+1,1))</f>
        <v>335.73816489539837</v>
      </c>
      <c r="CE38" s="59">
        <f t="shared" si="40"/>
        <v>254.09787950201044</v>
      </c>
      <c r="CF38" s="15">
        <f>IF(ISNA(VLOOKUP(A38,'Données projet'!$A$113:$I$133,3,0)),0,VLOOKUP(A38,'Données projet'!$A$113:$I$133,3,0))</f>
        <v>5</v>
      </c>
      <c r="CG38" s="15">
        <f>IF(ISNA(VLOOKUP(A38,'Données projet'!$A$113:$I$133,4,0)),0,VLOOKUP(A38,'Données projet'!$A$113:$I$133,4,0))</f>
        <v>17.307692307692307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0.13250000000000001</v>
      </c>
      <c r="CJ38" s="16">
        <f>IF(ISNA(VLOOKUP(A38,'Données projet'!$A$113:$I$133,7,0)),0%,VLOOKUP(A38,'Données projet'!$A$113:$I$133,7,0))</f>
        <v>0.25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5.7896051585939485</v>
      </c>
      <c r="CM38" s="21">
        <f>EXP(-LN(2)/2)*CM37+(1-EXP(-LN(2)/2))/(LN(2)/2)*CG38*CJ38*VLOOKUP('Données projet'!$B$12,Paramètres!$A$1:$I$89,3,0)*0.475*44/12</f>
        <v>3.2979283333350229</v>
      </c>
      <c r="CN38" s="22">
        <f t="shared" si="12"/>
        <v>9.087533491928971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17.804285714285715</v>
      </c>
      <c r="CT38" s="12">
        <f>IF('Données projet'!$A$140&gt;35,CT37+CS38-DB37,IF(A38&lt;'Données projet'!$A$140,$CQ$205^A38,IF(A38='Données projet'!$A$140,'Données projet'!$B$140,CT37+CS38-DB37)))</f>
        <v>294.7657142857143</v>
      </c>
      <c r="CU38" s="17">
        <f>CT38*VLOOKUP('Données projet'!$B$13,Paramètres!$A$1:$I$89,3,0)*VLOOKUP('Données projet'!$B$13,Paramètres!$A$1:$I$89,5,0)</f>
        <v>176.26989714285719</v>
      </c>
      <c r="CV38" s="13">
        <f t="shared" si="41"/>
        <v>44.491298310145091</v>
      </c>
      <c r="CW38" s="20">
        <f t="shared" si="13"/>
        <v>384.49241541397896</v>
      </c>
      <c r="CX38" s="59">
        <f t="shared" si="14"/>
        <v>628.14294813855349</v>
      </c>
      <c r="CY38" s="59">
        <f ca="1">AVERAGE(OFFSET($CX$3,0,0,'Données projet'!$E$13+1,1))-AVERAGE(OFFSET($H$3,0,0,'Données projet'!$E$13+1,1))</f>
        <v>318.50474972254085</v>
      </c>
      <c r="CZ38" s="59">
        <f t="shared" si="42"/>
        <v>326.45858332753562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14.56210368197323</v>
      </c>
      <c r="DG38" s="21">
        <f>EXP(-LN(2)/25)*DG37+(1-EXP(-LN(2)/25))/(LN(2)/25)*Calculateur!DB38*Calculateur!DD38*VLOOKUP('Données projet'!$B$13,Paramètres!$A$1:$I$89,3,0)*0.475*44/12</f>
        <v>13.260647542113801</v>
      </c>
      <c r="DH38" s="21">
        <f>EXP(-LN(2)/2)*DH37+(1-EXP(-LN(2)/2))/(LN(2)/2)*DB38*DE38*VLOOKUP('Données projet'!$B$13,Paramètres!$A$1:$I$89,3,0)*0.475*44/12</f>
        <v>1.1923537847590713</v>
      </c>
      <c r="DI38" s="22">
        <f t="shared" si="15"/>
        <v>29.015105008846103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3">
        <f>'Scénario référence'!$B$16*5+'Scénario référence'!$B$17*0+'Scénario référence'!$B$18*5</f>
        <v>5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67">
        <f t="shared" si="1"/>
        <v>183.33333333333334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3.0769230769230775</v>
      </c>
      <c r="N39" s="13">
        <f>IF('Données projet'!$A$36&gt;35,N38+M39-V38,IF(A39&lt;'Données projet'!$A$36,$K$205^A39,IF(A39='Données projet'!$A$36,'Données projet'!$B$36,N38+M39-V38)))</f>
        <v>137.05128205128213</v>
      </c>
      <c r="O39" s="13">
        <f>N39*VLOOKUP('Données projet'!$B$9,Paramètres!$A$1:$I$89,3,0)*VLOOKUP('Données projet'!$B$9,Paramètres!$A$1:$I$89,5,0)</f>
        <v>124.00400000000006</v>
      </c>
      <c r="P39" s="13">
        <f t="shared" si="33"/>
        <v>32.607075155489369</v>
      </c>
      <c r="Q39" s="20">
        <f t="shared" si="53"/>
        <v>272.76428922914408</v>
      </c>
      <c r="R39" s="59">
        <f t="shared" si="0"/>
        <v>517.27670747017851</v>
      </c>
      <c r="S39" s="59">
        <f ca="1">AVERAGE(OFFSET($R$3,0,0,'Données projet'!$E$9+1,1))-AVERAGE(OFFSET($H$3,0,0,'Données projet'!$E$9+1,1))</f>
        <v>214.60547318405733</v>
      </c>
      <c r="T39" s="59">
        <f t="shared" si="34"/>
        <v>306.35874106546646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1.1508116699784496</v>
      </c>
      <c r="AA39" s="21">
        <f>EXP(-LN(2)/25)*AA38+(1-EXP(-LN(2)/25))/(LN(2)/25)*Calculateur!V39*Calculateur!X39*VLOOKUP('Données projet'!$B$9,Paramètres!$A$1:$I$89,3,0)*0.475*44/12</f>
        <v>4.0560600189986538</v>
      </c>
      <c r="AB39" s="21">
        <f>EXP(-LN(2)/2)*AB38+(1-EXP(-LN(2)/2))/(LN(2)/2)*V39*Y39*VLOOKUP('Données projet'!$B$9,Paramètres!$A$1:$I$89,3,0)*0.475*44/12</f>
        <v>0</v>
      </c>
      <c r="AC39" s="22">
        <f t="shared" si="3"/>
        <v>5.2068716889771034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4.0942857142857143</v>
      </c>
      <c r="AI39" s="13">
        <f>IF('Données projet'!$A$62&gt;35,AI38+AH39-AQ38,IF(A39&lt;'Données projet'!$A$62,$AF$205^A39,IF(A39='Données projet'!$A$62,'Données projet'!$B$62,AI38+AH39-AQ38)))</f>
        <v>147.39428571428581</v>
      </c>
      <c r="AJ39" s="13">
        <f>AI39*VLOOKUP('Données projet'!$B$10,Paramètres!$A$1:$I$89,3,0)*VLOOKUP('Données projet'!$B$10,Paramètres!$A$1:$I$89,5,0)</f>
        <v>149.45780571428583</v>
      </c>
      <c r="AK39" s="13">
        <f t="shared" si="35"/>
        <v>38.455344067865383</v>
      </c>
      <c r="AL39" s="20">
        <f t="shared" si="4"/>
        <v>327.2820692039133</v>
      </c>
      <c r="AM39" s="59">
        <f t="shared" si="5"/>
        <v>571.79448744494766</v>
      </c>
      <c r="AN39" s="59">
        <f ca="1">AVERAGE(OFFSET($AM$3,0,0,'Données projet'!$E$10+1,1))-AVERAGE(OFFSET($H$3,0,0,'Données projet'!$E$10+1,1))</f>
        <v>752.45542076695506</v>
      </c>
      <c r="AO39" s="59">
        <f t="shared" si="36"/>
        <v>329.70629768420724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4.0942857142857143</v>
      </c>
      <c r="BD39" s="12">
        <f>IF('Données projet'!$A$88&gt;35,BD38+BC39-BL38,IF(A39&lt;'Données projet'!$A$88,$BA$205^A39,IF(A39='Données projet'!$A$88,'Données projet'!$B$88,BD38+BC39-BL38)))</f>
        <v>147.39428571428581</v>
      </c>
      <c r="BE39" s="13">
        <f>BD39*VLOOKUP('Données projet'!$B$11,Paramètres!$A$1:$I$89,3,0)*VLOOKUP('Données projet'!$B$11,Paramètres!$A$1:$I$89,5,0)</f>
        <v>133.36234971428578</v>
      </c>
      <c r="BF39" s="13">
        <f t="shared" si="37"/>
        <v>34.772141208569977</v>
      </c>
      <c r="BG39" s="20">
        <f t="shared" si="7"/>
        <v>292.83423835730713</v>
      </c>
      <c r="BH39" s="59">
        <f t="shared" si="8"/>
        <v>537.3466565983415</v>
      </c>
      <c r="BI39" s="59">
        <f ca="1">AVERAGE(OFFSET($BH$3,0,0,'Données projet'!$E$11+1,1))-AVERAGE(OFFSET($H$3,0,0,'Données projet'!$E$11+1,1))</f>
        <v>681.47578137804555</v>
      </c>
      <c r="BJ39" s="59">
        <f t="shared" si="38"/>
        <v>300.88511065995885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7.1794871794871771</v>
      </c>
      <c r="BY39" s="12">
        <f>IF('Données projet'!$A$114&gt;35,BY38+BX39-CG38,IF(A39&lt;'Données projet'!$A$114,$BV$205^A39,IF(A39='Données projet'!$A$114,'Données projet'!$B$114,BY38+BX39-CG38)))</f>
        <v>145</v>
      </c>
      <c r="BZ39" s="13">
        <f>BY39*VLOOKUP('Données projet'!$B$12,Paramètres!$A$1:$I$89,3,0)*VLOOKUP('Données projet'!$B$12,Paramètres!$A$1:$I$89,5,0)</f>
        <v>97.266000000000005</v>
      </c>
      <c r="CA39" s="13">
        <f t="shared" si="39"/>
        <v>26.309612648745627</v>
      </c>
      <c r="CB39" s="20">
        <f t="shared" si="10"/>
        <v>215.22752536323196</v>
      </c>
      <c r="CC39" s="59">
        <f t="shared" si="11"/>
        <v>459.73994360426639</v>
      </c>
      <c r="CD39" s="59">
        <f ca="1">AVERAGE(OFFSET($CC$3,0,0,'Données projet'!$E$12+1,1))-AVERAGE(OFFSET($H$3,0,0,'Données projet'!$E$12+1,1))</f>
        <v>335.73816489539837</v>
      </c>
      <c r="CE39" s="59">
        <f t="shared" si="40"/>
        <v>254.09787950201044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5.6312881010700941</v>
      </c>
      <c r="CM39" s="21">
        <f>EXP(-LN(2)/2)*CM38+(1-EXP(-LN(2)/2))/(LN(2)/2)*CG39*CJ39*VLOOKUP('Données projet'!$B$12,Paramètres!$A$1:$I$89,3,0)*0.475*44/12</f>
        <v>2.3319874883684437</v>
      </c>
      <c r="CN39" s="22">
        <f t="shared" si="12"/>
        <v>7.9632755894385383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>
        <f>VLOOKUP(A39,'Données projet'!$A$139:$I$159,2,0)</f>
        <v>312.57</v>
      </c>
      <c r="CR39" s="12">
        <f>VLOOKUP(A39,'Données projet'!$A$139:$I$159,9,0)</f>
        <v>17.804285714285715</v>
      </c>
      <c r="CS39" s="12">
        <f t="array" ref="CS39">INDEX(CR:CR,MIN(IF(ISNUMBER(CR39:CR235),ROW(CR39:CR235),"")))</f>
        <v>17.804285714285715</v>
      </c>
      <c r="CT39" s="12">
        <f>IF('Données projet'!$A$140&gt;35,CT38+CS39-DB38,IF(A39&lt;'Données projet'!$A$140,$CQ$205^A39,IF(A39='Données projet'!$A$140,'Données projet'!$B$140,CT38+CS39-DB38)))</f>
        <v>312.57</v>
      </c>
      <c r="CU39" s="17">
        <f>CT39*VLOOKUP('Données projet'!$B$13,Paramètres!$A$1:$I$89,3,0)*VLOOKUP('Données projet'!$B$13,Paramètres!$A$1:$I$89,5,0)</f>
        <v>186.91685999999999</v>
      </c>
      <c r="CV39" s="13">
        <f t="shared" si="41"/>
        <v>46.857666701992478</v>
      </c>
      <c r="CW39" s="20">
        <f t="shared" si="13"/>
        <v>407.15730067263689</v>
      </c>
      <c r="CX39" s="59">
        <f t="shared" si="14"/>
        <v>651.66971891367132</v>
      </c>
      <c r="CY39" s="59">
        <f ca="1">AVERAGE(OFFSET($CX$3,0,0,'Données projet'!$E$13+1,1))-AVERAGE(OFFSET($H$3,0,0,'Données projet'!$E$13+1,1))</f>
        <v>318.50474972254085</v>
      </c>
      <c r="CZ39" s="59">
        <f t="shared" si="42"/>
        <v>326.45858332753562</v>
      </c>
      <c r="DA39" s="15">
        <f>IF(ISNA(VLOOKUP(A39,'Données projet'!$A$139:$I$159,3,0)),0,VLOOKUP(A39,'Données projet'!$A$139:$I$159,3,0))</f>
        <v>4</v>
      </c>
      <c r="DB39" s="15">
        <f>IF(ISNA(VLOOKUP(A39,'Données projet'!$A$139:$I$159,4,0)),0,VLOOKUP(A39,'Données projet'!$A$139:$I$159,4,0))</f>
        <v>76.509999999999991</v>
      </c>
      <c r="DC39" s="16">
        <f>IF(ISNA(VLOOKUP(A39,'Données projet'!$A$139:$I$159,5,0)),0%,VLOOKUP(A39,'Données projet'!$A$139:$I$159,5,0)*VLOOKUP('Données projet'!$B$13,Paramètres!$A$1:$I$89,7,0))</f>
        <v>0.27</v>
      </c>
      <c r="DD39" s="16">
        <f>IF(ISNA(VLOOKUP(A39,'Données projet'!$A$139:$I$159,6,0)),0%,VLOOKUP(A39,'Données projet'!$A$139:$I$159,6,0)*VLOOKUP('Données projet'!$B$13,Paramètres!$A$1:$I$89,7,0))</f>
        <v>9.0000000000000011E-2</v>
      </c>
      <c r="DE39" s="16">
        <f>IF(ISNA(VLOOKUP(A39,'Données projet'!$A$139:$I$159,7,0)),0%,VLOOKUP(A39,'Données projet'!$A$139:$I$159,7,0))</f>
        <v>0.2</v>
      </c>
      <c r="DF39" s="21">
        <f>EXP(-LN(2)/35)*DF38+(1-EXP(-LN(2)/35))/(LN(2)/35)*DB39*DC39*VLOOKUP('Données projet'!$B$13,Paramètres!$A$1:$I$89,3,0)*0.475*44/12</f>
        <v>30.66400450035372</v>
      </c>
      <c r="DG39" s="21">
        <f>EXP(-LN(2)/25)*DG38+(1-EXP(-LN(2)/25))/(LN(2)/25)*Calculateur!DB39*Calculateur!DD39*VLOOKUP('Données projet'!$B$13,Paramètres!$A$1:$I$89,3,0)*0.475*44/12</f>
        <v>18.339011483048019</v>
      </c>
      <c r="DH39" s="21">
        <f>EXP(-LN(2)/2)*DH38+(1-EXP(-LN(2)/2))/(LN(2)/2)*DB39*DE39*VLOOKUP('Données projet'!$B$13,Paramètres!$A$1:$I$89,3,0)*0.475*44/12</f>
        <v>11.203721779593071</v>
      </c>
      <c r="DI39" s="22">
        <f t="shared" si="15"/>
        <v>60.206737762994806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3">
        <f>'Scénario référence'!$B$16*5+'Scénario référence'!$B$17*0+'Scénario référence'!$B$18*5</f>
        <v>5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67">
        <f t="shared" si="1"/>
        <v>183.33333333333334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3.0769230769230775</v>
      </c>
      <c r="N40" s="13">
        <f>IF('Données projet'!$A$36&gt;35,N39+M40-V39,IF(A40&lt;'Données projet'!$A$36,$K$205^A40,IF(A40='Données projet'!$A$36,'Données projet'!$B$36,N39+M40-V39)))</f>
        <v>140.1282051282052</v>
      </c>
      <c r="O40" s="13">
        <f>N40*VLOOKUP('Données projet'!$B$9,Paramètres!$A$1:$I$89,3,0)*VLOOKUP('Données projet'!$B$9,Paramètres!$A$1:$I$89,5,0)</f>
        <v>126.78800000000005</v>
      </c>
      <c r="P40" s="13">
        <f t="shared" si="33"/>
        <v>33.253083222721962</v>
      </c>
      <c r="Q40" s="20">
        <f t="shared" si="53"/>
        <v>278.73821994624086</v>
      </c>
      <c r="R40" s="59">
        <f t="shared" si="0"/>
        <v>524.09757191691199</v>
      </c>
      <c r="S40" s="59">
        <f ca="1">AVERAGE(OFFSET($R$3,0,0,'Données projet'!$E$9+1,1))-AVERAGE(OFFSET($H$3,0,0,'Données projet'!$E$9+1,1))</f>
        <v>214.60547318405733</v>
      </c>
      <c r="T40" s="59">
        <f t="shared" si="34"/>
        <v>306.35874106546646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1.1282449550559814</v>
      </c>
      <c r="AA40" s="21">
        <f>EXP(-LN(2)/25)*AA39+(1-EXP(-LN(2)/25))/(LN(2)/25)*Calculateur!V40*Calculateur!X40*VLOOKUP('Données projet'!$B$9,Paramètres!$A$1:$I$89,3,0)*0.475*44/12</f>
        <v>3.9451468444802096</v>
      </c>
      <c r="AB40" s="21">
        <f>EXP(-LN(2)/2)*AB39+(1-EXP(-LN(2)/2))/(LN(2)/2)*V40*Y40*VLOOKUP('Données projet'!$B$9,Paramètres!$A$1:$I$89,3,0)*0.475*44/12</f>
        <v>0</v>
      </c>
      <c r="AC40" s="22">
        <f t="shared" si="3"/>
        <v>5.073391799536191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4.0942857142857143</v>
      </c>
      <c r="AI40" s="13">
        <f>IF('Données projet'!$A$62&gt;35,AI39+AH40-AQ39,IF(A40&lt;'Données projet'!$A$62,$AF$205^A40,IF(A40='Données projet'!$A$62,'Données projet'!$B$62,AI39+AH40-AQ39)))</f>
        <v>151.48857142857153</v>
      </c>
      <c r="AJ40" s="13">
        <f>AI40*VLOOKUP('Données projet'!$B$10,Paramètres!$A$1:$I$89,3,0)*VLOOKUP('Données projet'!$B$10,Paramètres!$A$1:$I$89,5,0)</f>
        <v>153.60941142857155</v>
      </c>
      <c r="AK40" s="13">
        <f t="shared" si="35"/>
        <v>39.397698754311712</v>
      </c>
      <c r="AL40" s="20">
        <f t="shared" si="4"/>
        <v>336.15405023518832</v>
      </c>
      <c r="AM40" s="59">
        <f t="shared" si="5"/>
        <v>581.51340220585939</v>
      </c>
      <c r="AN40" s="59">
        <f ca="1">AVERAGE(OFFSET($AM$3,0,0,'Données projet'!$E$10+1,1))-AVERAGE(OFFSET($H$3,0,0,'Données projet'!$E$10+1,1))</f>
        <v>752.45542076695506</v>
      </c>
      <c r="AO40" s="59">
        <f t="shared" si="36"/>
        <v>329.70629768420724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4.0942857142857143</v>
      </c>
      <c r="BD40" s="12">
        <f>IF('Données projet'!$A$88&gt;35,BD39+BC40-BL39,IF(A40&lt;'Données projet'!$A$88,$BA$205^A40,IF(A40='Données projet'!$A$88,'Données projet'!$B$88,BD39+BC40-BL39)))</f>
        <v>151.48857142857153</v>
      </c>
      <c r="BE40" s="13">
        <f>BD40*VLOOKUP('Données projet'!$B$11,Paramètres!$A$1:$I$89,3,0)*VLOOKUP('Données projet'!$B$11,Paramètres!$A$1:$I$89,5,0)</f>
        <v>137.06685942857152</v>
      </c>
      <c r="BF40" s="13">
        <f t="shared" si="37"/>
        <v>35.624238388297236</v>
      </c>
      <c r="BG40" s="20">
        <f t="shared" si="7"/>
        <v>300.77032869771307</v>
      </c>
      <c r="BH40" s="59">
        <f t="shared" si="8"/>
        <v>546.12968066838414</v>
      </c>
      <c r="BI40" s="59">
        <f ca="1">AVERAGE(OFFSET($BH$3,0,0,'Données projet'!$E$11+1,1))-AVERAGE(OFFSET($H$3,0,0,'Données projet'!$E$11+1,1))</f>
        <v>681.47578137804555</v>
      </c>
      <c r="BJ40" s="59">
        <f t="shared" si="38"/>
        <v>300.88511065995885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7.1794871794871771</v>
      </c>
      <c r="BY40" s="12">
        <f>IF('Données projet'!$A$114&gt;35,BY39+BX40-CG39,IF(A40&lt;'Données projet'!$A$114,$BV$205^A40,IF(A40='Données projet'!$A$114,'Données projet'!$B$114,BY39+BX40-CG39)))</f>
        <v>152.17948717948718</v>
      </c>
      <c r="BZ40" s="13">
        <f>BY40*VLOOKUP('Données projet'!$B$12,Paramètres!$A$1:$I$89,3,0)*VLOOKUP('Données projet'!$B$12,Paramètres!$A$1:$I$89,5,0)</f>
        <v>102.08200000000001</v>
      </c>
      <c r="CA40" s="13">
        <f t="shared" si="39"/>
        <v>27.457408919716965</v>
      </c>
      <c r="CB40" s="20">
        <f t="shared" si="10"/>
        <v>225.61447053517372</v>
      </c>
      <c r="CC40" s="59">
        <f t="shared" si="11"/>
        <v>470.97382250584485</v>
      </c>
      <c r="CD40" s="59">
        <f ca="1">AVERAGE(OFFSET($CC$3,0,0,'Données projet'!$E$12+1,1))-AVERAGE(OFFSET($H$3,0,0,'Données projet'!$E$12+1,1))</f>
        <v>335.73816489539837</v>
      </c>
      <c r="CE40" s="59">
        <f t="shared" si="40"/>
        <v>254.09787950201044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5.4773002318097621</v>
      </c>
      <c r="CM40" s="21">
        <f>EXP(-LN(2)/2)*CM39+(1-EXP(-LN(2)/2))/(LN(2)/2)*CG40*CJ40*VLOOKUP('Données projet'!$B$12,Paramètres!$A$1:$I$89,3,0)*0.475*44/12</f>
        <v>1.6489641666675119</v>
      </c>
      <c r="CN40" s="22">
        <f t="shared" si="12"/>
        <v>7.1262643984772742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16.583750000000002</v>
      </c>
      <c r="CT40" s="12">
        <f>IF('Données projet'!$A$140&gt;35,CT39+CS40-DB39,IF(A40&lt;'Données projet'!$A$140,$CQ$205^A40,IF(A40='Données projet'!$A$140,'Données projet'!$B$140,CT39+CS40-DB39)))</f>
        <v>252.64375000000001</v>
      </c>
      <c r="CU40" s="17">
        <f>CT40*VLOOKUP('Données projet'!$B$13,Paramètres!$A$1:$I$89,3,0)*VLOOKUP('Données projet'!$B$13,Paramètres!$A$1:$I$89,5,0)</f>
        <v>151.0809625</v>
      </c>
      <c r="CV40" s="13">
        <f t="shared" si="41"/>
        <v>38.824135473109777</v>
      </c>
      <c r="CW40" s="20">
        <f t="shared" si="13"/>
        <v>330.75137896983284</v>
      </c>
      <c r="CX40" s="59">
        <f t="shared" si="14"/>
        <v>576.11073094050391</v>
      </c>
      <c r="CY40" s="59">
        <f ca="1">AVERAGE(OFFSET($CX$3,0,0,'Données projet'!$E$13+1,1))-AVERAGE(OFFSET($H$3,0,0,'Données projet'!$E$13+1,1))</f>
        <v>318.50474972254085</v>
      </c>
      <c r="CZ40" s="59">
        <f t="shared" si="42"/>
        <v>326.45858332753562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30.062702075297739</v>
      </c>
      <c r="DG40" s="21">
        <f>EXP(-LN(2)/25)*DG39+(1-EXP(-LN(2)/25))/(LN(2)/25)*Calculateur!DB40*Calculateur!DD40*VLOOKUP('Données projet'!$B$13,Paramètres!$A$1:$I$89,3,0)*0.475*44/12</f>
        <v>17.837530249637371</v>
      </c>
      <c r="DH40" s="21">
        <f>EXP(-LN(2)/2)*DH39+(1-EXP(-LN(2)/2))/(LN(2)/2)*DB40*DE40*VLOOKUP('Données projet'!$B$13,Paramètres!$A$1:$I$89,3,0)*0.475*44/12</f>
        <v>7.9222276448776752</v>
      </c>
      <c r="DI40" s="22">
        <f t="shared" si="15"/>
        <v>55.822459969812783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3">
        <f>'Scénario référence'!$B$16*5+'Scénario référence'!$B$17*0+'Scénario référence'!$B$18*5</f>
        <v>5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67">
        <f t="shared" si="1"/>
        <v>183.33333333333334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3.0769230769230775</v>
      </c>
      <c r="N41" s="13">
        <f>IF('Données projet'!$A$36&gt;35,N40+M41-V40,IF(A41&lt;'Données projet'!$A$36,$K$205^A41,IF(A41='Données projet'!$A$36,'Données projet'!$B$36,N40+M41-V40)))</f>
        <v>143.20512820512826</v>
      </c>
      <c r="O41" s="13">
        <f>N41*VLOOKUP('Données projet'!$B$9,Paramètres!$A$1:$I$89,3,0)*VLOOKUP('Données projet'!$B$9,Paramètres!$A$1:$I$89,5,0)</f>
        <v>129.57200000000003</v>
      </c>
      <c r="P41" s="13">
        <f t="shared" si="33"/>
        <v>33.897442125362474</v>
      </c>
      <c r="Q41" s="20">
        <f t="shared" si="53"/>
        <v>284.70927836833965</v>
      </c>
      <c r="R41" s="59">
        <f t="shared" si="0"/>
        <v>530.90087166189835</v>
      </c>
      <c r="S41" s="59">
        <f ca="1">AVERAGE(OFFSET($R$3,0,0,'Données projet'!$E$9+1,1))-AVERAGE(OFFSET($H$3,0,0,'Données projet'!$E$9+1,1))</f>
        <v>214.60547318405733</v>
      </c>
      <c r="T41" s="59">
        <f t="shared" si="34"/>
        <v>306.35874106546646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1.1061207596488059</v>
      </c>
      <c r="AA41" s="21">
        <f>EXP(-LN(2)/25)*AA40+(1-EXP(-LN(2)/25))/(LN(2)/25)*Calculateur!V41*Calculateur!X41*VLOOKUP('Données projet'!$B$9,Paramètres!$A$1:$I$89,3,0)*0.475*44/12</f>
        <v>3.8372665965516424</v>
      </c>
      <c r="AB41" s="21">
        <f>EXP(-LN(2)/2)*AB40+(1-EXP(-LN(2)/2))/(LN(2)/2)*V41*Y41*VLOOKUP('Données projet'!$B$9,Paramètres!$A$1:$I$89,3,0)*0.475*44/12</f>
        <v>0</v>
      </c>
      <c r="AC41" s="22">
        <f t="shared" si="3"/>
        <v>4.9433873562004482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4.0942857142857143</v>
      </c>
      <c r="AI41" s="13">
        <f>IF('Données projet'!$A$62&gt;35,AI40+AH41-AQ40,IF(A41&lt;'Données projet'!$A$62,$AF$205^A41,IF(A41='Données projet'!$A$62,'Données projet'!$B$62,AI40+AH41-AQ40)))</f>
        <v>155.58285714285725</v>
      </c>
      <c r="AJ41" s="13">
        <f>AI41*VLOOKUP('Données projet'!$B$10,Paramètres!$A$1:$I$89,3,0)*VLOOKUP('Données projet'!$B$10,Paramètres!$A$1:$I$89,5,0)</f>
        <v>157.76101714285727</v>
      </c>
      <c r="AK41" s="13">
        <f t="shared" si="35"/>
        <v>40.337093121354812</v>
      </c>
      <c r="AL41" s="20">
        <f t="shared" si="4"/>
        <v>345.02087537683605</v>
      </c>
      <c r="AM41" s="59">
        <f t="shared" si="5"/>
        <v>591.21246867039474</v>
      </c>
      <c r="AN41" s="59">
        <f ca="1">AVERAGE(OFFSET($AM$3,0,0,'Données projet'!$E$10+1,1))-AVERAGE(OFFSET($H$3,0,0,'Données projet'!$E$10+1,1))</f>
        <v>752.45542076695506</v>
      </c>
      <c r="AO41" s="59">
        <f t="shared" si="36"/>
        <v>329.70629768420724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4.0942857142857143</v>
      </c>
      <c r="BD41" s="12">
        <f>IF('Données projet'!$A$88&gt;35,BD40+BC41-BL40,IF(A41&lt;'Données projet'!$A$88,$BA$205^A41,IF(A41='Données projet'!$A$88,'Données projet'!$B$88,BD40+BC41-BL40)))</f>
        <v>155.58285714285725</v>
      </c>
      <c r="BE41" s="13">
        <f>BD41*VLOOKUP('Données projet'!$B$11,Paramètres!$A$1:$I$89,3,0)*VLOOKUP('Données projet'!$B$11,Paramètres!$A$1:$I$89,5,0)</f>
        <v>140.77136914285722</v>
      </c>
      <c r="BF41" s="13">
        <f t="shared" si="37"/>
        <v>36.473658784165018</v>
      </c>
      <c r="BG41" s="20">
        <f t="shared" si="7"/>
        <v>308.70175697289704</v>
      </c>
      <c r="BH41" s="59">
        <f t="shared" si="8"/>
        <v>554.89335026645574</v>
      </c>
      <c r="BI41" s="59">
        <f ca="1">AVERAGE(OFFSET($BH$3,0,0,'Données projet'!$E$11+1,1))-AVERAGE(OFFSET($H$3,0,0,'Données projet'!$E$11+1,1))</f>
        <v>681.47578137804555</v>
      </c>
      <c r="BJ41" s="59">
        <f t="shared" si="38"/>
        <v>300.88511065995885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7.1794871794871771</v>
      </c>
      <c r="BY41" s="12">
        <f>IF('Données projet'!$A$114&gt;35,BY40+BX41-CG40,IF(A41&lt;'Données projet'!$A$114,$BV$205^A41,IF(A41='Données projet'!$A$114,'Données projet'!$B$114,BY40+BX41-CG40)))</f>
        <v>159.35897435897436</v>
      </c>
      <c r="BZ41" s="13">
        <f>BY41*VLOOKUP('Données projet'!$B$12,Paramètres!$A$1:$I$89,3,0)*VLOOKUP('Données projet'!$B$12,Paramètres!$A$1:$I$89,5,0)</f>
        <v>106.89800000000001</v>
      </c>
      <c r="CA41" s="13">
        <f t="shared" si="39"/>
        <v>28.598916889719312</v>
      </c>
      <c r="CB41" s="20">
        <f t="shared" si="10"/>
        <v>235.99046358292779</v>
      </c>
      <c r="CC41" s="59">
        <f t="shared" si="11"/>
        <v>482.18205687648651</v>
      </c>
      <c r="CD41" s="59">
        <f ca="1">AVERAGE(OFFSET($CC$3,0,0,'Données projet'!$E$12+1,1))-AVERAGE(OFFSET($H$3,0,0,'Données projet'!$E$12+1,1))</f>
        <v>335.73816489539837</v>
      </c>
      <c r="CE41" s="59">
        <f t="shared" si="40"/>
        <v>254.09787950201044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5.3275231689322231</v>
      </c>
      <c r="CM41" s="21">
        <f>EXP(-LN(2)/2)*CM40+(1-EXP(-LN(2)/2))/(LN(2)/2)*CG41*CJ41*VLOOKUP('Données projet'!$B$12,Paramètres!$A$1:$I$89,3,0)*0.475*44/12</f>
        <v>1.1659937441842221</v>
      </c>
      <c r="CN41" s="22">
        <f t="shared" si="12"/>
        <v>6.4935169131164452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16.583750000000002</v>
      </c>
      <c r="CT41" s="12">
        <f>IF('Données projet'!$A$140&gt;35,CT40+CS41-DB40,IF(A41&lt;'Données projet'!$A$140,$CQ$205^A41,IF(A41='Données projet'!$A$140,'Données projet'!$B$140,CT40+CS41-DB40)))</f>
        <v>269.22750000000002</v>
      </c>
      <c r="CU41" s="17">
        <f>CT41*VLOOKUP('Données projet'!$B$13,Paramètres!$A$1:$I$89,3,0)*VLOOKUP('Données projet'!$B$13,Paramètres!$A$1:$I$89,5,0)</f>
        <v>160.99804500000002</v>
      </c>
      <c r="CV41" s="13">
        <f t="shared" si="41"/>
        <v>41.067545707058052</v>
      </c>
      <c r="CW41" s="20">
        <f t="shared" si="13"/>
        <v>351.93090381479277</v>
      </c>
      <c r="CX41" s="59">
        <f t="shared" si="14"/>
        <v>598.12249710835147</v>
      </c>
      <c r="CY41" s="59">
        <f ca="1">AVERAGE(OFFSET($CX$3,0,0,'Données projet'!$E$13+1,1))-AVERAGE(OFFSET($H$3,0,0,'Données projet'!$E$13+1,1))</f>
        <v>318.50474972254085</v>
      </c>
      <c r="CZ41" s="59">
        <f t="shared" si="42"/>
        <v>326.45858332753562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29.473190824038845</v>
      </c>
      <c r="DG41" s="21">
        <f>EXP(-LN(2)/25)*DG40+(1-EXP(-LN(2)/25))/(LN(2)/25)*Calculateur!DB41*Calculateur!DD41*VLOOKUP('Données projet'!$B$13,Paramètres!$A$1:$I$89,3,0)*0.475*44/12</f>
        <v>17.349762046926088</v>
      </c>
      <c r="DH41" s="21">
        <f>EXP(-LN(2)/2)*DH40+(1-EXP(-LN(2)/2))/(LN(2)/2)*DB41*DE41*VLOOKUP('Données projet'!$B$13,Paramètres!$A$1:$I$89,3,0)*0.475*44/12</f>
        <v>5.6018608897965363</v>
      </c>
      <c r="DI41" s="22">
        <f t="shared" si="15"/>
        <v>52.424813760761467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3">
        <f>'Scénario référence'!$B$16*5+'Scénario référence'!$B$17*0+'Scénario référence'!$B$18*5</f>
        <v>5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67">
        <f t="shared" si="1"/>
        <v>183.33333333333334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3.0769230769230775</v>
      </c>
      <c r="N42" s="13">
        <f>IF('Données projet'!$A$36&gt;35,N41+M42-V41,IF(A42&lt;'Données projet'!$A$36,$K$205^A42,IF(A42='Données projet'!$A$36,'Données projet'!$B$36,N41+M42-V41)))</f>
        <v>146.28205128205133</v>
      </c>
      <c r="O42" s="13">
        <f>N42*VLOOKUP('Données projet'!$B$9,Paramètres!$A$1:$I$89,3,0)*VLOOKUP('Données projet'!$B$9,Paramètres!$A$1:$I$89,5,0)</f>
        <v>132.35600000000002</v>
      </c>
      <c r="P42" s="13">
        <f t="shared" si="33"/>
        <v>34.540191378814605</v>
      </c>
      <c r="Q42" s="20">
        <f t="shared" si="53"/>
        <v>290.67753331810212</v>
      </c>
      <c r="R42" s="59">
        <f t="shared" si="0"/>
        <v>537.68693040820926</v>
      </c>
      <c r="S42" s="59">
        <f ca="1">AVERAGE(OFFSET($R$3,0,0,'Données projet'!$E$9+1,1))-AVERAGE(OFFSET($H$3,0,0,'Données projet'!$E$9+1,1))</f>
        <v>214.60547318405733</v>
      </c>
      <c r="T42" s="59">
        <f t="shared" si="34"/>
        <v>306.35874106546646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1.0844304062191383</v>
      </c>
      <c r="AA42" s="21">
        <f>EXP(-LN(2)/25)*AA41+(1-EXP(-LN(2)/25))/(LN(2)/25)*Calculateur!V42*Calculateur!X42*VLOOKUP('Données projet'!$B$9,Paramètres!$A$1:$I$89,3,0)*0.475*44/12</f>
        <v>3.7323363396758578</v>
      </c>
      <c r="AB42" s="21">
        <f>EXP(-LN(2)/2)*AB41+(1-EXP(-LN(2)/2))/(LN(2)/2)*V42*Y42*VLOOKUP('Données projet'!$B$9,Paramètres!$A$1:$I$89,3,0)*0.475*44/12</f>
        <v>0</v>
      </c>
      <c r="AC42" s="22">
        <f t="shared" si="3"/>
        <v>4.8167667458949959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4.0942857142857143</v>
      </c>
      <c r="AI42" s="13">
        <f>IF('Données projet'!$A$62&gt;35,AI41+AH42-AQ41,IF(A42&lt;'Données projet'!$A$62,$AF$205^A42,IF(A42='Données projet'!$A$62,'Données projet'!$B$62,AI41+AH42-AQ41)))</f>
        <v>159.67714285714297</v>
      </c>
      <c r="AJ42" s="13">
        <f>AI42*VLOOKUP('Données projet'!$B$10,Paramètres!$A$1:$I$89,3,0)*VLOOKUP('Données projet'!$B$10,Paramètres!$A$1:$I$89,5,0)</f>
        <v>161.91262285714299</v>
      </c>
      <c r="AK42" s="13">
        <f t="shared" si="35"/>
        <v>41.273614027289312</v>
      </c>
      <c r="AL42" s="20">
        <f t="shared" si="4"/>
        <v>353.88269590705289</v>
      </c>
      <c r="AM42" s="59">
        <f t="shared" si="5"/>
        <v>600.89209299716003</v>
      </c>
      <c r="AN42" s="59">
        <f ca="1">AVERAGE(OFFSET($AM$3,0,0,'Données projet'!$E$10+1,1))-AVERAGE(OFFSET($H$3,0,0,'Données projet'!$E$10+1,1))</f>
        <v>752.45542076695506</v>
      </c>
      <c r="AO42" s="59">
        <f t="shared" si="36"/>
        <v>329.70629768420724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4.0942857142857143</v>
      </c>
      <c r="BD42" s="12">
        <f>IF('Données projet'!$A$88&gt;35,BD41+BC42-BL41,IF(A42&lt;'Données projet'!$A$88,$BA$205^A42,IF(A42='Données projet'!$A$88,'Données projet'!$B$88,BD41+BC42-BL41)))</f>
        <v>159.67714285714297</v>
      </c>
      <c r="BE42" s="13">
        <f>BD42*VLOOKUP('Données projet'!$B$11,Paramètres!$A$1:$I$89,3,0)*VLOOKUP('Données projet'!$B$11,Paramètres!$A$1:$I$89,5,0)</f>
        <v>144.47587885714296</v>
      </c>
      <c r="BF42" s="13">
        <f t="shared" si="37"/>
        <v>37.320480935293446</v>
      </c>
      <c r="BG42" s="20">
        <f t="shared" si="7"/>
        <v>316.62865997182678</v>
      </c>
      <c r="BH42" s="59">
        <f t="shared" si="8"/>
        <v>563.63805706193386</v>
      </c>
      <c r="BI42" s="59">
        <f ca="1">AVERAGE(OFFSET($BH$3,0,0,'Données projet'!$E$11+1,1))-AVERAGE(OFFSET($H$3,0,0,'Données projet'!$E$11+1,1))</f>
        <v>681.47578137804555</v>
      </c>
      <c r="BJ42" s="59">
        <f t="shared" si="38"/>
        <v>300.88511065995885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7.1794871794871771</v>
      </c>
      <c r="BY42" s="12">
        <f>IF('Données projet'!$A$114&gt;35,BY41+BX42-CG41,IF(A42&lt;'Données projet'!$A$114,$BV$205^A42,IF(A42='Données projet'!$A$114,'Données projet'!$B$114,BY41+BX42-CG41)))</f>
        <v>166.53846153846155</v>
      </c>
      <c r="BZ42" s="13">
        <f>BY42*VLOOKUP('Données projet'!$B$12,Paramètres!$A$1:$I$89,3,0)*VLOOKUP('Données projet'!$B$12,Paramètres!$A$1:$I$89,5,0)</f>
        <v>111.714</v>
      </c>
      <c r="CA42" s="13">
        <f t="shared" si="39"/>
        <v>29.734452227843956</v>
      </c>
      <c r="CB42" s="20">
        <f t="shared" si="10"/>
        <v>246.3560542968282</v>
      </c>
      <c r="CC42" s="59">
        <f t="shared" si="11"/>
        <v>493.36545138693532</v>
      </c>
      <c r="CD42" s="59">
        <f ca="1">AVERAGE(OFFSET($CC$3,0,0,'Données projet'!$E$12+1,1))-AVERAGE(OFFSET($H$3,0,0,'Données projet'!$E$12+1,1))</f>
        <v>335.73816489539837</v>
      </c>
      <c r="CE42" s="59">
        <f t="shared" si="40"/>
        <v>254.09787950201044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5.181841767715504</v>
      </c>
      <c r="CM42" s="21">
        <f>EXP(-LN(2)/2)*CM41+(1-EXP(-LN(2)/2))/(LN(2)/2)*CG42*CJ42*VLOOKUP('Données projet'!$B$12,Paramètres!$A$1:$I$89,3,0)*0.475*44/12</f>
        <v>0.82448208333375606</v>
      </c>
      <c r="CN42" s="22">
        <f t="shared" si="12"/>
        <v>6.0063238510492596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16.583750000000002</v>
      </c>
      <c r="CT42" s="12">
        <f>IF('Données projet'!$A$140&gt;35,CT41+CS42-DB41,IF(A42&lt;'Données projet'!$A$140,$CQ$205^A42,IF(A42='Données projet'!$A$140,'Données projet'!$B$140,CT41+CS42-DB41)))</f>
        <v>285.81125000000003</v>
      </c>
      <c r="CU42" s="17">
        <f>CT42*VLOOKUP('Données projet'!$B$13,Paramètres!$A$1:$I$89,3,0)*VLOOKUP('Données projet'!$B$13,Paramètres!$A$1:$I$89,5,0)</f>
        <v>170.91512750000004</v>
      </c>
      <c r="CV42" s="13">
        <f t="shared" si="41"/>
        <v>43.294917618591782</v>
      </c>
      <c r="CW42" s="20">
        <f t="shared" si="13"/>
        <v>373.08249524821412</v>
      </c>
      <c r="CX42" s="59">
        <f t="shared" si="14"/>
        <v>620.09189233832126</v>
      </c>
      <c r="CY42" s="59">
        <f ca="1">AVERAGE(OFFSET($CX$3,0,0,'Données projet'!$E$13+1,1))-AVERAGE(OFFSET($H$3,0,0,'Données projet'!$E$13+1,1))</f>
        <v>318.50474972254085</v>
      </c>
      <c r="CZ42" s="59">
        <f t="shared" si="42"/>
        <v>326.45858332753562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28.895239528850777</v>
      </c>
      <c r="DG42" s="21">
        <f>EXP(-LN(2)/25)*DG41+(1-EXP(-LN(2)/25))/(LN(2)/25)*Calculateur!DB42*Calculateur!DD42*VLOOKUP('Données projet'!$B$13,Paramètres!$A$1:$I$89,3,0)*0.475*44/12</f>
        <v>16.87533189136856</v>
      </c>
      <c r="DH42" s="21">
        <f>EXP(-LN(2)/2)*DH41+(1-EXP(-LN(2)/2))/(LN(2)/2)*DB42*DE42*VLOOKUP('Données projet'!$B$13,Paramètres!$A$1:$I$89,3,0)*0.475*44/12</f>
        <v>3.961113822438838</v>
      </c>
      <c r="DI42" s="22">
        <f t="shared" si="15"/>
        <v>49.73168524265818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3">
        <f>'Scénario référence'!$B$16*5+'Scénario référence'!$B$17*0+'Scénario référence'!$B$18*5</f>
        <v>5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67">
        <f t="shared" si="1"/>
        <v>183.33333333333334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149.35897435897436</v>
      </c>
      <c r="L43" s="12">
        <f>VLOOKUP(A43,'Données projet'!$A$35:$I$55,9,0)</f>
        <v>3.0769230769230775</v>
      </c>
      <c r="M43" s="12">
        <f t="array" ref="M43">INDEX(L:L,MIN(IF(ISNUMBER(L43:L239),ROW(L43:L239),"")))</f>
        <v>3.0769230769230775</v>
      </c>
      <c r="N43" s="13">
        <f>IF('Données projet'!$A$36&gt;35,N42+M43-V42,IF(A43&lt;'Données projet'!$A$36,$K$205^A43,IF(A43='Données projet'!$A$36,'Données projet'!$B$36,N42+M43-V42)))</f>
        <v>149.35897435897439</v>
      </c>
      <c r="O43" s="13">
        <f>N43*VLOOKUP('Données projet'!$B$9,Paramètres!$A$1:$I$89,3,0)*VLOOKUP('Données projet'!$B$9,Paramètres!$A$1:$I$89,5,0)</f>
        <v>135.14000000000001</v>
      </c>
      <c r="P43" s="13">
        <f t="shared" si="33"/>
        <v>35.181368741147637</v>
      </c>
      <c r="Q43" s="20">
        <f t="shared" si="53"/>
        <v>296.64305055749878</v>
      </c>
      <c r="R43" s="59">
        <f t="shared" si="0"/>
        <v>544.45606437661957</v>
      </c>
      <c r="S43" s="59">
        <f ca="1">AVERAGE(OFFSET($R$3,0,0,'Données projet'!$E$9+1,1))-AVERAGE(OFFSET($H$3,0,0,'Données projet'!$E$9+1,1))</f>
        <v>214.60547318405733</v>
      </c>
      <c r="T43" s="59">
        <f t="shared" si="34"/>
        <v>306.35874106546646</v>
      </c>
      <c r="U43" s="15">
        <f>IF(ISNA(VLOOKUP(A43,'Données projet'!$A$35:$I$55,3,0)),0,VLOOKUP(A43,'Données projet'!$A$35:$I$55,3,0))</f>
        <v>8</v>
      </c>
      <c r="V43" s="15">
        <f>IF(ISNA(VLOOKUP(A43,'Données projet'!$A$35:$I$55,4,0)),0,VLOOKUP(A43,'Données projet'!$A$35:$I$55,4,0))</f>
        <v>3.8461538461538458</v>
      </c>
      <c r="W43" s="16">
        <f>IF(ISNA(VLOOKUP(A43,'Données projet'!$A$35:$I$55,5,0)),0%,VLOOKUP(A43,'Données projet'!$A$35:$I$55,5,0)*VLOOKUP('Données projet'!$B$9,Paramètres!$A$1:$I$89,7,0))</f>
        <v>0.03</v>
      </c>
      <c r="X43" s="16">
        <f>IF(ISNA(VLOOKUP(A43,'Données projet'!$A$35:$I$55,6,0)),0%,VLOOKUP(A43,'Données projet'!$A$35:$I$55,6,0)*VLOOKUP('Données projet'!$B$9,Paramètres!$A$1:$I$89,7,0))</f>
        <v>0.12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1.1785764950136572</v>
      </c>
      <c r="AA43" s="21">
        <f>EXP(-LN(2)/25)*AA42+(1-EXP(-LN(2)/25))/(LN(2)/25)*Calculateur!V43*Calculateur!X43*VLOOKUP('Données projet'!$B$9,Paramètres!$A$1:$I$89,3,0)*0.475*44/12</f>
        <v>4.0901021666621746</v>
      </c>
      <c r="AB43" s="21">
        <f>EXP(-LN(2)/2)*AB42+(1-EXP(-LN(2)/2))/(LN(2)/2)*V43*Y43*VLOOKUP('Données projet'!$B$9,Paramètres!$A$1:$I$89,3,0)*0.475*44/12</f>
        <v>0</v>
      </c>
      <c r="AC43" s="22">
        <f t="shared" si="3"/>
        <v>5.2686786616758319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4.0942857142857143</v>
      </c>
      <c r="AI43" s="13">
        <f>IF('Données projet'!$A$62&gt;35,AI42+AH43-AQ42,IF(A43&lt;'Données projet'!$A$62,$AF$205^A43,IF(A43='Données projet'!$A$62,'Données projet'!$B$62,AI42+AH43-AQ42)))</f>
        <v>163.77142857142869</v>
      </c>
      <c r="AJ43" s="13">
        <f>AI43*VLOOKUP('Données projet'!$B$10,Paramètres!$A$1:$I$89,3,0)*VLOOKUP('Données projet'!$B$10,Paramètres!$A$1:$I$89,5,0)</f>
        <v>166.06422857142869</v>
      </c>
      <c r="AK43" s="13">
        <f t="shared" si="35"/>
        <v>42.20734362237048</v>
      </c>
      <c r="AL43" s="20">
        <f t="shared" si="4"/>
        <v>362.73965490420022</v>
      </c>
      <c r="AM43" s="59">
        <f t="shared" si="5"/>
        <v>610.55266872332106</v>
      </c>
      <c r="AN43" s="59">
        <f ca="1">AVERAGE(OFFSET($AM$3,0,0,'Données projet'!$E$10+1,1))-AVERAGE(OFFSET($H$3,0,0,'Données projet'!$E$10+1,1))</f>
        <v>752.45542076695506</v>
      </c>
      <c r="AO43" s="59">
        <f t="shared" si="36"/>
        <v>329.70629768420724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4.0942857142857143</v>
      </c>
      <c r="BD43" s="12">
        <f>IF('Données projet'!$A$88&gt;35,BD42+BC43-BL42,IF(A43&lt;'Données projet'!$A$88,$BA$205^A43,IF(A43='Données projet'!$A$88,'Données projet'!$B$88,BD42+BC43-BL42)))</f>
        <v>163.77142857142869</v>
      </c>
      <c r="BE43" s="13">
        <f>BD43*VLOOKUP('Données projet'!$B$11,Paramètres!$A$1:$I$89,3,0)*VLOOKUP('Données projet'!$B$11,Paramètres!$A$1:$I$89,5,0)</f>
        <v>148.18038857142867</v>
      </c>
      <c r="BF43" s="13">
        <f t="shared" si="37"/>
        <v>38.16477912369308</v>
      </c>
      <c r="BG43" s="20">
        <f t="shared" si="7"/>
        <v>324.55116706900372</v>
      </c>
      <c r="BH43" s="59">
        <f t="shared" si="8"/>
        <v>572.36418088812457</v>
      </c>
      <c r="BI43" s="59">
        <f ca="1">AVERAGE(OFFSET($BH$3,0,0,'Données projet'!$E$11+1,1))-AVERAGE(OFFSET($H$3,0,0,'Données projet'!$E$11+1,1))</f>
        <v>681.47578137804555</v>
      </c>
      <c r="BJ43" s="59">
        <f t="shared" si="38"/>
        <v>300.88511065995885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0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173.7179487179487</v>
      </c>
      <c r="BW43" s="12">
        <f>VLOOKUP(A43,'Données projet'!$A$113:$I$133,9,0)</f>
        <v>7.1794871794871771</v>
      </c>
      <c r="BX43" s="12">
        <f t="array" ref="BX43">INDEX(BW:BW,MIN(IF(ISNUMBER(BW43:BW239),ROW(BW43:BW239),"")))</f>
        <v>7.1794871794871771</v>
      </c>
      <c r="BY43" s="12">
        <f>IF('Données projet'!$A$114&gt;35,BY42+BX43-CG42,IF(A43&lt;'Données projet'!$A$114,$BV$205^A43,IF(A43='Données projet'!$A$114,'Données projet'!$B$114,BY42+BX43-CG42)))</f>
        <v>173.71794871794873</v>
      </c>
      <c r="BZ43" s="13">
        <f>BY43*VLOOKUP('Données projet'!$B$12,Paramètres!$A$1:$I$89,3,0)*VLOOKUP('Données projet'!$B$12,Paramètres!$A$1:$I$89,5,0)</f>
        <v>116.53000000000002</v>
      </c>
      <c r="CA43" s="13">
        <f t="shared" si="39"/>
        <v>30.864301846880135</v>
      </c>
      <c r="CB43" s="20">
        <f t="shared" si="10"/>
        <v>256.71174238331622</v>
      </c>
      <c r="CC43" s="59">
        <f t="shared" si="11"/>
        <v>504.52475620243706</v>
      </c>
      <c r="CD43" s="59">
        <f ca="1">AVERAGE(OFFSET($CC$3,0,0,'Données projet'!$E$12+1,1))-AVERAGE(OFFSET($H$3,0,0,'Données projet'!$E$12+1,1))</f>
        <v>335.73816489539837</v>
      </c>
      <c r="CE43" s="59">
        <f t="shared" si="40"/>
        <v>254.09787950201044</v>
      </c>
      <c r="CF43" s="15">
        <f>IF(ISNA(VLOOKUP(A43,'Données projet'!$A$113:$I$133,3,0)),0,VLOOKUP(A43,'Données projet'!$A$113:$I$133,3,0))</f>
        <v>6</v>
      </c>
      <c r="CG43" s="15">
        <f>IF(ISNA(VLOOKUP(A43,'Données projet'!$A$113:$I$133,4,0)),0,VLOOKUP(A43,'Données projet'!$A$113:$I$133,4,0))</f>
        <v>17.307692307692307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0.13250000000000001</v>
      </c>
      <c r="CJ43" s="16">
        <f>IF(ISNA(VLOOKUP(A43,'Données projet'!$A$113:$I$133,7,0)),0%,VLOOKUP(A43,'Données projet'!$A$113:$I$133,7,0))</f>
        <v>0.25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6.7340209508972073</v>
      </c>
      <c r="CM43" s="21">
        <f>EXP(-LN(2)/2)*CM42+(1-EXP(-LN(2)/2))/(LN(2)/2)*CG43*CJ43*VLOOKUP('Données projet'!$B$12,Paramètres!$A$1:$I$89,3,0)*0.475*44/12</f>
        <v>3.3215837417342504</v>
      </c>
      <c r="CN43" s="22">
        <f t="shared" si="12"/>
        <v>10.055604692631459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16.583750000000002</v>
      </c>
      <c r="CT43" s="12">
        <f>IF('Données projet'!$A$140&gt;35,CT42+CS43-DB42,IF(A43&lt;'Données projet'!$A$140,$CQ$205^A43,IF(A43='Données projet'!$A$140,'Données projet'!$B$140,CT42+CS43-DB42)))</f>
        <v>302.39500000000004</v>
      </c>
      <c r="CU43" s="17">
        <f>CT43*VLOOKUP('Données projet'!$B$13,Paramètres!$A$1:$I$89,3,0)*VLOOKUP('Données projet'!$B$13,Paramètres!$A$1:$I$89,5,0)</f>
        <v>180.83221000000003</v>
      </c>
      <c r="CV43" s="13">
        <f t="shared" si="41"/>
        <v>45.507287823747916</v>
      </c>
      <c r="CW43" s="20">
        <f t="shared" si="13"/>
        <v>394.20795870969431</v>
      </c>
      <c r="CX43" s="59">
        <f t="shared" si="14"/>
        <v>642.02097252881515</v>
      </c>
      <c r="CY43" s="59">
        <f ca="1">AVERAGE(OFFSET($CX$3,0,0,'Données projet'!$E$13+1,1))-AVERAGE(OFFSET($H$3,0,0,'Données projet'!$E$13+1,1))</f>
        <v>318.50474972254085</v>
      </c>
      <c r="CZ43" s="59">
        <f t="shared" si="42"/>
        <v>326.45858332753562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28.328621506045867</v>
      </c>
      <c r="DG43" s="21">
        <f>EXP(-LN(2)/25)*DG42+(1-EXP(-LN(2)/25))/(LN(2)/25)*Calculateur!DB43*Calculateur!DD43*VLOOKUP('Données projet'!$B$13,Paramètres!$A$1:$I$89,3,0)*0.475*44/12</f>
        <v>16.413875053363952</v>
      </c>
      <c r="DH43" s="21">
        <f>EXP(-LN(2)/2)*DH42+(1-EXP(-LN(2)/2))/(LN(2)/2)*DB43*DE43*VLOOKUP('Données projet'!$B$13,Paramètres!$A$1:$I$89,3,0)*0.475*44/12</f>
        <v>2.8009304448982686</v>
      </c>
      <c r="DI43" s="22">
        <f t="shared" si="15"/>
        <v>47.543427004308086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3">
        <f>'Scénario référence'!$B$16*5+'Scénario référence'!$B$17*0+'Scénario référence'!$B$18*5</f>
        <v>5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67">
        <f t="shared" si="1"/>
        <v>183.33333333333334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3.2051282051281986</v>
      </c>
      <c r="N44" s="13">
        <f>IF('Données projet'!$A$36&gt;35,N43+M44-V43,IF(A44&lt;'Données projet'!$A$36,$K$205^A44,IF(A44='Données projet'!$A$36,'Données projet'!$B$36,N43+M44-V43)))</f>
        <v>148.71794871794876</v>
      </c>
      <c r="O44" s="13">
        <f>N44*VLOOKUP('Données projet'!$B$9,Paramètres!$A$1:$I$89,3,0)*VLOOKUP('Données projet'!$B$9,Paramètres!$A$1:$I$89,5,0)</f>
        <v>134.56000000000003</v>
      </c>
      <c r="P44" s="13">
        <f t="shared" si="33"/>
        <v>35.047917948259176</v>
      </c>
      <c r="Q44" s="20">
        <f t="shared" si="53"/>
        <v>295.40045709321811</v>
      </c>
      <c r="R44" s="59">
        <f t="shared" si="0"/>
        <v>544.00314668772205</v>
      </c>
      <c r="S44" s="59">
        <f ca="1">AVERAGE(OFFSET($R$3,0,0,'Données projet'!$E$9+1,1))-AVERAGE(OFFSET($H$3,0,0,'Données projet'!$E$9+1,1))</f>
        <v>214.60547318405733</v>
      </c>
      <c r="T44" s="59">
        <f t="shared" si="34"/>
        <v>306.35874106546646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1.1554653288071197</v>
      </c>
      <c r="AA44" s="21">
        <f>EXP(-LN(2)/25)*AA43+(1-EXP(-LN(2)/25))/(LN(2)/25)*Calculateur!V44*Calculateur!X44*VLOOKUP('Données projet'!$B$9,Paramètres!$A$1:$I$89,3,0)*0.475*44/12</f>
        <v>3.9782581078256727</v>
      </c>
      <c r="AB44" s="21">
        <f>EXP(-LN(2)/2)*AB43+(1-EXP(-LN(2)/2))/(LN(2)/2)*V44*Y44*VLOOKUP('Données projet'!$B$9,Paramètres!$A$1:$I$89,3,0)*0.475*44/12</f>
        <v>0</v>
      </c>
      <c r="AC44" s="22">
        <f t="shared" si="3"/>
        <v>5.133723436632792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4.0942857142857143</v>
      </c>
      <c r="AI44" s="13">
        <f>IF('Données projet'!$A$62&gt;35,AI43+AH44-AQ43,IF(A44&lt;'Données projet'!$A$62,$AF$205^A44,IF(A44='Données projet'!$A$62,'Données projet'!$B$62,AI43+AH44-AQ43)))</f>
        <v>167.8657142857144</v>
      </c>
      <c r="AJ44" s="13">
        <f>AI44*VLOOKUP('Données projet'!$B$10,Paramètres!$A$1:$I$89,3,0)*VLOOKUP('Données projet'!$B$10,Paramètres!$A$1:$I$89,5,0)</f>
        <v>170.21583428571441</v>
      </c>
      <c r="AK44" s="13">
        <f t="shared" si="35"/>
        <v>43.138359715238352</v>
      </c>
      <c r="AL44" s="20">
        <f t="shared" si="4"/>
        <v>371.59188788499273</v>
      </c>
      <c r="AM44" s="59">
        <f t="shared" si="5"/>
        <v>620.19457747949673</v>
      </c>
      <c r="AN44" s="59">
        <f ca="1">AVERAGE(OFFSET($AM$3,0,0,'Données projet'!$E$10+1,1))-AVERAGE(OFFSET($H$3,0,0,'Données projet'!$E$10+1,1))</f>
        <v>752.45542076695506</v>
      </c>
      <c r="AO44" s="59">
        <f t="shared" si="36"/>
        <v>329.70629768420724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4.0942857142857143</v>
      </c>
      <c r="BD44" s="12">
        <f>IF('Données projet'!$A$88&gt;35,BD43+BC44-BL43,IF(A44&lt;'Données projet'!$A$88,$BA$205^A44,IF(A44='Données projet'!$A$88,'Données projet'!$B$88,BD43+BC44-BL43)))</f>
        <v>167.8657142857144</v>
      </c>
      <c r="BE44" s="13">
        <f>BD44*VLOOKUP('Données projet'!$B$11,Paramètres!$A$1:$I$89,3,0)*VLOOKUP('Données projet'!$B$11,Paramètres!$A$1:$I$89,5,0)</f>
        <v>151.88489828571437</v>
      </c>
      <c r="BF44" s="13">
        <f t="shared" si="37"/>
        <v>39.006623705593562</v>
      </c>
      <c r="BG44" s="20">
        <f t="shared" si="7"/>
        <v>332.46940080152797</v>
      </c>
      <c r="BH44" s="59">
        <f t="shared" si="8"/>
        <v>581.07209039603197</v>
      </c>
      <c r="BI44" s="59">
        <f ca="1">AVERAGE(OFFSET($BH$3,0,0,'Données projet'!$E$11+1,1))-AVERAGE(OFFSET($H$3,0,0,'Données projet'!$E$11+1,1))</f>
        <v>681.47578137804555</v>
      </c>
      <c r="BJ44" s="59">
        <f t="shared" si="38"/>
        <v>300.88511065995885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0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6.7948717948717956</v>
      </c>
      <c r="BY44" s="12">
        <f>IF('Données projet'!$A$114&gt;35,BY43+BX44-CG43,IF(A44&lt;'Données projet'!$A$114,$BV$205^A44,IF(A44='Données projet'!$A$114,'Données projet'!$B$114,BY43+BX44-CG43)))</f>
        <v>163.20512820512823</v>
      </c>
      <c r="BZ44" s="13">
        <f>BY44*VLOOKUP('Données projet'!$B$12,Paramètres!$A$1:$I$89,3,0)*VLOOKUP('Données projet'!$B$12,Paramètres!$A$1:$I$89,5,0)</f>
        <v>109.47800000000001</v>
      </c>
      <c r="CA44" s="13">
        <f t="shared" si="39"/>
        <v>29.207963273678622</v>
      </c>
      <c r="CB44" s="20">
        <f t="shared" si="10"/>
        <v>241.5447193683236</v>
      </c>
      <c r="CC44" s="59">
        <f t="shared" si="11"/>
        <v>490.14740896282757</v>
      </c>
      <c r="CD44" s="59">
        <f ca="1">AVERAGE(OFFSET($CC$3,0,0,'Données projet'!$E$12+1,1))-AVERAGE(OFFSET($H$3,0,0,'Données projet'!$E$12+1,1))</f>
        <v>335.73816489539837</v>
      </c>
      <c r="CE44" s="59">
        <f t="shared" si="40"/>
        <v>254.09787950201044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6.5498787938681522</v>
      </c>
      <c r="CM44" s="21">
        <f>EXP(-LN(2)/2)*CM43+(1-EXP(-LN(2)/2))/(LN(2)/2)*CG44*CJ44*VLOOKUP('Données projet'!$B$12,Paramètres!$A$1:$I$89,3,0)*0.475*44/12</f>
        <v>2.3487143880592747</v>
      </c>
      <c r="CN44" s="22">
        <f t="shared" si="12"/>
        <v>8.8985931819274278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16.583750000000002</v>
      </c>
      <c r="CT44" s="12">
        <f>IF('Données projet'!$A$140&gt;35,CT43+CS44-DB43,IF(A44&lt;'Données projet'!$A$140,$CQ$205^A44,IF(A44='Données projet'!$A$140,'Données projet'!$B$140,CT43+CS44-DB43)))</f>
        <v>318.97875000000005</v>
      </c>
      <c r="CU44" s="17">
        <f>CT44*VLOOKUP('Données projet'!$B$13,Paramètres!$A$1:$I$89,3,0)*VLOOKUP('Données projet'!$B$13,Paramètres!$A$1:$I$89,5,0)</f>
        <v>190.74929250000002</v>
      </c>
      <c r="CV44" s="13">
        <f t="shared" si="41"/>
        <v>47.705572818216723</v>
      </c>
      <c r="CW44" s="20">
        <f t="shared" si="13"/>
        <v>415.30889042922746</v>
      </c>
      <c r="CX44" s="59">
        <f t="shared" si="14"/>
        <v>663.9115800237314</v>
      </c>
      <c r="CY44" s="59">
        <f ca="1">AVERAGE(OFFSET($CX$3,0,0,'Données projet'!$E$13+1,1))-AVERAGE(OFFSET($H$3,0,0,'Données projet'!$E$13+1,1))</f>
        <v>318.50474972254085</v>
      </c>
      <c r="CZ44" s="59">
        <f t="shared" si="42"/>
        <v>326.45858332753562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27.773114517065292</v>
      </c>
      <c r="DG44" s="21">
        <f>EXP(-LN(2)/25)*DG43+(1-EXP(-LN(2)/25))/(LN(2)/25)*Calculateur!DB44*Calculateur!DD44*VLOOKUP('Données projet'!$B$13,Paramètres!$A$1:$I$89,3,0)*0.475*44/12</f>
        <v>15.96503677686154</v>
      </c>
      <c r="DH44" s="21">
        <f>EXP(-LN(2)/2)*DH43+(1-EXP(-LN(2)/2))/(LN(2)/2)*DB44*DE44*VLOOKUP('Données projet'!$B$13,Paramètres!$A$1:$I$89,3,0)*0.475*44/12</f>
        <v>1.9805569112194195</v>
      </c>
      <c r="DI44" s="22">
        <f t="shared" si="15"/>
        <v>45.71870820514625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3">
        <f>'Scénario référence'!$B$16*5+'Scénario référence'!$B$17*0+'Scénario référence'!$B$18*5</f>
        <v>5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67">
        <f t="shared" si="1"/>
        <v>183.33333333333334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3.2051282051281986</v>
      </c>
      <c r="N45" s="13">
        <f>IF('Données projet'!$A$36&gt;35,N44+M45-V44,IF(A45&lt;'Données projet'!$A$36,$K$205^A45,IF(A45='Données projet'!$A$36,'Données projet'!$B$36,N44+M45-V44)))</f>
        <v>151.92307692307696</v>
      </c>
      <c r="O45" s="13">
        <f>N45*VLOOKUP('Données projet'!$B$9,Paramètres!$A$1:$I$89,3,0)*VLOOKUP('Données projet'!$B$9,Paramètres!$A$1:$I$89,5,0)</f>
        <v>137.46000000000004</v>
      </c>
      <c r="P45" s="13">
        <f t="shared" si="33"/>
        <v>35.71450856068838</v>
      </c>
      <c r="Q45" s="20">
        <f t="shared" si="53"/>
        <v>301.61226907653236</v>
      </c>
      <c r="R45" s="59">
        <f t="shared" si="0"/>
        <v>550.99093533716712</v>
      </c>
      <c r="S45" s="59">
        <f ca="1">AVERAGE(OFFSET($R$3,0,0,'Données projet'!$E$9+1,1))-AVERAGE(OFFSET($H$3,0,0,'Données projet'!$E$9+1,1))</f>
        <v>214.60547318405733</v>
      </c>
      <c r="T45" s="59">
        <f t="shared" si="34"/>
        <v>306.35874106546646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1.132807358473473</v>
      </c>
      <c r="AA45" s="21">
        <f>EXP(-LN(2)/25)*AA44+(1-EXP(-LN(2)/25))/(LN(2)/25)*Calculateur!V45*Calculateur!X45*VLOOKUP('Données projet'!$B$9,Paramètres!$A$1:$I$89,3,0)*0.475*44/12</f>
        <v>3.8694724306596782</v>
      </c>
      <c r="AB45" s="21">
        <f>EXP(-LN(2)/2)*AB44+(1-EXP(-LN(2)/2))/(LN(2)/2)*V45*Y45*VLOOKUP('Données projet'!$B$9,Paramètres!$A$1:$I$89,3,0)*0.475*44/12</f>
        <v>0</v>
      </c>
      <c r="AC45" s="22">
        <f t="shared" si="3"/>
        <v>5.0022797891331514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>
        <f>VLOOKUP(A45,'Données projet'!$A$61:$I$81,2,0)</f>
        <v>171.96</v>
      </c>
      <c r="AG45" s="12">
        <f>VLOOKUP(A45,'Données projet'!$A$61:$I$81,9,0)</f>
        <v>4.0942857142857143</v>
      </c>
      <c r="AH45" s="12">
        <f t="array" ref="AH45">INDEX(AG:AG,MIN(IF(ISNUMBER(AG45:AG241),ROW(AG45:AG241),"")))</f>
        <v>4.0942857142857143</v>
      </c>
      <c r="AI45" s="13">
        <f>IF('Données projet'!$A$62&gt;35,AI44+AH45-AQ44,IF(A45&lt;'Données projet'!$A$62,$AF$205^A45,IF(A45='Données projet'!$A$62,'Données projet'!$B$62,AI44+AH45-AQ44)))</f>
        <v>171.96000000000012</v>
      </c>
      <c r="AJ45" s="13">
        <f>AI45*VLOOKUP('Données projet'!$B$10,Paramètres!$A$1:$I$89,3,0)*VLOOKUP('Données projet'!$B$10,Paramètres!$A$1:$I$89,5,0)</f>
        <v>174.36744000000013</v>
      </c>
      <c r="AK45" s="13">
        <f t="shared" si="35"/>
        <v>44.066736102586425</v>
      </c>
      <c r="AL45" s="20">
        <f t="shared" si="4"/>
        <v>380.43952337867154</v>
      </c>
      <c r="AM45" s="59">
        <f t="shared" si="5"/>
        <v>629.8181896393063</v>
      </c>
      <c r="AN45" s="59">
        <f ca="1">AVERAGE(OFFSET($AM$3,0,0,'Données projet'!$E$10+1,1))-AVERAGE(OFFSET($H$3,0,0,'Données projet'!$E$10+1,1))</f>
        <v>752.45542076695506</v>
      </c>
      <c r="AO45" s="59">
        <f t="shared" si="36"/>
        <v>329.70629768420724</v>
      </c>
      <c r="AP45" s="15">
        <f>IF(ISNA(VLOOKUP(A45,'Données projet'!$A$61:$I$81,3,0)),0,VLOOKUP(A45,'Données projet'!$A$61:$I$81,3,0))</f>
        <v>1</v>
      </c>
      <c r="AQ45" s="15">
        <f>IF(ISNA(VLOOKUP(A45,'Données projet'!$A$61:$I$81,4,0)),0,VLOOKUP(A45,'Données projet'!$A$61:$I$81,4,0))</f>
        <v>44.510000000000005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0.34400000000000003</v>
      </c>
      <c r="AT45" s="16">
        <f>IF(ISNA(VLOOKUP(A45,'Données projet'!$A$61:$I$81,7,0)),0%,VLOOKUP(A45,'Données projet'!$A$61:$I$81,7,0))</f>
        <v>0.2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17.095733695579888</v>
      </c>
      <c r="AW45" s="21">
        <f>EXP(-LN(2)/2)*AW44+(1-EXP(-LN(2)/2))/(LN(2)/2)*AQ45*AT45*VLOOKUP('Données projet'!$B$10,Paramètres!$A$1:$I$89,3,0)*0.475*44/12</f>
        <v>8.5168664661306082</v>
      </c>
      <c r="AX45" s="21">
        <f t="shared" si="6"/>
        <v>25.612600161710496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>
        <f>VLOOKUP(A45,'Données projet'!$A$87:$I$107,2,0)</f>
        <v>171.96</v>
      </c>
      <c r="BB45" s="12">
        <f>VLOOKUP(A45,'Données projet'!$A$87:$I$107,9,0)</f>
        <v>4.0942857142857143</v>
      </c>
      <c r="BC45" s="12">
        <f t="array" ref="BC45">INDEX(BB:BB,MIN(IF(ISNUMBER(BB45:BB241),ROW(BB45:BB241),"")))</f>
        <v>4.0942857142857143</v>
      </c>
      <c r="BD45" s="12">
        <f>IF('Données projet'!$A$88&gt;35,BD44+BC45-BL44,IF(A45&lt;'Données projet'!$A$88,$BA$205^A45,IF(A45='Données projet'!$A$88,'Données projet'!$B$88,BD44+BC45-BL44)))</f>
        <v>171.96000000000012</v>
      </c>
      <c r="BE45" s="13">
        <f>BD45*VLOOKUP('Données projet'!$B$11,Paramètres!$A$1:$I$89,3,0)*VLOOKUP('Données projet'!$B$11,Paramètres!$A$1:$I$89,5,0)</f>
        <v>155.58940800000011</v>
      </c>
      <c r="BF45" s="13">
        <f t="shared" si="37"/>
        <v>39.846081409537142</v>
      </c>
      <c r="BG45" s="20">
        <f t="shared" si="7"/>
        <v>340.3834773882773</v>
      </c>
      <c r="BH45" s="59">
        <f t="shared" si="8"/>
        <v>589.762143648912</v>
      </c>
      <c r="BI45" s="59">
        <f ca="1">AVERAGE(OFFSET($BH$3,0,0,'Données projet'!$E$11+1,1))-AVERAGE(OFFSET($H$3,0,0,'Données projet'!$E$11+1,1))</f>
        <v>681.47578137804555</v>
      </c>
      <c r="BJ45" s="59">
        <f t="shared" si="38"/>
        <v>300.88511065995885</v>
      </c>
      <c r="BK45" s="15">
        <f>IF(ISNA(VLOOKUP(A45,'Données projet'!$A$87:$I$107,3,0)),0,VLOOKUP(A45,'Données projet'!$A$87:$I$107,3,0))</f>
        <v>1</v>
      </c>
      <c r="BL45" s="15">
        <f>IF(ISNA(VLOOKUP(A45,'Données projet'!$A$87:$I$107,4,0)),0,VLOOKUP(A45,'Données projet'!$A$87:$I$107,4,0))</f>
        <v>44.510000000000005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0.34400000000000003</v>
      </c>
      <c r="BO45" s="16">
        <f>IF(ISNA(VLOOKUP(A45,'Données projet'!$A$87:$I$107,7,0)),0%,VLOOKUP(A45,'Données projet'!$A$87:$I$107,7,0))</f>
        <v>0.2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15.254654682209745</v>
      </c>
      <c r="BR45" s="21">
        <f>EXP(-LN(2)/2)*BR44+(1-EXP(-LN(2)/2))/(LN(2)/2)*BL45*BO45*VLOOKUP('Données projet'!$B$11,Paramètres!$A$1:$I$89,3,0)*0.475*44/12</f>
        <v>7.599665462085774</v>
      </c>
      <c r="BS45" s="22">
        <f t="shared" si="9"/>
        <v>22.854320144295521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6.7948717948717956</v>
      </c>
      <c r="BY45" s="12">
        <f>IF('Données projet'!$A$114&gt;35,BY44+BX45-CG44,IF(A45&lt;'Données projet'!$A$114,$BV$205^A45,IF(A45='Données projet'!$A$114,'Données projet'!$B$114,BY44+BX45-CG44)))</f>
        <v>170.00000000000003</v>
      </c>
      <c r="BZ45" s="13">
        <f>BY45*VLOOKUP('Données projet'!$B$12,Paramètres!$A$1:$I$89,3,0)*VLOOKUP('Données projet'!$B$12,Paramètres!$A$1:$I$89,5,0)</f>
        <v>114.03600000000002</v>
      </c>
      <c r="CA45" s="13">
        <f t="shared" si="39"/>
        <v>30.279894261296121</v>
      </c>
      <c r="CB45" s="20">
        <f t="shared" si="10"/>
        <v>251.35018250509077</v>
      </c>
      <c r="CC45" s="59">
        <f t="shared" si="11"/>
        <v>500.7288487657255</v>
      </c>
      <c r="CD45" s="59">
        <f ca="1">AVERAGE(OFFSET($CC$3,0,0,'Données projet'!$E$12+1,1))-AVERAGE(OFFSET($H$3,0,0,'Données projet'!$E$12+1,1))</f>
        <v>335.73816489539837</v>
      </c>
      <c r="CE45" s="59">
        <f t="shared" si="40"/>
        <v>254.09787950201044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0</v>
      </c>
      <c r="CL45" s="21">
        <f>EXP(-LN(2)/25)*CL44+(1-EXP(-LN(2)/25))/(LN(2)/25)*Calculateur!CG45*Calculateur!CI45*VLOOKUP('Données projet'!$B$12,Paramètres!$A$1:$I$89,3,0)*0.475*44/12</f>
        <v>6.3707720138066719</v>
      </c>
      <c r="CM45" s="21">
        <f>EXP(-LN(2)/2)*CM44+(1-EXP(-LN(2)/2))/(LN(2)/2)*CG45*CJ45*VLOOKUP('Données projet'!$B$12,Paramètres!$A$1:$I$89,3,0)*0.475*44/12</f>
        <v>1.6607918708671254</v>
      </c>
      <c r="CN45" s="22">
        <f t="shared" si="12"/>
        <v>8.0315638846737976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16.583750000000002</v>
      </c>
      <c r="CT45" s="12">
        <f>IF('Données projet'!$A$140&gt;35,CT44+CS45-DB44,IF(A45&lt;'Données projet'!$A$140,$CQ$205^A45,IF(A45='Données projet'!$A$140,'Données projet'!$B$140,CT44+CS45-DB44)))</f>
        <v>335.56250000000006</v>
      </c>
      <c r="CU45" s="17">
        <f>CT45*VLOOKUP('Données projet'!$B$13,Paramètres!$A$1:$I$89,3,0)*VLOOKUP('Données projet'!$B$13,Paramètres!$A$1:$I$89,5,0)</f>
        <v>200.66637500000007</v>
      </c>
      <c r="CV45" s="13">
        <f t="shared" si="41"/>
        <v>49.890588417680917</v>
      </c>
      <c r="CW45" s="20">
        <f t="shared" si="13"/>
        <v>436.38671128579443</v>
      </c>
      <c r="CX45" s="59">
        <f t="shared" si="14"/>
        <v>685.76537754642914</v>
      </c>
      <c r="CY45" s="59">
        <f ca="1">AVERAGE(OFFSET($CX$3,0,0,'Données projet'!$E$13+1,1))-AVERAGE(OFFSET($H$3,0,0,'Données projet'!$E$13+1,1))</f>
        <v>318.50474972254085</v>
      </c>
      <c r="CZ45" s="59">
        <f t="shared" si="42"/>
        <v>326.45858332753562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27.228500681312816</v>
      </c>
      <c r="DG45" s="21">
        <f>EXP(-LN(2)/25)*DG44+(1-EXP(-LN(2)/25))/(LN(2)/25)*Calculateur!DB45*Calculateur!DD45*VLOOKUP('Données projet'!$B$13,Paramètres!$A$1:$I$89,3,0)*0.475*44/12</f>
        <v>15.528472006633466</v>
      </c>
      <c r="DH45" s="21">
        <f>EXP(-LN(2)/2)*DH44+(1-EXP(-LN(2)/2))/(LN(2)/2)*DB45*DE45*VLOOKUP('Données projet'!$B$13,Paramètres!$A$1:$I$89,3,0)*0.475*44/12</f>
        <v>1.4004652224491345</v>
      </c>
      <c r="DI45" s="22">
        <f t="shared" si="15"/>
        <v>44.157437910395416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3">
        <f>'Scénario référence'!$B$16*5+'Scénario référence'!$B$17*0+'Scénario référence'!$B$18*5</f>
        <v>5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67">
        <f t="shared" si="1"/>
        <v>183.33333333333334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3.2051282051281986</v>
      </c>
      <c r="N46" s="13">
        <f>IF('Données projet'!$A$36&gt;35,N45+M46-V45,IF(A46&lt;'Données projet'!$A$36,$K$205^A46,IF(A46='Données projet'!$A$36,'Données projet'!$B$36,N45+M46-V45)))</f>
        <v>155.12820512820517</v>
      </c>
      <c r="O46" s="13">
        <f>N46*VLOOKUP('Données projet'!$B$9,Paramètres!$A$1:$I$89,3,0)*VLOOKUP('Données projet'!$B$9,Paramètres!$A$1:$I$89,5,0)</f>
        <v>140.36000000000004</v>
      </c>
      <c r="P46" s="13">
        <f t="shared" si="33"/>
        <v>36.379464109150462</v>
      </c>
      <c r="Q46" s="20">
        <f t="shared" si="53"/>
        <v>307.82123332343713</v>
      </c>
      <c r="R46" s="59">
        <f t="shared" si="0"/>
        <v>557.96241478986917</v>
      </c>
      <c r="S46" s="59">
        <f ca="1">AVERAGE(OFFSET($R$3,0,0,'Données projet'!$E$9+1,1))-AVERAGE(OFFSET($H$3,0,0,'Données projet'!$E$9+1,1))</f>
        <v>214.60547318405733</v>
      </c>
      <c r="T46" s="59">
        <f t="shared" si="34"/>
        <v>306.35874106546646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1.1105936971180719</v>
      </c>
      <c r="AA46" s="21">
        <f>EXP(-LN(2)/25)*AA45+(1-EXP(-LN(2)/25))/(LN(2)/25)*Calculateur!V46*Calculateur!X46*VLOOKUP('Données projet'!$B$9,Paramètres!$A$1:$I$89,3,0)*0.475*44/12</f>
        <v>3.7636615035565781</v>
      </c>
      <c r="AB46" s="21">
        <f>EXP(-LN(2)/2)*AB45+(1-EXP(-LN(2)/2))/(LN(2)/2)*V46*Y46*VLOOKUP('Données projet'!$B$9,Paramètres!$A$1:$I$89,3,0)*0.475*44/12</f>
        <v>0</v>
      </c>
      <c r="AC46" s="22">
        <f t="shared" si="3"/>
        <v>4.87425520067465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10.110000000000001</v>
      </c>
      <c r="AI46" s="13">
        <f>IF('Données projet'!$A$62&gt;35,AI45+AH46-AQ45,IF(A46&lt;'Données projet'!$A$62,$AF$205^A46,IF(A46='Données projet'!$A$62,'Données projet'!$B$62,AI45+AH46-AQ45)))</f>
        <v>137.56000000000012</v>
      </c>
      <c r="AJ46" s="13">
        <f>AI46*VLOOKUP('Données projet'!$B$10,Paramètres!$A$1:$I$89,3,0)*VLOOKUP('Données projet'!$B$10,Paramètres!$A$1:$I$89,5,0)</f>
        <v>139.48584000000011</v>
      </c>
      <c r="AK46" s="13">
        <f t="shared" si="35"/>
        <v>36.179193448415994</v>
      </c>
      <c r="AL46" s="20">
        <f t="shared" si="4"/>
        <v>305.94993325599131</v>
      </c>
      <c r="AM46" s="59">
        <f t="shared" si="5"/>
        <v>556.0911147224233</v>
      </c>
      <c r="AN46" s="59">
        <f ca="1">AVERAGE(OFFSET($AM$3,0,0,'Données projet'!$E$10+1,1))-AVERAGE(OFFSET($H$3,0,0,'Données projet'!$E$10+1,1))</f>
        <v>752.45542076695506</v>
      </c>
      <c r="AO46" s="59">
        <f t="shared" si="36"/>
        <v>329.70629768420724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16.628249958648695</v>
      </c>
      <c r="AW46" s="21">
        <f>EXP(-LN(2)/2)*AW45+(1-EXP(-LN(2)/2))/(LN(2)/2)*AQ46*AT46*VLOOKUP('Données projet'!$B$10,Paramètres!$A$1:$I$89,3,0)*0.475*44/12</f>
        <v>6.0223340326612602</v>
      </c>
      <c r="AX46" s="21">
        <f t="shared" si="6"/>
        <v>22.650583991309954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10.110000000000001</v>
      </c>
      <c r="BD46" s="12">
        <f>IF('Données projet'!$A$88&gt;35,BD45+BC46-BL45,IF(A46&lt;'Données projet'!$A$88,$BA$205^A46,IF(A46='Données projet'!$A$88,'Données projet'!$B$88,BD45+BC46-BL45)))</f>
        <v>137.56000000000012</v>
      </c>
      <c r="BE46" s="13">
        <f>BD46*VLOOKUP('Données projet'!$B$11,Paramètres!$A$1:$I$89,3,0)*VLOOKUP('Données projet'!$B$11,Paramètres!$A$1:$I$89,5,0)</f>
        <v>124.4642880000001</v>
      </c>
      <c r="BF46" s="13">
        <f t="shared" si="37"/>
        <v>32.713997336243899</v>
      </c>
      <c r="BG46" s="20">
        <f t="shared" si="7"/>
        <v>273.75218029395825</v>
      </c>
      <c r="BH46" s="59">
        <f t="shared" si="8"/>
        <v>523.89336176039023</v>
      </c>
      <c r="BI46" s="59">
        <f ca="1">AVERAGE(OFFSET($BH$3,0,0,'Données projet'!$E$11+1,1))-AVERAGE(OFFSET($H$3,0,0,'Données projet'!$E$11+1,1))</f>
        <v>681.47578137804555</v>
      </c>
      <c r="BJ46" s="59">
        <f t="shared" si="38"/>
        <v>300.88511065995885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14.837515347717295</v>
      </c>
      <c r="BR46" s="21">
        <f>EXP(-LN(2)/2)*BR45+(1-EXP(-LN(2)/2))/(LN(2)/2)*BL46*BO46*VLOOKUP('Données projet'!$B$11,Paramètres!$A$1:$I$89,3,0)*0.475*44/12</f>
        <v>5.3737749829900485</v>
      </c>
      <c r="BS46" s="22">
        <f t="shared" si="9"/>
        <v>20.211290330707342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6.7948717948717956</v>
      </c>
      <c r="BY46" s="12">
        <f>IF('Données projet'!$A$114&gt;35,BY45+BX46-CG45,IF(A46&lt;'Données projet'!$A$114,$BV$205^A46,IF(A46='Données projet'!$A$114,'Données projet'!$B$114,BY45+BX46-CG45)))</f>
        <v>176.79487179487182</v>
      </c>
      <c r="BZ46" s="13">
        <f>BY46*VLOOKUP('Données projet'!$B$12,Paramètres!$A$1:$I$89,3,0)*VLOOKUP('Données projet'!$B$12,Paramètres!$A$1:$I$89,5,0)</f>
        <v>118.59400000000002</v>
      </c>
      <c r="CA46" s="13">
        <f t="shared" si="39"/>
        <v>31.346848285873225</v>
      </c>
      <c r="CB46" s="20">
        <f t="shared" si="10"/>
        <v>261.14697743122923</v>
      </c>
      <c r="CC46" s="59">
        <f t="shared" si="11"/>
        <v>511.28815889766128</v>
      </c>
      <c r="CD46" s="59">
        <f ca="1">AVERAGE(OFFSET($CC$3,0,0,'Données projet'!$E$12+1,1))-AVERAGE(OFFSET($H$3,0,0,'Données projet'!$E$12+1,1))</f>
        <v>335.73816489539837</v>
      </c>
      <c r="CE46" s="59">
        <f t="shared" si="40"/>
        <v>254.09787950201044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0</v>
      </c>
      <c r="CL46" s="21">
        <f>EXP(-LN(2)/25)*CL45+(1-EXP(-LN(2)/25))/(LN(2)/25)*Calculateur!CG46*Calculateur!CI46*VLOOKUP('Données projet'!$B$12,Paramètres!$A$1:$I$89,3,0)*0.475*44/12</f>
        <v>6.1965629180647888</v>
      </c>
      <c r="CM46" s="21">
        <f>EXP(-LN(2)/2)*CM45+(1-EXP(-LN(2)/2))/(LN(2)/2)*CG46*CJ46*VLOOKUP('Données projet'!$B$12,Paramètres!$A$1:$I$89,3,0)*0.475*44/12</f>
        <v>1.1743571940296373</v>
      </c>
      <c r="CN46" s="22">
        <f t="shared" si="12"/>
        <v>7.3709201120944261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16.583750000000002</v>
      </c>
      <c r="CT46" s="12">
        <f>IF('Données projet'!$A$140&gt;35,CT45+CS46-DB45,IF(A46&lt;'Données projet'!$A$140,$CQ$205^A46,IF(A46='Données projet'!$A$140,'Données projet'!$B$140,CT45+CS46-DB45)))</f>
        <v>352.14625000000007</v>
      </c>
      <c r="CU46" s="17">
        <f>CT46*VLOOKUP('Données projet'!$B$13,Paramètres!$A$1:$I$89,3,0)*VLOOKUP('Données projet'!$B$13,Paramètres!$A$1:$I$89,5,0)</f>
        <v>210.58345750000007</v>
      </c>
      <c r="CV46" s="13">
        <f t="shared" si="41"/>
        <v>52.063065246002132</v>
      </c>
      <c r="CW46" s="20">
        <f t="shared" si="13"/>
        <v>457.44269378262044</v>
      </c>
      <c r="CX46" s="59">
        <f t="shared" si="14"/>
        <v>707.58387524905243</v>
      </c>
      <c r="CY46" s="59">
        <f ca="1">AVERAGE(OFFSET($CX$3,0,0,'Données projet'!$E$13+1,1))-AVERAGE(OFFSET($H$3,0,0,'Données projet'!$E$13+1,1))</f>
        <v>318.50474972254085</v>
      </c>
      <c r="CZ46" s="59">
        <f t="shared" si="42"/>
        <v>326.45858332753562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26.694566390697808</v>
      </c>
      <c r="DG46" s="21">
        <f>EXP(-LN(2)/25)*DG45+(1-EXP(-LN(2)/25))/(LN(2)/25)*Calculateur!DB46*Calculateur!DD46*VLOOKUP('Données projet'!$B$13,Paramètres!$A$1:$I$89,3,0)*0.475*44/12</f>
        <v>15.103845123005222</v>
      </c>
      <c r="DH46" s="21">
        <f>EXP(-LN(2)/2)*DH45+(1-EXP(-LN(2)/2))/(LN(2)/2)*DB46*DE46*VLOOKUP('Données projet'!$B$13,Paramètres!$A$1:$I$89,3,0)*0.475*44/12</f>
        <v>0.99027845560970984</v>
      </c>
      <c r="DI46" s="22">
        <f t="shared" si="15"/>
        <v>42.788689969312742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3">
        <f>'Scénario référence'!$B$16*5+'Scénario référence'!$B$17*0+'Scénario référence'!$B$18*5</f>
        <v>5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67">
        <f t="shared" si="1"/>
        <v>183.33333333333334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3.2051282051281986</v>
      </c>
      <c r="N47" s="13">
        <f>IF('Données projet'!$A$36&gt;35,N46+M47-V46,IF(A47&lt;'Données projet'!$A$36,$K$205^A47,IF(A47='Données projet'!$A$36,'Données projet'!$B$36,N46+M47-V46)))</f>
        <v>158.33333333333337</v>
      </c>
      <c r="O47" s="13">
        <f>N47*VLOOKUP('Données projet'!$B$9,Paramètres!$A$1:$I$89,3,0)*VLOOKUP('Données projet'!$B$9,Paramètres!$A$1:$I$89,5,0)</f>
        <v>143.26000000000002</v>
      </c>
      <c r="P47" s="13">
        <f t="shared" si="33"/>
        <v>37.042822268316883</v>
      </c>
      <c r="Q47" s="20">
        <f t="shared" si="53"/>
        <v>314.02741545065192</v>
      </c>
      <c r="R47" s="59">
        <f t="shared" si="0"/>
        <v>564.91788418878934</v>
      </c>
      <c r="S47" s="59">
        <f ca="1">AVERAGE(OFFSET($R$3,0,0,'Données projet'!$E$9+1,1))-AVERAGE(OFFSET($H$3,0,0,'Données projet'!$E$9+1,1))</f>
        <v>214.60547318405733</v>
      </c>
      <c r="T47" s="59">
        <f t="shared" si="34"/>
        <v>306.35874106546646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1.0888156321128546</v>
      </c>
      <c r="AA47" s="21">
        <f>EXP(-LN(2)/25)*AA46+(1-EXP(-LN(2)/25))/(LN(2)/25)*Calculateur!V47*Calculateur!X47*VLOOKUP('Données projet'!$B$9,Paramètres!$A$1:$I$89,3,0)*0.475*44/12</f>
        <v>3.6607439818194671</v>
      </c>
      <c r="AB47" s="21">
        <f>EXP(-LN(2)/2)*AB46+(1-EXP(-LN(2)/2))/(LN(2)/2)*V47*Y47*VLOOKUP('Données projet'!$B$9,Paramètres!$A$1:$I$89,3,0)*0.475*44/12</f>
        <v>0</v>
      </c>
      <c r="AC47" s="22">
        <f t="shared" si="3"/>
        <v>4.7495596139323215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10.110000000000001</v>
      </c>
      <c r="AI47" s="13">
        <f>IF('Données projet'!$A$62&gt;35,AI46+AH47-AQ46,IF(A47&lt;'Données projet'!$A$62,$AF$205^A47,IF(A47='Données projet'!$A$62,'Données projet'!$B$62,AI46+AH47-AQ46)))</f>
        <v>147.67000000000013</v>
      </c>
      <c r="AJ47" s="13">
        <f>AI47*VLOOKUP('Données projet'!$B$10,Paramètres!$A$1:$I$89,3,0)*VLOOKUP('Données projet'!$B$10,Paramètres!$A$1:$I$89,5,0)</f>
        <v>149.73738000000014</v>
      </c>
      <c r="AK47" s="13">
        <f t="shared" si="35"/>
        <v>38.518898198188772</v>
      </c>
      <c r="AL47" s="20">
        <f t="shared" si="4"/>
        <v>327.87968452851231</v>
      </c>
      <c r="AM47" s="59">
        <f t="shared" si="5"/>
        <v>578.77015326664969</v>
      </c>
      <c r="AN47" s="59">
        <f ca="1">AVERAGE(OFFSET($AM$3,0,0,'Données projet'!$E$10+1,1))-AVERAGE(OFFSET($H$3,0,0,'Données projet'!$E$10+1,1))</f>
        <v>752.45542076695506</v>
      </c>
      <c r="AO47" s="59">
        <f t="shared" si="36"/>
        <v>329.70629768420724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16.173549589087784</v>
      </c>
      <c r="AW47" s="21">
        <f>EXP(-LN(2)/2)*AW46+(1-EXP(-LN(2)/2))/(LN(2)/2)*AQ47*AT47*VLOOKUP('Données projet'!$B$10,Paramètres!$A$1:$I$89,3,0)*0.475*44/12</f>
        <v>4.2584332330653041</v>
      </c>
      <c r="AX47" s="21">
        <f t="shared" si="6"/>
        <v>20.431982822153088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10.110000000000001</v>
      </c>
      <c r="BD47" s="12">
        <f>IF('Données projet'!$A$88&gt;35,BD46+BC47-BL46,IF(A47&lt;'Données projet'!$A$88,$BA$205^A47,IF(A47='Données projet'!$A$88,'Données projet'!$B$88,BD46+BC47-BL46)))</f>
        <v>147.67000000000013</v>
      </c>
      <c r="BE47" s="13">
        <f>BD47*VLOOKUP('Données projet'!$B$11,Paramètres!$A$1:$I$89,3,0)*VLOOKUP('Données projet'!$B$11,Paramètres!$A$1:$I$89,5,0)</f>
        <v>133.61181600000012</v>
      </c>
      <c r="BF47" s="13">
        <f t="shared" si="37"/>
        <v>34.829608206917271</v>
      </c>
      <c r="BG47" s="20">
        <f t="shared" si="7"/>
        <v>293.36881382704775</v>
      </c>
      <c r="BH47" s="59">
        <f t="shared" si="8"/>
        <v>544.25928256518523</v>
      </c>
      <c r="BI47" s="59">
        <f ca="1">AVERAGE(OFFSET($BH$3,0,0,'Données projet'!$E$11+1,1))-AVERAGE(OFFSET($H$3,0,0,'Données projet'!$E$11+1,1))</f>
        <v>681.47578137804555</v>
      </c>
      <c r="BJ47" s="59">
        <f t="shared" si="38"/>
        <v>300.88511065995885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14.431782710262945</v>
      </c>
      <c r="BR47" s="21">
        <f>EXP(-LN(2)/2)*BR46+(1-EXP(-LN(2)/2))/(LN(2)/2)*BL47*BO47*VLOOKUP('Données projet'!$B$11,Paramètres!$A$1:$I$89,3,0)*0.475*44/12</f>
        <v>3.7998327310428874</v>
      </c>
      <c r="BS47" s="22">
        <f t="shared" si="9"/>
        <v>18.231615441305834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6.7948717948717956</v>
      </c>
      <c r="BY47" s="12">
        <f>IF('Données projet'!$A$114&gt;35,BY46+BX47-CG46,IF(A47&lt;'Données projet'!$A$114,$BV$205^A47,IF(A47='Données projet'!$A$114,'Données projet'!$B$114,BY46+BX47-CG46)))</f>
        <v>183.58974358974362</v>
      </c>
      <c r="BZ47" s="13">
        <f>BY47*VLOOKUP('Données projet'!$B$12,Paramètres!$A$1:$I$89,3,0)*VLOOKUP('Données projet'!$B$12,Paramètres!$A$1:$I$89,5,0)</f>
        <v>123.15200000000002</v>
      </c>
      <c r="CA47" s="13">
        <f t="shared" si="39"/>
        <v>32.409038525483375</v>
      </c>
      <c r="CB47" s="20">
        <f t="shared" si="10"/>
        <v>270.93547543188356</v>
      </c>
      <c r="CC47" s="59">
        <f t="shared" si="11"/>
        <v>521.82594417002099</v>
      </c>
      <c r="CD47" s="59">
        <f ca="1">AVERAGE(OFFSET($CC$3,0,0,'Données projet'!$E$12+1,1))-AVERAGE(OFFSET($H$3,0,0,'Données projet'!$E$12+1,1))</f>
        <v>335.73816489539837</v>
      </c>
      <c r="CE47" s="59">
        <f t="shared" si="40"/>
        <v>254.09787950201044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0</v>
      </c>
      <c r="CL47" s="21">
        <f>EXP(-LN(2)/25)*CL46+(1-EXP(-LN(2)/25))/(LN(2)/25)*Calculateur!CG47*Calculateur!CI47*VLOOKUP('Données projet'!$B$12,Paramètres!$A$1:$I$89,3,0)*0.475*44/12</f>
        <v>6.0271175792072258</v>
      </c>
      <c r="CM47" s="21">
        <f>EXP(-LN(2)/2)*CM46+(1-EXP(-LN(2)/2))/(LN(2)/2)*CG47*CJ47*VLOOKUP('Données projet'!$B$12,Paramètres!$A$1:$I$89,3,0)*0.475*44/12</f>
        <v>0.83039593543356272</v>
      </c>
      <c r="CN47" s="22">
        <f t="shared" si="12"/>
        <v>6.8575135146407886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>
        <f>VLOOKUP(A47,'Données projet'!$A$139:$I$159,2,0)</f>
        <v>368.73</v>
      </c>
      <c r="CR47" s="12">
        <f>VLOOKUP(A47,'Données projet'!$A$139:$I$159,9,0)</f>
        <v>16.583750000000002</v>
      </c>
      <c r="CS47" s="12">
        <f t="array" ref="CS47">INDEX(CR:CR,MIN(IF(ISNUMBER(CR47:CR243),ROW(CR47:CR243),"")))</f>
        <v>16.583750000000002</v>
      </c>
      <c r="CT47" s="12">
        <f>IF('Données projet'!$A$140&gt;35,CT46+CS47-DB46,IF(A47&lt;'Données projet'!$A$140,$CQ$205^A47,IF(A47='Données projet'!$A$140,'Données projet'!$B$140,CT46+CS47-DB46)))</f>
        <v>368.73000000000008</v>
      </c>
      <c r="CU47" s="17">
        <f>CT47*VLOOKUP('Données projet'!$B$13,Paramètres!$A$1:$I$89,3,0)*VLOOKUP('Données projet'!$B$13,Paramètres!$A$1:$I$89,5,0)</f>
        <v>220.50054000000006</v>
      </c>
      <c r="CV47" s="13">
        <f t="shared" si="41"/>
        <v>54.223661223229719</v>
      </c>
      <c r="CW47" s="20">
        <f t="shared" si="13"/>
        <v>478.47798379712521</v>
      </c>
      <c r="CX47" s="59">
        <f t="shared" si="14"/>
        <v>729.36845253526258</v>
      </c>
      <c r="CY47" s="59">
        <f ca="1">AVERAGE(OFFSET($CX$3,0,0,'Données projet'!$E$13+1,1))-AVERAGE(OFFSET($H$3,0,0,'Données projet'!$E$13+1,1))</f>
        <v>318.50474972254085</v>
      </c>
      <c r="CZ47" s="59">
        <f t="shared" si="42"/>
        <v>326.45858332753562</v>
      </c>
      <c r="DA47" s="15">
        <f>IF(ISNA(VLOOKUP(A47,'Données projet'!$A$139:$I$159,3,0)),0,VLOOKUP(A47,'Données projet'!$A$139:$I$159,3,0))</f>
        <v>5</v>
      </c>
      <c r="DB47" s="15">
        <f>IF(ISNA(VLOOKUP(A47,'Données projet'!$A$139:$I$159,4,0)),0,VLOOKUP(A47,'Données projet'!$A$139:$I$159,4,0))</f>
        <v>78.240000000000009</v>
      </c>
      <c r="DC47" s="16">
        <f>IF(ISNA(VLOOKUP(A47,'Données projet'!$A$139:$I$159,5,0)),0%,VLOOKUP(A47,'Données projet'!$A$139:$I$159,5,0)*VLOOKUP('Données projet'!$B$13,Paramètres!$A$1:$I$89,7,0))</f>
        <v>0.27</v>
      </c>
      <c r="DD47" s="16">
        <f>IF(ISNA(VLOOKUP(A47,'Données projet'!$A$139:$I$159,6,0)),0%,VLOOKUP(A47,'Données projet'!$A$139:$I$159,6,0)*VLOOKUP('Données projet'!$B$13,Paramètres!$A$1:$I$89,7,0))</f>
        <v>9.0000000000000011E-2</v>
      </c>
      <c r="DE47" s="16">
        <f>IF(ISNA(VLOOKUP(A47,'Données projet'!$A$139:$I$159,7,0)),0%,VLOOKUP(A47,'Données projet'!$A$139:$I$159,7,0))</f>
        <v>0.2</v>
      </c>
      <c r="DF47" s="21">
        <f>EXP(-LN(2)/35)*DF46+(1-EXP(-LN(2)/35))/(LN(2)/35)*DB47*DC47*VLOOKUP('Données projet'!$B$13,Paramètres!$A$1:$I$89,3,0)*0.475*44/12</f>
        <v>42.92910069319899</v>
      </c>
      <c r="DG47" s="21">
        <f>EXP(-LN(2)/25)*DG46+(1-EXP(-LN(2)/25))/(LN(2)/25)*Calculateur!DB47*Calculateur!DD47*VLOOKUP('Données projet'!$B$13,Paramètres!$A$1:$I$89,3,0)*0.475*44/12</f>
        <v>20.254834964533629</v>
      </c>
      <c r="DH47" s="21">
        <f>EXP(-LN(2)/2)*DH46+(1-EXP(-LN(2)/2))/(LN(2)/2)*DB47*DE47*VLOOKUP('Données projet'!$B$13,Paramètres!$A$1:$I$89,3,0)*0.475*44/12</f>
        <v>11.295100864257664</v>
      </c>
      <c r="DI47" s="22">
        <f t="shared" si="15"/>
        <v>74.479036521990281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3">
        <f>'Scénario référence'!$B$16*5+'Scénario référence'!$B$17*0+'Scénario référence'!$B$18*5</f>
        <v>5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67">
        <f t="shared" si="1"/>
        <v>183.33333333333334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161.53846153846152</v>
      </c>
      <c r="L48" s="12">
        <f>VLOOKUP(A48,'Données projet'!$A$35:$I$55,9,0)</f>
        <v>3.2051282051281986</v>
      </c>
      <c r="M48" s="12">
        <f t="array" ref="M48">INDEX(L:L,MIN(IF(ISNUMBER(L48:L244),ROW(L48:L244),"")))</f>
        <v>3.2051282051281986</v>
      </c>
      <c r="N48" s="13">
        <f>IF('Données projet'!$A$36&gt;35,N47+M48-V47,IF(A48&lt;'Données projet'!$A$36,$K$205^A48,IF(A48='Données projet'!$A$36,'Données projet'!$B$36,N47+M48-V47)))</f>
        <v>161.53846153846158</v>
      </c>
      <c r="O48" s="13">
        <f>N48*VLOOKUP('Données projet'!$B$9,Paramètres!$A$1:$I$89,3,0)*VLOOKUP('Données projet'!$B$9,Paramètres!$A$1:$I$89,5,0)</f>
        <v>146.16000000000003</v>
      </c>
      <c r="P48" s="13">
        <f t="shared" si="33"/>
        <v>37.7046191003666</v>
      </c>
      <c r="Q48" s="20">
        <f t="shared" si="53"/>
        <v>320.23087826647179</v>
      </c>
      <c r="R48" s="59">
        <f t="shared" si="0"/>
        <v>571.85763581730589</v>
      </c>
      <c r="S48" s="59">
        <f ca="1">AVERAGE(OFFSET($R$3,0,0,'Données projet'!$E$9+1,1))-AVERAGE(OFFSET($H$3,0,0,'Données projet'!$E$9+1,1))</f>
        <v>214.60547318405733</v>
      </c>
      <c r="T48" s="59">
        <f t="shared" si="34"/>
        <v>306.35874106546646</v>
      </c>
      <c r="U48" s="15">
        <f>IF(ISNA(VLOOKUP(A48,'Données projet'!$A$35:$I$55,3,0)),0,VLOOKUP(A48,'Données projet'!$A$35:$I$55,3,0))</f>
        <v>9</v>
      </c>
      <c r="V48" s="15">
        <f>IF(ISNA(VLOOKUP(A48,'Données projet'!$A$35:$I$55,4,0)),0,VLOOKUP(A48,'Données projet'!$A$35:$I$55,4,0))</f>
        <v>161.53846153846152</v>
      </c>
      <c r="W48" s="16">
        <f>IF(ISNA(VLOOKUP(A48,'Données projet'!$A$35:$I$55,5,0)),0%,VLOOKUP(A48,'Données projet'!$A$35:$I$55,5,0)*VLOOKUP('Données projet'!$B$9,Paramètres!$A$1:$I$89,7,0))</f>
        <v>0.09</v>
      </c>
      <c r="X48" s="16">
        <f>IF(ISNA(VLOOKUP(A48,'Données projet'!$A$35:$I$55,6,0)),0%,VLOOKUP(A48,'Données projet'!$A$35:$I$55,6,0)*VLOOKUP('Données projet'!$B$9,Paramètres!$A$1:$I$89,7,0))</f>
        <v>0.06</v>
      </c>
      <c r="Y48" s="16">
        <f>IF(ISNA(VLOOKUP(A48,'Données projet'!$A$35:$I$55,7,0)),0%,VLOOKUP(A48,'Données projet'!$A$35:$I$55,7,0))</f>
        <v>0.1</v>
      </c>
      <c r="Z48" s="21">
        <f>EXP(-LN(2)/35)*Z47+(1-EXP(-LN(2)/35))/(LN(2)/35)*V48*W48*VLOOKUP('Données projet'!$B$9,Paramètres!$A$1:$I$89,3,0)*0.475*44/12</f>
        <v>15.609264182207315</v>
      </c>
      <c r="AA48" s="21">
        <f>EXP(-LN(2)/25)*AA47+(1-EXP(-LN(2)/25))/(LN(2)/25)*Calculateur!V48*Calculateur!X48*VLOOKUP('Données projet'!$B$9,Paramètres!$A$1:$I$89,3,0)*0.475*44/12</f>
        <v>13.217002714992059</v>
      </c>
      <c r="AB48" s="21">
        <f>EXP(-LN(2)/2)*AB47+(1-EXP(-LN(2)/2))/(LN(2)/2)*V48*Y48*VLOOKUP('Données projet'!$B$9,Paramètres!$A$1:$I$89,3,0)*0.475*44/12</f>
        <v>13.790589383872351</v>
      </c>
      <c r="AC48" s="22">
        <f t="shared" si="3"/>
        <v>42.616856281071726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10.110000000000001</v>
      </c>
      <c r="AI48" s="13">
        <f>IF('Données projet'!$A$62&gt;35,AI47+AH48-AQ47,IF(A48&lt;'Données projet'!$A$62,$AF$205^A48,IF(A48='Données projet'!$A$62,'Données projet'!$B$62,AI47+AH48-AQ47)))</f>
        <v>157.78000000000014</v>
      </c>
      <c r="AJ48" s="13">
        <f>AI48*VLOOKUP('Données projet'!$B$10,Paramètres!$A$1:$I$89,3,0)*VLOOKUP('Données projet'!$B$10,Paramètres!$A$1:$I$89,5,0)</f>
        <v>159.98892000000018</v>
      </c>
      <c r="AK48" s="13">
        <f t="shared" si="35"/>
        <v>40.840016271695262</v>
      </c>
      <c r="AL48" s="20">
        <f t="shared" si="4"/>
        <v>349.77706400653625</v>
      </c>
      <c r="AM48" s="59">
        <f t="shared" si="5"/>
        <v>601.40382155737041</v>
      </c>
      <c r="AN48" s="59">
        <f ca="1">AVERAGE(OFFSET($AM$3,0,0,'Données projet'!$E$10+1,1))-AVERAGE(OFFSET($H$3,0,0,'Données projet'!$E$10+1,1))</f>
        <v>752.45542076695506</v>
      </c>
      <c r="AO48" s="59">
        <f t="shared" si="36"/>
        <v>329.70629768420724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15.731283025044171</v>
      </c>
      <c r="AW48" s="21">
        <f>EXP(-LN(2)/2)*AW47+(1-EXP(-LN(2)/2))/(LN(2)/2)*AQ48*AT48*VLOOKUP('Données projet'!$B$10,Paramètres!$A$1:$I$89,3,0)*0.475*44/12</f>
        <v>3.0111670163306301</v>
      </c>
      <c r="AX48" s="21">
        <f t="shared" si="6"/>
        <v>18.742450041374802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10.110000000000001</v>
      </c>
      <c r="BD48" s="12">
        <f>IF('Données projet'!$A$88&gt;35,BD47+BC48-BL47,IF(A48&lt;'Données projet'!$A$88,$BA$205^A48,IF(A48='Données projet'!$A$88,'Données projet'!$B$88,BD47+BC48-BL47)))</f>
        <v>157.78000000000014</v>
      </c>
      <c r="BE48" s="13">
        <f>BD48*VLOOKUP('Données projet'!$B$11,Paramètres!$A$1:$I$89,3,0)*VLOOKUP('Données projet'!$B$11,Paramètres!$A$1:$I$89,5,0)</f>
        <v>142.75934400000011</v>
      </c>
      <c r="BF48" s="13">
        <f t="shared" si="37"/>
        <v>36.928412609012774</v>
      </c>
      <c r="BG48" s="20">
        <f t="shared" si="7"/>
        <v>312.95617609403075</v>
      </c>
      <c r="BH48" s="59">
        <f t="shared" si="8"/>
        <v>564.58293364486485</v>
      </c>
      <c r="BI48" s="59">
        <f ca="1">AVERAGE(OFFSET($BH$3,0,0,'Données projet'!$E$11+1,1))-AVERAGE(OFFSET($H$3,0,0,'Données projet'!$E$11+1,1))</f>
        <v>681.47578137804555</v>
      </c>
      <c r="BJ48" s="59">
        <f t="shared" si="38"/>
        <v>300.88511065995885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14.037144853116336</v>
      </c>
      <c r="BR48" s="21">
        <f>EXP(-LN(2)/2)*BR47+(1-EXP(-LN(2)/2))/(LN(2)/2)*BL48*BO48*VLOOKUP('Données projet'!$B$11,Paramètres!$A$1:$I$89,3,0)*0.475*44/12</f>
        <v>2.6868874914950243</v>
      </c>
      <c r="BS48" s="22">
        <f t="shared" si="9"/>
        <v>16.724032344611359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190.38461538461539</v>
      </c>
      <c r="BW48" s="12">
        <f>VLOOKUP(A48,'Données projet'!$A$113:$I$133,9,0)</f>
        <v>6.7948717948717956</v>
      </c>
      <c r="BX48" s="12">
        <f t="array" ref="BX48">INDEX(BW:BW,MIN(IF(ISNUMBER(BW48:BW244),ROW(BW48:BW244),"")))</f>
        <v>6.7948717948717956</v>
      </c>
      <c r="BY48" s="12">
        <f>IF('Données projet'!$A$114&gt;35,BY47+BX48-CG47,IF(A48&lt;'Données projet'!$A$114,$BV$205^A48,IF(A48='Données projet'!$A$114,'Données projet'!$B$114,BY47+BX48-CG47)))</f>
        <v>190.38461538461542</v>
      </c>
      <c r="BZ48" s="13">
        <f>BY48*VLOOKUP('Données projet'!$B$12,Paramètres!$A$1:$I$89,3,0)*VLOOKUP('Données projet'!$B$12,Paramètres!$A$1:$I$89,5,0)</f>
        <v>127.71000000000002</v>
      </c>
      <c r="CA48" s="13">
        <f t="shared" si="39"/>
        <v>33.466661484162984</v>
      </c>
      <c r="CB48" s="20">
        <f t="shared" si="10"/>
        <v>280.71601875158382</v>
      </c>
      <c r="CC48" s="59">
        <f t="shared" si="11"/>
        <v>532.34277630241797</v>
      </c>
      <c r="CD48" s="59">
        <f ca="1">AVERAGE(OFFSET($CC$3,0,0,'Données projet'!$E$12+1,1))-AVERAGE(OFFSET($H$3,0,0,'Données projet'!$E$12+1,1))</f>
        <v>335.73816489539837</v>
      </c>
      <c r="CE48" s="59">
        <f t="shared" si="40"/>
        <v>254.09787950201044</v>
      </c>
      <c r="CF48" s="15">
        <f>IF(ISNA(VLOOKUP(A48,'Données projet'!$A$113:$I$133,3,0)),0,VLOOKUP(A48,'Données projet'!$A$113:$I$133,3,0))</f>
        <v>7</v>
      </c>
      <c r="CG48" s="15">
        <f>IF(ISNA(VLOOKUP(A48,'Données projet'!$A$113:$I$133,4,0)),0,VLOOKUP(A48,'Données projet'!$A$113:$I$133,4,0))</f>
        <v>16.666666666666668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0.13250000000000001</v>
      </c>
      <c r="CJ48" s="16">
        <f>IF(ISNA(VLOOKUP(A48,'Données projet'!$A$113:$I$133,7,0)),0%,VLOOKUP(A48,'Données projet'!$A$113:$I$133,7,0))</f>
        <v>0.25</v>
      </c>
      <c r="CK48" s="21">
        <f>EXP(-LN(2)/35)*CK47+(1-EXP(-LN(2)/35))/(LN(2)/35)*CG48*CH48*VLOOKUP('Données projet'!$B$12,Paramètres!$A$1:$I$89,3,0)*0.475*44/12</f>
        <v>0</v>
      </c>
      <c r="CL48" s="21">
        <f>EXP(-LN(2)/25)*CL47+(1-EXP(-LN(2)/25))/(LN(2)/25)*Calculateur!CG48*Calculateur!CI48*VLOOKUP('Données projet'!$B$12,Paramètres!$A$1:$I$89,3,0)*0.475*44/12</f>
        <v>7.4934464686940059</v>
      </c>
      <c r="CM48" s="21">
        <f>EXP(-LN(2)/2)*CM47+(1-EXP(-LN(2)/2))/(LN(2)/2)*CG48*CJ48*VLOOKUP('Données projet'!$B$12,Paramètres!$A$1:$I$89,3,0)*0.475*44/12</f>
        <v>3.2243363233368791</v>
      </c>
      <c r="CN48" s="22">
        <f t="shared" si="12"/>
        <v>10.717782792030885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14.689999999999998</v>
      </c>
      <c r="CT48" s="12">
        <f>IF('Données projet'!$A$140&gt;35,CT47+CS48-DB47,IF(A48&lt;'Données projet'!$A$140,$CQ$205^A48,IF(A48='Données projet'!$A$140,'Données projet'!$B$140,CT47+CS48-DB47)))</f>
        <v>305.18000000000006</v>
      </c>
      <c r="CU48" s="17">
        <f>CT48*VLOOKUP('Données projet'!$B$13,Paramètres!$A$1:$I$89,3,0)*VLOOKUP('Données projet'!$B$13,Paramètres!$A$1:$I$89,5,0)</f>
        <v>182.49764000000005</v>
      </c>
      <c r="CV48" s="13">
        <f t="shared" si="41"/>
        <v>45.877418600848756</v>
      </c>
      <c r="CW48" s="20">
        <f t="shared" si="13"/>
        <v>397.753227063145</v>
      </c>
      <c r="CX48" s="59">
        <f t="shared" si="14"/>
        <v>649.3799846139791</v>
      </c>
      <c r="CY48" s="59">
        <f ca="1">AVERAGE(OFFSET($CX$3,0,0,'Données projet'!$E$13+1,1))-AVERAGE(OFFSET($H$3,0,0,'Données projet'!$E$13+1,1))</f>
        <v>318.50474972254085</v>
      </c>
      <c r="CZ48" s="59">
        <f t="shared" si="42"/>
        <v>326.45858332753562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42.087287212771308</v>
      </c>
      <c r="DG48" s="21">
        <f>EXP(-LN(2)/25)*DG47+(1-EXP(-LN(2)/25))/(LN(2)/25)*Calculateur!DB48*Calculateur!DD48*VLOOKUP('Données projet'!$B$13,Paramètres!$A$1:$I$89,3,0)*0.475*44/12</f>
        <v>19.700965437272981</v>
      </c>
      <c r="DH48" s="21">
        <f>EXP(-LN(2)/2)*DH47+(1-EXP(-LN(2)/2))/(LN(2)/2)*DB48*DE48*VLOOKUP('Données projet'!$B$13,Paramètres!$A$1:$I$89,3,0)*0.475*44/12</f>
        <v>7.986842415302629</v>
      </c>
      <c r="DI48" s="22">
        <f t="shared" si="15"/>
        <v>69.775095065346918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3">
        <f>'Scénario référence'!$B$16*5+'Scénario référence'!$B$17*0+'Scénario référence'!$B$18*5</f>
        <v>5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67">
        <f t="shared" si="1"/>
        <v>183.33333333333334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5.6843418860808015E-14</v>
      </c>
      <c r="O49" s="13">
        <f>N49*VLOOKUP('Données projet'!$B$9,Paramètres!$A$1:$I$89,3,0)*VLOOKUP('Données projet'!$B$9,Paramètres!$A$1:$I$89,5,0)</f>
        <v>5.1431925385259088E-14</v>
      </c>
      <c r="P49" s="13">
        <f t="shared" si="33"/>
        <v>8.3482866290946129E-13</v>
      </c>
      <c r="Q49" s="20">
        <f t="shared" si="53"/>
        <v>1.5435705246133045E-12</v>
      </c>
      <c r="R49" s="59">
        <f t="shared" si="0"/>
        <v>252.35027339872718</v>
      </c>
      <c r="S49" s="59">
        <f ca="1">AVERAGE(OFFSET($R$3,0,0,'Données projet'!$E$9+1,1))-AVERAGE(OFFSET($H$3,0,0,'Données projet'!$E$9+1,1))</f>
        <v>214.60547318405733</v>
      </c>
      <c r="T49" s="59">
        <f t="shared" si="34"/>
        <v>306.35874106546646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15.30317603230529</v>
      </c>
      <c r="AA49" s="21">
        <f>EXP(-LN(2)/25)*AA48+(1-EXP(-LN(2)/25))/(LN(2)/25)*Calculateur!V49*Calculateur!X49*VLOOKUP('Données projet'!$B$9,Paramètres!$A$1:$I$89,3,0)*0.475*44/12</f>
        <v>12.855583080698636</v>
      </c>
      <c r="AB49" s="21">
        <f>EXP(-LN(2)/2)*AB48+(1-EXP(-LN(2)/2))/(LN(2)/2)*V49*Y49*VLOOKUP('Données projet'!$B$9,Paramètres!$A$1:$I$89,3,0)*0.475*44/12</f>
        <v>9.7514192698953526</v>
      </c>
      <c r="AC49" s="22">
        <f t="shared" si="3"/>
        <v>37.910178382899275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10.110000000000001</v>
      </c>
      <c r="AI49" s="13">
        <f>IF('Données projet'!$A$62&gt;35,AI48+AH49-AQ48,IF(A49&lt;'Données projet'!$A$62,$AF$205^A49,IF(A49='Données projet'!$A$62,'Données projet'!$B$62,AI48+AH49-AQ48)))</f>
        <v>167.89000000000016</v>
      </c>
      <c r="AJ49" s="13">
        <f>AI49*VLOOKUP('Données projet'!$B$10,Paramètres!$A$1:$I$89,3,0)*VLOOKUP('Données projet'!$B$10,Paramètres!$A$1:$I$89,5,0)</f>
        <v>170.24046000000016</v>
      </c>
      <c r="AK49" s="13">
        <f t="shared" si="35"/>
        <v>43.143874195121747</v>
      </c>
      <c r="AL49" s="20">
        <f t="shared" si="4"/>
        <v>371.64438205650396</v>
      </c>
      <c r="AM49" s="59">
        <f t="shared" si="5"/>
        <v>623.99465545522958</v>
      </c>
      <c r="AN49" s="59">
        <f ca="1">AVERAGE(OFFSET($AM$3,0,0,'Données projet'!$E$10+1,1))-AVERAGE(OFFSET($H$3,0,0,'Données projet'!$E$10+1,1))</f>
        <v>752.45542076695506</v>
      </c>
      <c r="AO49" s="59">
        <f t="shared" si="36"/>
        <v>329.70629768420724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15.301110263452118</v>
      </c>
      <c r="AW49" s="21">
        <f>EXP(-LN(2)/2)*AW48+(1-EXP(-LN(2)/2))/(LN(2)/2)*AQ49*AT49*VLOOKUP('Données projet'!$B$10,Paramètres!$A$1:$I$89,3,0)*0.475*44/12</f>
        <v>2.129216616532652</v>
      </c>
      <c r="AX49" s="21">
        <f t="shared" si="6"/>
        <v>17.430326879984769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10.110000000000001</v>
      </c>
      <c r="BD49" s="12">
        <f>IF('Données projet'!$A$88&gt;35,BD48+BC49-BL48,IF(A49&lt;'Données projet'!$A$88,$BA$205^A49,IF(A49='Données projet'!$A$88,'Données projet'!$B$88,BD48+BC49-BL48)))</f>
        <v>167.89000000000016</v>
      </c>
      <c r="BE49" s="13">
        <f>BD49*VLOOKUP('Données projet'!$B$11,Paramètres!$A$1:$I$89,3,0)*VLOOKUP('Données projet'!$B$11,Paramètres!$A$1:$I$89,5,0)</f>
        <v>151.90687200000013</v>
      </c>
      <c r="BF49" s="13">
        <f t="shared" si="37"/>
        <v>39.011610015763097</v>
      </c>
      <c r="BG49" s="20">
        <f t="shared" si="7"/>
        <v>332.51635617745427</v>
      </c>
      <c r="BH49" s="59">
        <f t="shared" si="8"/>
        <v>584.86662957617989</v>
      </c>
      <c r="BI49" s="59">
        <f ca="1">AVERAGE(OFFSET($BH$3,0,0,'Données projet'!$E$11+1,1))-AVERAGE(OFFSET($H$3,0,0,'Données projet'!$E$11+1,1))</f>
        <v>681.47578137804555</v>
      </c>
      <c r="BJ49" s="59">
        <f t="shared" si="38"/>
        <v>300.88511065995885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13.653298388926505</v>
      </c>
      <c r="BR49" s="21">
        <f>EXP(-LN(2)/2)*BR48+(1-EXP(-LN(2)/2))/(LN(2)/2)*BL49*BO49*VLOOKUP('Données projet'!$B$11,Paramètres!$A$1:$I$89,3,0)*0.475*44/12</f>
        <v>1.8999163655214437</v>
      </c>
      <c r="BS49" s="22">
        <f t="shared" si="9"/>
        <v>15.553214754447948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6.2820512820512757</v>
      </c>
      <c r="BY49" s="12">
        <f>IF('Données projet'!$A$114&gt;35,BY48+BX49-CG48,IF(A49&lt;'Données projet'!$A$114,$BV$205^A49,IF(A49='Données projet'!$A$114,'Données projet'!$B$114,BY48+BX49-CG48)))</f>
        <v>180.00000000000003</v>
      </c>
      <c r="BZ49" s="13">
        <f>BY49*VLOOKUP('Données projet'!$B$12,Paramètres!$A$1:$I$89,3,0)*VLOOKUP('Données projet'!$B$12,Paramètres!$A$1:$I$89,5,0)</f>
        <v>120.74400000000001</v>
      </c>
      <c r="CA49" s="13">
        <f t="shared" si="39"/>
        <v>31.848462605207835</v>
      </c>
      <c r="CB49" s="20">
        <f t="shared" si="10"/>
        <v>265.76520570407035</v>
      </c>
      <c r="CC49" s="59">
        <f t="shared" si="11"/>
        <v>518.11547910279603</v>
      </c>
      <c r="CD49" s="59">
        <f ca="1">AVERAGE(OFFSET($CC$3,0,0,'Données projet'!$E$12+1,1))-AVERAGE(OFFSET($H$3,0,0,'Données projet'!$E$12+1,1))</f>
        <v>335.73816489539837</v>
      </c>
      <c r="CE49" s="59">
        <f t="shared" si="40"/>
        <v>254.09787950201044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0</v>
      </c>
      <c r="CL49" s="21">
        <f>EXP(-LN(2)/25)*CL48+(1-EXP(-LN(2)/25))/(LN(2)/25)*Calculateur!CG49*Calculateur!CI49*VLOOKUP('Données projet'!$B$12,Paramètres!$A$1:$I$89,3,0)*0.475*44/12</f>
        <v>7.2885377809443446</v>
      </c>
      <c r="CM49" s="21">
        <f>EXP(-LN(2)/2)*CM48+(1-EXP(-LN(2)/2))/(LN(2)/2)*CG49*CJ49*VLOOKUP('Données projet'!$B$12,Paramètres!$A$1:$I$89,3,0)*0.475*44/12</f>
        <v>2.2799500790576079</v>
      </c>
      <c r="CN49" s="22">
        <f t="shared" si="12"/>
        <v>9.5684878600019516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14.689999999999998</v>
      </c>
      <c r="CT49" s="12">
        <f>IF('Données projet'!$A$140&gt;35,CT48+CS49-DB48,IF(A49&lt;'Données projet'!$A$140,$CQ$205^A49,IF(A49='Données projet'!$A$140,'Données projet'!$B$140,CT48+CS49-DB48)))</f>
        <v>319.87000000000006</v>
      </c>
      <c r="CU49" s="17">
        <f>CT49*VLOOKUP('Données projet'!$B$13,Paramètres!$A$1:$I$89,3,0)*VLOOKUP('Données projet'!$B$13,Paramètres!$A$1:$I$89,5,0)</f>
        <v>191.28226000000004</v>
      </c>
      <c r="CV49" s="13">
        <f t="shared" si="41"/>
        <v>47.823331262073218</v>
      </c>
      <c r="CW49" s="20">
        <f t="shared" si="13"/>
        <v>416.44223811477758</v>
      </c>
      <c r="CX49" s="59">
        <f t="shared" si="14"/>
        <v>668.7925115135032</v>
      </c>
      <c r="CY49" s="59">
        <f ca="1">AVERAGE(OFFSET($CX$3,0,0,'Données projet'!$E$13+1,1))-AVERAGE(OFFSET($H$3,0,0,'Données projet'!$E$13+1,1))</f>
        <v>318.50474972254085</v>
      </c>
      <c r="CZ49" s="59">
        <f t="shared" si="42"/>
        <v>326.45858332753562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41.261981181239292</v>
      </c>
      <c r="DG49" s="21">
        <f>EXP(-LN(2)/25)*DG48+(1-EXP(-LN(2)/25))/(LN(2)/25)*Calculateur!DB49*Calculateur!DD49*VLOOKUP('Données projet'!$B$13,Paramètres!$A$1:$I$89,3,0)*0.475*44/12</f>
        <v>19.162241501362004</v>
      </c>
      <c r="DH49" s="21">
        <f>EXP(-LN(2)/2)*DH48+(1-EXP(-LN(2)/2))/(LN(2)/2)*DB49*DE49*VLOOKUP('Données projet'!$B$13,Paramètres!$A$1:$I$89,3,0)*0.475*44/12</f>
        <v>5.647550432128833</v>
      </c>
      <c r="DI49" s="22">
        <f t="shared" si="15"/>
        <v>66.071773114730135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3">
        <f>'Scénario référence'!$B$16*5+'Scénario référence'!$B$17*0+'Scénario référence'!$B$18*5</f>
        <v>5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67">
        <f t="shared" si="1"/>
        <v>183.33333333333334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5.6843418860808015E-14</v>
      </c>
      <c r="O50" s="13">
        <f>N50*VLOOKUP('Données projet'!$B$9,Paramètres!$A$1:$I$89,3,0)*VLOOKUP('Données projet'!$B$9,Paramètres!$A$1:$I$89,5,0)</f>
        <v>5.1431925385259088E-14</v>
      </c>
      <c r="P50" s="13">
        <f t="shared" si="33"/>
        <v>8.3482866290946129E-13</v>
      </c>
      <c r="Q50" s="20">
        <f t="shared" si="53"/>
        <v>1.5435705246133045E-12</v>
      </c>
      <c r="R50" s="59">
        <f t="shared" si="0"/>
        <v>253.06123786419693</v>
      </c>
      <c r="S50" s="59">
        <f ca="1">AVERAGE(OFFSET($R$3,0,0,'Données projet'!$E$9+1,1))-AVERAGE(OFFSET($H$3,0,0,'Données projet'!$E$9+1,1))</f>
        <v>214.60547318405733</v>
      </c>
      <c r="T50" s="59">
        <f t="shared" si="34"/>
        <v>306.35874106546646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15.003090084327505</v>
      </c>
      <c r="AA50" s="21">
        <f>EXP(-LN(2)/25)*AA49+(1-EXP(-LN(2)/25))/(LN(2)/25)*Calculateur!V50*Calculateur!X50*VLOOKUP('Données projet'!$B$9,Paramètres!$A$1:$I$89,3,0)*0.475*44/12</f>
        <v>12.5040464853112</v>
      </c>
      <c r="AB50" s="21">
        <f>EXP(-LN(2)/2)*AB49+(1-EXP(-LN(2)/2))/(LN(2)/2)*V50*Y50*VLOOKUP('Données projet'!$B$9,Paramètres!$A$1:$I$89,3,0)*0.475*44/12</f>
        <v>6.8952946919361766</v>
      </c>
      <c r="AC50" s="22">
        <f t="shared" si="3"/>
        <v>34.402431261574883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10.110000000000001</v>
      </c>
      <c r="AI50" s="13">
        <f>IF('Données projet'!$A$62&gt;35,AI49+AH50-AQ49,IF(A50&lt;'Données projet'!$A$62,$AF$205^A50,IF(A50='Données projet'!$A$62,'Données projet'!$B$62,AI49+AH50-AQ49)))</f>
        <v>178.00000000000017</v>
      </c>
      <c r="AJ50" s="13">
        <f>AI50*VLOOKUP('Données projet'!$B$10,Paramètres!$A$1:$I$89,3,0)*VLOOKUP('Données projet'!$B$10,Paramètres!$A$1:$I$89,5,0)</f>
        <v>180.49200000000019</v>
      </c>
      <c r="AK50" s="13">
        <f t="shared" si="35"/>
        <v>45.431629706642696</v>
      </c>
      <c r="AL50" s="20">
        <f t="shared" si="4"/>
        <v>393.48365507240305</v>
      </c>
      <c r="AM50" s="59">
        <f t="shared" si="5"/>
        <v>646.54489293659844</v>
      </c>
      <c r="AN50" s="59">
        <f ca="1">AVERAGE(OFFSET($AM$3,0,0,'Données projet'!$E$10+1,1))-AVERAGE(OFFSET($H$3,0,0,'Données projet'!$E$10+1,1))</f>
        <v>752.45542076695506</v>
      </c>
      <c r="AO50" s="59">
        <f t="shared" si="36"/>
        <v>329.70629768420724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14.882700598647602</v>
      </c>
      <c r="AW50" s="21">
        <f>EXP(-LN(2)/2)*AW49+(1-EXP(-LN(2)/2))/(LN(2)/2)*AQ50*AT50*VLOOKUP('Données projet'!$B$10,Paramètres!$A$1:$I$89,3,0)*0.475*44/12</f>
        <v>1.5055835081653151</v>
      </c>
      <c r="AX50" s="21">
        <f t="shared" si="6"/>
        <v>16.388284106812918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10.110000000000001</v>
      </c>
      <c r="BD50" s="12">
        <f>IF('Données projet'!$A$88&gt;35,BD49+BC50-BL49,IF(A50&lt;'Données projet'!$A$88,$BA$205^A50,IF(A50='Données projet'!$A$88,'Données projet'!$B$88,BD49+BC50-BL49)))</f>
        <v>178.00000000000017</v>
      </c>
      <c r="BE50" s="13">
        <f>BD50*VLOOKUP('Données projet'!$B$11,Paramètres!$A$1:$I$89,3,0)*VLOOKUP('Données projet'!$B$11,Paramètres!$A$1:$I$89,5,0)</f>
        <v>161.05440000000016</v>
      </c>
      <c r="BF50" s="13">
        <f t="shared" si="37"/>
        <v>41.080247278685491</v>
      </c>
      <c r="BG50" s="20">
        <f t="shared" si="7"/>
        <v>352.05117734371078</v>
      </c>
      <c r="BH50" s="59">
        <f t="shared" si="8"/>
        <v>605.11241520790622</v>
      </c>
      <c r="BI50" s="59">
        <f ca="1">AVERAGE(OFFSET($BH$3,0,0,'Données projet'!$E$11+1,1))-AVERAGE(OFFSET($H$3,0,0,'Données projet'!$E$11+1,1))</f>
        <v>681.47578137804555</v>
      </c>
      <c r="BJ50" s="59">
        <f t="shared" si="38"/>
        <v>300.88511065995885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13.279948226485553</v>
      </c>
      <c r="BR50" s="21">
        <f>EXP(-LN(2)/2)*BR49+(1-EXP(-LN(2)/2))/(LN(2)/2)*BL50*BO50*VLOOKUP('Données projet'!$B$11,Paramètres!$A$1:$I$89,3,0)*0.475*44/12</f>
        <v>1.3434437457475121</v>
      </c>
      <c r="BS50" s="22">
        <f t="shared" si="9"/>
        <v>14.623391972233065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6.2820512820512757</v>
      </c>
      <c r="BY50" s="12">
        <f>IF('Données projet'!$A$114&gt;35,BY49+BX50-CG49,IF(A50&lt;'Données projet'!$A$114,$BV$205^A50,IF(A50='Données projet'!$A$114,'Données projet'!$B$114,BY49+BX50-CG49)))</f>
        <v>186.2820512820513</v>
      </c>
      <c r="BZ50" s="13">
        <f>BY50*VLOOKUP('Données projet'!$B$12,Paramètres!$A$1:$I$89,3,0)*VLOOKUP('Données projet'!$B$12,Paramètres!$A$1:$I$89,5,0)</f>
        <v>124.95800000000001</v>
      </c>
      <c r="CA50" s="13">
        <f t="shared" si="39"/>
        <v>32.828632569621575</v>
      </c>
      <c r="CB50" s="20">
        <f t="shared" si="10"/>
        <v>274.81171839209094</v>
      </c>
      <c r="CC50" s="59">
        <f t="shared" si="11"/>
        <v>527.87295625628633</v>
      </c>
      <c r="CD50" s="59">
        <f ca="1">AVERAGE(OFFSET($CC$3,0,0,'Données projet'!$E$12+1,1))-AVERAGE(OFFSET($H$3,0,0,'Données projet'!$E$12+1,1))</f>
        <v>335.73816489539837</v>
      </c>
      <c r="CE50" s="59">
        <f t="shared" si="40"/>
        <v>254.09787950201044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0</v>
      </c>
      <c r="CL50" s="21">
        <f>EXP(-LN(2)/25)*CL49+(1-EXP(-LN(2)/25))/(LN(2)/25)*Calculateur!CG50*Calculateur!CI50*VLOOKUP('Données projet'!$B$12,Paramètres!$A$1:$I$89,3,0)*0.475*44/12</f>
        <v>7.089232332036878</v>
      </c>
      <c r="CM50" s="21">
        <f>EXP(-LN(2)/2)*CM49+(1-EXP(-LN(2)/2))/(LN(2)/2)*CG50*CJ50*VLOOKUP('Données projet'!$B$12,Paramètres!$A$1:$I$89,3,0)*0.475*44/12</f>
        <v>1.6121681616684398</v>
      </c>
      <c r="CN50" s="22">
        <f t="shared" si="12"/>
        <v>8.701400493705318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14.689999999999998</v>
      </c>
      <c r="CT50" s="12">
        <f>IF('Données projet'!$A$140&gt;35,CT49+CS50-DB49,IF(A50&lt;'Données projet'!$A$140,$CQ$205^A50,IF(A50='Données projet'!$A$140,'Données projet'!$B$140,CT49+CS50-DB49)))</f>
        <v>334.56000000000006</v>
      </c>
      <c r="CU50" s="17">
        <f>CT50*VLOOKUP('Données projet'!$B$13,Paramètres!$A$1:$I$89,3,0)*VLOOKUP('Données projet'!$B$13,Paramètres!$A$1:$I$89,5,0)</f>
        <v>200.06688000000005</v>
      </c>
      <c r="CV50" s="13">
        <f t="shared" si="41"/>
        <v>49.758865639104997</v>
      </c>
      <c r="CW50" s="20">
        <f t="shared" si="13"/>
        <v>435.11317365477458</v>
      </c>
      <c r="CX50" s="59">
        <f t="shared" si="14"/>
        <v>688.17441151896992</v>
      </c>
      <c r="CY50" s="59">
        <f ca="1">AVERAGE(OFFSET($CX$3,0,0,'Données projet'!$E$13+1,1))-AVERAGE(OFFSET($H$3,0,0,'Données projet'!$E$13+1,1))</f>
        <v>318.50474972254085</v>
      </c>
      <c r="CZ50" s="59">
        <f t="shared" si="42"/>
        <v>326.45858332753562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40.452858897598645</v>
      </c>
      <c r="DG50" s="21">
        <f>EXP(-LN(2)/25)*DG49+(1-EXP(-LN(2)/25))/(LN(2)/25)*Calculateur!DB50*Calculateur!DD50*VLOOKUP('Données projet'!$B$13,Paramètres!$A$1:$I$89,3,0)*0.475*44/12</f>
        <v>18.638248999808777</v>
      </c>
      <c r="DH50" s="21">
        <f>EXP(-LN(2)/2)*DH49+(1-EXP(-LN(2)/2))/(LN(2)/2)*DB50*DE50*VLOOKUP('Données projet'!$B$13,Paramètres!$A$1:$I$89,3,0)*0.475*44/12</f>
        <v>3.9934212076513149</v>
      </c>
      <c r="DI50" s="22">
        <f t="shared" si="15"/>
        <v>63.084529105058742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3">
        <f>'Scénario référence'!$B$16*5+'Scénario référence'!$B$17*0+'Scénario référence'!$B$18*5</f>
        <v>5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67">
        <f t="shared" si="1"/>
        <v>183.33333333333334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5.6843418860808015E-14</v>
      </c>
      <c r="O51" s="13">
        <f>N51*VLOOKUP('Données projet'!$B$9,Paramètres!$A$1:$I$89,3,0)*VLOOKUP('Données projet'!$B$9,Paramètres!$A$1:$I$89,5,0)</f>
        <v>5.1431925385259088E-14</v>
      </c>
      <c r="P51" s="13">
        <f t="shared" si="33"/>
        <v>8.3482866290946129E-13</v>
      </c>
      <c r="Q51" s="20">
        <f t="shared" si="53"/>
        <v>1.5435705246133045E-12</v>
      </c>
      <c r="R51" s="59">
        <f t="shared" si="0"/>
        <v>253.75986868566923</v>
      </c>
      <c r="S51" s="59">
        <f ca="1">AVERAGE(OFFSET($R$3,0,0,'Données projet'!$E$9+1,1))-AVERAGE(OFFSET($H$3,0,0,'Données projet'!$E$9+1,1))</f>
        <v>214.60547318405733</v>
      </c>
      <c r="T51" s="59">
        <f t="shared" si="34"/>
        <v>306.35874106546646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14.70888863875521</v>
      </c>
      <c r="AA51" s="21">
        <f>EXP(-LN(2)/25)*AA50+(1-EXP(-LN(2)/25))/(LN(2)/25)*Calculateur!V51*Calculateur!X51*VLOOKUP('Données projet'!$B$9,Paramètres!$A$1:$I$89,3,0)*0.475*44/12</f>
        <v>12.162122676611139</v>
      </c>
      <c r="AB51" s="21">
        <f>EXP(-LN(2)/2)*AB50+(1-EXP(-LN(2)/2))/(LN(2)/2)*V51*Y51*VLOOKUP('Données projet'!$B$9,Paramètres!$A$1:$I$89,3,0)*0.475*44/12</f>
        <v>4.8757096349476772</v>
      </c>
      <c r="AC51" s="22">
        <f t="shared" si="3"/>
        <v>31.746720950314028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10.110000000000001</v>
      </c>
      <c r="AI51" s="13">
        <f>IF('Données projet'!$A$62&gt;35,AI50+AH51-AQ50,IF(A51&lt;'Données projet'!$A$62,$AF$205^A51,IF(A51='Données projet'!$A$62,'Données projet'!$B$62,AI50+AH51-AQ50)))</f>
        <v>188.11000000000018</v>
      </c>
      <c r="AJ51" s="13">
        <f>AI51*VLOOKUP('Données projet'!$B$10,Paramètres!$A$1:$I$89,3,0)*VLOOKUP('Données projet'!$B$10,Paramètres!$A$1:$I$89,5,0)</f>
        <v>190.74354000000019</v>
      </c>
      <c r="AK51" s="13">
        <f t="shared" si="35"/>
        <v>47.704301602434754</v>
      </c>
      <c r="AL51" s="20">
        <f t="shared" si="4"/>
        <v>415.29665745757416</v>
      </c>
      <c r="AM51" s="59">
        <f t="shared" si="5"/>
        <v>669.05652614324185</v>
      </c>
      <c r="AN51" s="59">
        <f ca="1">AVERAGE(OFFSET($AM$3,0,0,'Données projet'!$E$10+1,1))-AVERAGE(OFFSET($H$3,0,0,'Données projet'!$E$10+1,1))</f>
        <v>752.45542076695506</v>
      </c>
      <c r="AO51" s="59">
        <f t="shared" si="36"/>
        <v>329.70629768420724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14.475732368130375</v>
      </c>
      <c r="AW51" s="21">
        <f>EXP(-LN(2)/2)*AW50+(1-EXP(-LN(2)/2))/(LN(2)/2)*AQ51*AT51*VLOOKUP('Données projet'!$B$10,Paramètres!$A$1:$I$89,3,0)*0.475*44/12</f>
        <v>1.064608308266326</v>
      </c>
      <c r="AX51" s="21">
        <f t="shared" si="6"/>
        <v>15.540340676396701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10.110000000000001</v>
      </c>
      <c r="BD51" s="12">
        <f>IF('Données projet'!$A$88&gt;35,BD50+BC51-BL50,IF(A51&lt;'Données projet'!$A$88,$BA$205^A51,IF(A51='Données projet'!$A$88,'Données projet'!$B$88,BD50+BC51-BL50)))</f>
        <v>188.11000000000018</v>
      </c>
      <c r="BE51" s="13">
        <f>BD51*VLOOKUP('Données projet'!$B$11,Paramètres!$A$1:$I$89,3,0)*VLOOKUP('Données projet'!$B$11,Paramètres!$A$1:$I$89,5,0)</f>
        <v>170.20192800000018</v>
      </c>
      <c r="BF51" s="13">
        <f t="shared" si="37"/>
        <v>43.135245614983553</v>
      </c>
      <c r="BG51" s="20">
        <f t="shared" si="7"/>
        <v>371.56224404609662</v>
      </c>
      <c r="BH51" s="59">
        <f t="shared" si="8"/>
        <v>625.32211273176426</v>
      </c>
      <c r="BI51" s="59">
        <f ca="1">AVERAGE(OFFSET($BH$3,0,0,'Données projet'!$E$11+1,1))-AVERAGE(OFFSET($H$3,0,0,'Données projet'!$E$11+1,1))</f>
        <v>681.47578137804555</v>
      </c>
      <c r="BJ51" s="59">
        <f t="shared" si="38"/>
        <v>300.88511065995885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12.916807343870181</v>
      </c>
      <c r="BR51" s="21">
        <f>EXP(-LN(2)/2)*BR50+(1-EXP(-LN(2)/2))/(LN(2)/2)*BL51*BO51*VLOOKUP('Données projet'!$B$11,Paramètres!$A$1:$I$89,3,0)*0.475*44/12</f>
        <v>0.94995818276072186</v>
      </c>
      <c r="BS51" s="22">
        <f t="shared" si="9"/>
        <v>13.866765526630903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6.2820512820512757</v>
      </c>
      <c r="BY51" s="12">
        <f>IF('Données projet'!$A$114&gt;35,BY50+BX51-CG50,IF(A51&lt;'Données projet'!$A$114,$BV$205^A51,IF(A51='Données projet'!$A$114,'Données projet'!$B$114,BY50+BX51-CG50)))</f>
        <v>192.56410256410257</v>
      </c>
      <c r="BZ51" s="13">
        <f>BY51*VLOOKUP('Données projet'!$B$12,Paramètres!$A$1:$I$89,3,0)*VLOOKUP('Données projet'!$B$12,Paramètres!$A$1:$I$89,5,0)</f>
        <v>129.172</v>
      </c>
      <c r="CA51" s="13">
        <f t="shared" si="39"/>
        <v>33.804961751689021</v>
      </c>
      <c r="CB51" s="20">
        <f t="shared" si="10"/>
        <v>283.85154171752504</v>
      </c>
      <c r="CC51" s="59">
        <f t="shared" si="11"/>
        <v>537.61141040319274</v>
      </c>
      <c r="CD51" s="59">
        <f ca="1">AVERAGE(OFFSET($CC$3,0,0,'Données projet'!$E$12+1,1))-AVERAGE(OFFSET($H$3,0,0,'Données projet'!$E$12+1,1))</f>
        <v>335.73816489539837</v>
      </c>
      <c r="CE51" s="59">
        <f t="shared" si="40"/>
        <v>254.09787950201044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0</v>
      </c>
      <c r="CL51" s="21">
        <f>EXP(-LN(2)/25)*CL50+(1-EXP(-LN(2)/25))/(LN(2)/25)*Calculateur!CG51*Calculateur!CI51*VLOOKUP('Données projet'!$B$12,Paramètres!$A$1:$I$89,3,0)*0.475*44/12</f>
        <v>6.8953769011108035</v>
      </c>
      <c r="CM51" s="21">
        <f>EXP(-LN(2)/2)*CM50+(1-EXP(-LN(2)/2))/(LN(2)/2)*CG51*CJ51*VLOOKUP('Données projet'!$B$12,Paramètres!$A$1:$I$89,3,0)*0.475*44/12</f>
        <v>1.1399750395288042</v>
      </c>
      <c r="CN51" s="22">
        <f t="shared" si="12"/>
        <v>8.0353519406396074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14.689999999999998</v>
      </c>
      <c r="CT51" s="12">
        <f>IF('Données projet'!$A$140&gt;35,CT50+CS51-DB50,IF(A51&lt;'Données projet'!$A$140,$CQ$205^A51,IF(A51='Données projet'!$A$140,'Données projet'!$B$140,CT50+CS51-DB50)))</f>
        <v>349.25000000000006</v>
      </c>
      <c r="CU51" s="17">
        <f>CT51*VLOOKUP('Données projet'!$B$13,Paramètres!$A$1:$I$89,3,0)*VLOOKUP('Données projet'!$B$13,Paramètres!$A$1:$I$89,5,0)</f>
        <v>208.85150000000004</v>
      </c>
      <c r="CV51" s="13">
        <f t="shared" si="41"/>
        <v>51.684529504057373</v>
      </c>
      <c r="CW51" s="20">
        <f t="shared" si="13"/>
        <v>453.76691805289994</v>
      </c>
      <c r="CX51" s="59">
        <f t="shared" si="14"/>
        <v>707.52678673856758</v>
      </c>
      <c r="CY51" s="59">
        <f ca="1">AVERAGE(OFFSET($CX$3,0,0,'Données projet'!$E$13+1,1))-AVERAGE(OFFSET($H$3,0,0,'Données projet'!$E$13+1,1))</f>
        <v>318.50474972254085</v>
      </c>
      <c r="CZ51" s="59">
        <f t="shared" si="42"/>
        <v>326.45858332753562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39.659603008424327</v>
      </c>
      <c r="DG51" s="21">
        <f>EXP(-LN(2)/25)*DG50+(1-EXP(-LN(2)/25))/(LN(2)/25)*Calculateur!DB51*Calculateur!DD51*VLOOKUP('Données projet'!$B$13,Paramètres!$A$1:$I$89,3,0)*0.475*44/12</f>
        <v>18.128585100766088</v>
      </c>
      <c r="DH51" s="21">
        <f>EXP(-LN(2)/2)*DH50+(1-EXP(-LN(2)/2))/(LN(2)/2)*DB51*DE51*VLOOKUP('Données projet'!$B$13,Paramètres!$A$1:$I$89,3,0)*0.475*44/12</f>
        <v>2.8237752160644169</v>
      </c>
      <c r="DI51" s="22">
        <f t="shared" si="15"/>
        <v>60.611963325254834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3">
        <f>'Scénario référence'!$B$16*5+'Scénario référence'!$B$17*0+'Scénario référence'!$B$18*5</f>
        <v>5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67">
        <f t="shared" si="1"/>
        <v>183.33333333333334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5.6843418860808015E-14</v>
      </c>
      <c r="O52" s="13">
        <f>N52*VLOOKUP('Données projet'!$B$9,Paramètres!$A$1:$I$89,3,0)*VLOOKUP('Données projet'!$B$9,Paramètres!$A$1:$I$89,5,0)</f>
        <v>5.1431925385259088E-14</v>
      </c>
      <c r="P52" s="13">
        <f t="shared" si="33"/>
        <v>8.3482866290946129E-13</v>
      </c>
      <c r="Q52" s="20">
        <f t="shared" si="53"/>
        <v>1.5435705246133045E-12</v>
      </c>
      <c r="R52" s="59">
        <f t="shared" si="0"/>
        <v>254.4463798242935</v>
      </c>
      <c r="S52" s="59">
        <f ca="1">AVERAGE(OFFSET($R$3,0,0,'Données projet'!$E$9+1,1))-AVERAGE(OFFSET($H$3,0,0,'Données projet'!$E$9+1,1))</f>
        <v>214.60547318405733</v>
      </c>
      <c r="T52" s="59">
        <f t="shared" si="34"/>
        <v>306.35874106546646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14.420456304085425</v>
      </c>
      <c r="AA52" s="21">
        <f>EXP(-LN(2)/25)*AA51+(1-EXP(-LN(2)/25))/(LN(2)/25)*Calculateur!V52*Calculateur!X52*VLOOKUP('Données projet'!$B$9,Paramètres!$A$1:$I$89,3,0)*0.475*44/12</f>
        <v>11.829548792440972</v>
      </c>
      <c r="AB52" s="21">
        <f>EXP(-LN(2)/2)*AB51+(1-EXP(-LN(2)/2))/(LN(2)/2)*V52*Y52*VLOOKUP('Données projet'!$B$9,Paramètres!$A$1:$I$89,3,0)*0.475*44/12</f>
        <v>3.4476473459680888</v>
      </c>
      <c r="AC52" s="22">
        <f t="shared" si="3"/>
        <v>29.697652442494487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10.110000000000001</v>
      </c>
      <c r="AI52" s="13">
        <f>IF('Données projet'!$A$62&gt;35,AI51+AH52-AQ51,IF(A52&lt;'Données projet'!$A$62,$AF$205^A52,IF(A52='Données projet'!$A$62,'Données projet'!$B$62,AI51+AH52-AQ51)))</f>
        <v>198.2200000000002</v>
      </c>
      <c r="AJ52" s="13">
        <f>AI52*VLOOKUP('Données projet'!$B$10,Paramètres!$A$1:$I$89,3,0)*VLOOKUP('Données projet'!$B$10,Paramètres!$A$1:$I$89,5,0)</f>
        <v>200.9950800000002</v>
      </c>
      <c r="AK52" s="13">
        <f t="shared" si="35"/>
        <v>49.962792983004405</v>
      </c>
      <c r="AL52" s="20">
        <f t="shared" si="4"/>
        <v>437.08496211206631</v>
      </c>
      <c r="AM52" s="59">
        <f t="shared" si="5"/>
        <v>691.53134193635833</v>
      </c>
      <c r="AN52" s="59">
        <f ca="1">AVERAGE(OFFSET($AM$3,0,0,'Données projet'!$E$10+1,1))-AVERAGE(OFFSET($H$3,0,0,'Données projet'!$E$10+1,1))</f>
        <v>752.45542076695506</v>
      </c>
      <c r="AO52" s="59">
        <f t="shared" si="36"/>
        <v>329.70629768420724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14.079892705278169</v>
      </c>
      <c r="AW52" s="21">
        <f>EXP(-LN(2)/2)*AW51+(1-EXP(-LN(2)/2))/(LN(2)/2)*AQ52*AT52*VLOOKUP('Données projet'!$B$10,Paramètres!$A$1:$I$89,3,0)*0.475*44/12</f>
        <v>0.75279175408265753</v>
      </c>
      <c r="AX52" s="21">
        <f t="shared" si="6"/>
        <v>14.832684459360827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10.110000000000001</v>
      </c>
      <c r="BD52" s="12">
        <f>IF('Données projet'!$A$88&gt;35,BD51+BC52-BL51,IF(A52&lt;'Données projet'!$A$88,$BA$205^A52,IF(A52='Données projet'!$A$88,'Données projet'!$B$88,BD51+BC52-BL51)))</f>
        <v>198.2200000000002</v>
      </c>
      <c r="BE52" s="13">
        <f>BD52*VLOOKUP('Données projet'!$B$11,Paramètres!$A$1:$I$89,3,0)*VLOOKUP('Données projet'!$B$11,Paramètres!$A$1:$I$89,5,0)</f>
        <v>179.34945600000017</v>
      </c>
      <c r="BF52" s="13">
        <f t="shared" si="37"/>
        <v>45.177421627371096</v>
      </c>
      <c r="BG52" s="20">
        <f t="shared" si="7"/>
        <v>391.0509785343383</v>
      </c>
      <c r="BH52" s="59">
        <f t="shared" si="8"/>
        <v>645.49735835863021</v>
      </c>
      <c r="BI52" s="59">
        <f ca="1">AVERAGE(OFFSET($BH$3,0,0,'Données projet'!$E$11+1,1))-AVERAGE(OFFSET($H$3,0,0,'Données projet'!$E$11+1,1))</f>
        <v>681.47578137804555</v>
      </c>
      <c r="BJ52" s="59">
        <f t="shared" si="38"/>
        <v>300.88511065995885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12.563596567786675</v>
      </c>
      <c r="BR52" s="21">
        <f>EXP(-LN(2)/2)*BR51+(1-EXP(-LN(2)/2))/(LN(2)/2)*BL52*BO52*VLOOKUP('Données projet'!$B$11,Paramètres!$A$1:$I$89,3,0)*0.475*44/12</f>
        <v>0.67172187287375607</v>
      </c>
      <c r="BS52" s="22">
        <f t="shared" si="9"/>
        <v>13.23531844066043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6.2820512820512757</v>
      </c>
      <c r="BY52" s="12">
        <f>IF('Données projet'!$A$114&gt;35,BY51+BX52-CG51,IF(A52&lt;'Données projet'!$A$114,$BV$205^A52,IF(A52='Données projet'!$A$114,'Données projet'!$B$114,BY51+BX52-CG51)))</f>
        <v>198.84615384615384</v>
      </c>
      <c r="BZ52" s="13">
        <f>BY52*VLOOKUP('Données projet'!$B$12,Paramètres!$A$1:$I$89,3,0)*VLOOKUP('Données projet'!$B$12,Paramètres!$A$1:$I$89,5,0)</f>
        <v>133.386</v>
      </c>
      <c r="CA52" s="13">
        <f t="shared" si="39"/>
        <v>34.777589819693418</v>
      </c>
      <c r="CB52" s="20">
        <f t="shared" si="10"/>
        <v>292.88491893596603</v>
      </c>
      <c r="CC52" s="59">
        <f t="shared" si="11"/>
        <v>547.33129876025805</v>
      </c>
      <c r="CD52" s="59">
        <f ca="1">AVERAGE(OFFSET($CC$3,0,0,'Données projet'!$E$12+1,1))-AVERAGE(OFFSET($H$3,0,0,'Données projet'!$E$12+1,1))</f>
        <v>335.73816489539837</v>
      </c>
      <c r="CE52" s="59">
        <f t="shared" si="40"/>
        <v>254.09787950201044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0</v>
      </c>
      <c r="CL52" s="21">
        <f>EXP(-LN(2)/25)*CL51+(1-EXP(-LN(2)/25))/(LN(2)/25)*Calculateur!CG52*Calculateur!CI52*VLOOKUP('Données projet'!$B$12,Paramètres!$A$1:$I$89,3,0)*0.475*44/12</f>
        <v>6.7068224571378172</v>
      </c>
      <c r="CM52" s="21">
        <f>EXP(-LN(2)/2)*CM51+(1-EXP(-LN(2)/2))/(LN(2)/2)*CG52*CJ52*VLOOKUP('Données projet'!$B$12,Paramètres!$A$1:$I$89,3,0)*0.475*44/12</f>
        <v>0.80608408083422012</v>
      </c>
      <c r="CN52" s="22">
        <f t="shared" si="12"/>
        <v>7.5129065379720377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14.689999999999998</v>
      </c>
      <c r="CT52" s="12">
        <f>IF('Données projet'!$A$140&gt;35,CT51+CS52-DB51,IF(A52&lt;'Données projet'!$A$140,$CQ$205^A52,IF(A52='Données projet'!$A$140,'Données projet'!$B$140,CT51+CS52-DB51)))</f>
        <v>363.94000000000005</v>
      </c>
      <c r="CU52" s="17">
        <f>CT52*VLOOKUP('Données projet'!$B$13,Paramètres!$A$1:$I$89,3,0)*VLOOKUP('Données projet'!$B$13,Paramètres!$A$1:$I$89,5,0)</f>
        <v>217.63612000000003</v>
      </c>
      <c r="CV52" s="13">
        <f t="shared" si="41"/>
        <v>53.600785497261654</v>
      </c>
      <c r="CW52" s="20">
        <f t="shared" si="13"/>
        <v>472.40427707439738</v>
      </c>
      <c r="CX52" s="59">
        <f t="shared" si="14"/>
        <v>726.85065689868929</v>
      </c>
      <c r="CY52" s="59">
        <f ca="1">AVERAGE(OFFSET($CX$3,0,0,'Données projet'!$E$13+1,1))-AVERAGE(OFFSET($H$3,0,0,'Données projet'!$E$13+1,1))</f>
        <v>318.50474972254085</v>
      </c>
      <c r="CZ52" s="59">
        <f t="shared" si="42"/>
        <v>326.45858332753562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38.881902383398398</v>
      </c>
      <c r="DG52" s="21">
        <f>EXP(-LN(2)/25)*DG51+(1-EXP(-LN(2)/25))/(LN(2)/25)*Calculateur!DB52*Calculateur!DD52*VLOOKUP('Données projet'!$B$13,Paramètres!$A$1:$I$89,3,0)*0.475*44/12</f>
        <v>17.632857987844783</v>
      </c>
      <c r="DH52" s="21">
        <f>EXP(-LN(2)/2)*DH51+(1-EXP(-LN(2)/2))/(LN(2)/2)*DB52*DE52*VLOOKUP('Données projet'!$B$13,Paramètres!$A$1:$I$89,3,0)*0.475*44/12</f>
        <v>1.9967106038256577</v>
      </c>
      <c r="DI52" s="22">
        <f t="shared" si="15"/>
        <v>58.511470975068839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3">
        <f>'Scénario référence'!$B$16*5+'Scénario référence'!$B$17*0+'Scénario référence'!$B$18*5</f>
        <v>5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67">
        <f t="shared" si="1"/>
        <v>183.33333333333334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5.6843418860808015E-14</v>
      </c>
      <c r="O53" s="13">
        <f>N53*VLOOKUP('Données projet'!$B$9,Paramètres!$A$1:$I$89,3,0)*VLOOKUP('Données projet'!$B$9,Paramètres!$A$1:$I$89,5,0)</f>
        <v>5.1431925385259088E-14</v>
      </c>
      <c r="P53" s="13">
        <f t="shared" si="33"/>
        <v>8.3482866290946129E-13</v>
      </c>
      <c r="Q53" s="20">
        <f t="shared" si="53"/>
        <v>1.5435705246133045E-12</v>
      </c>
      <c r="R53" s="59">
        <f t="shared" si="0"/>
        <v>255.12098152947163</v>
      </c>
      <c r="S53" s="59">
        <f ca="1">AVERAGE(OFFSET($R$3,0,0,'Données projet'!$E$9+1,1))-AVERAGE(OFFSET($H$3,0,0,'Données projet'!$E$9+1,1))</f>
        <v>214.60547318405733</v>
      </c>
      <c r="T53" s="59">
        <f t="shared" si="34"/>
        <v>306.35874106546646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14.137679951572162</v>
      </c>
      <c r="AA53" s="21">
        <f>EXP(-LN(2)/25)*AA52+(1-EXP(-LN(2)/25))/(LN(2)/25)*Calculateur!V53*Calculateur!X53*VLOOKUP('Données projet'!$B$9,Paramètres!$A$1:$I$89,3,0)*0.475*44/12</f>
        <v>11.50606915862274</v>
      </c>
      <c r="AB53" s="21">
        <f>EXP(-LN(2)/2)*AB52+(1-EXP(-LN(2)/2))/(LN(2)/2)*V53*Y53*VLOOKUP('Données projet'!$B$9,Paramètres!$A$1:$I$89,3,0)*0.475*44/12</f>
        <v>2.437854817473839</v>
      </c>
      <c r="AC53" s="22">
        <f t="shared" si="3"/>
        <v>28.081603927668741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208.33</v>
      </c>
      <c r="AG53" s="12">
        <f>VLOOKUP(A53,'Données projet'!$A$61:$I$81,9,0)</f>
        <v>10.110000000000001</v>
      </c>
      <c r="AH53" s="12">
        <f t="array" ref="AH53">INDEX(AG:AG,MIN(IF(ISNUMBER(AG53:AG249),ROW(AG53:AG249),"")))</f>
        <v>10.110000000000001</v>
      </c>
      <c r="AI53" s="13">
        <f>IF('Données projet'!$A$62&gt;35,AI52+AH53-AQ52,IF(A53&lt;'Données projet'!$A$62,$AF$205^A53,IF(A53='Données projet'!$A$62,'Données projet'!$B$62,AI52+AH53-AQ52)))</f>
        <v>208.33000000000021</v>
      </c>
      <c r="AJ53" s="13">
        <f>AI53*VLOOKUP('Données projet'!$B$10,Paramètres!$A$1:$I$89,3,0)*VLOOKUP('Données projet'!$B$10,Paramètres!$A$1:$I$89,5,0)</f>
        <v>211.24662000000023</v>
      </c>
      <c r="AK53" s="13">
        <f t="shared" si="35"/>
        <v>52.207909621932217</v>
      </c>
      <c r="AL53" s="20">
        <f t="shared" si="4"/>
        <v>458.84997242486565</v>
      </c>
      <c r="AM53" s="59">
        <f t="shared" si="5"/>
        <v>713.97095395433576</v>
      </c>
      <c r="AN53" s="59">
        <f ca="1">AVERAGE(OFFSET($AM$3,0,0,'Données projet'!$E$10+1,1))-AVERAGE(OFFSET($H$3,0,0,'Données projet'!$E$10+1,1))</f>
        <v>752.45542076695506</v>
      </c>
      <c r="AO53" s="59">
        <f t="shared" si="36"/>
        <v>329.70629768420724</v>
      </c>
      <c r="AP53" s="15">
        <f>IF(ISNA(VLOOKUP(A53,'Données projet'!$A$61:$I$81,3,0)),0,VLOOKUP(A53,'Données projet'!$A$61:$I$81,3,0))</f>
        <v>2</v>
      </c>
      <c r="AQ53" s="15">
        <f>IF(ISNA(VLOOKUP(A53,'Données projet'!$A$61:$I$81,4,0)),0,VLOOKUP(A53,'Données projet'!$A$61:$I$81,4,0))</f>
        <v>37.54000000000002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0.34400000000000003</v>
      </c>
      <c r="AT53" s="16">
        <f>IF(ISNA(VLOOKUP(A53,'Données projet'!$A$61:$I$81,7,0)),0%,VLOOKUP(A53,'Données projet'!$A$61:$I$81,7,0))</f>
        <v>0.2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28.113521264944488</v>
      </c>
      <c r="AW53" s="21">
        <f>EXP(-LN(2)/2)*AW52+(1-EXP(-LN(2)/2))/(LN(2)/2)*AQ53*AT53*VLOOKUP('Données projet'!$B$10,Paramètres!$A$1:$I$89,3,0)*0.475*44/12</f>
        <v>7.7154802300384224</v>
      </c>
      <c r="AX53" s="21">
        <f t="shared" si="6"/>
        <v>35.829001494982911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208.33</v>
      </c>
      <c r="BB53" s="12">
        <f>VLOOKUP(A53,'Données projet'!$A$87:$I$107,9,0)</f>
        <v>10.110000000000001</v>
      </c>
      <c r="BC53" s="12">
        <f t="array" ref="BC53">INDEX(BB:BB,MIN(IF(ISNUMBER(BB53:BB249),ROW(BB53:BB249),"")))</f>
        <v>10.110000000000001</v>
      </c>
      <c r="BD53" s="12">
        <f>IF('Données projet'!$A$88&gt;35,BD52+BC53-BL52,IF(A53&lt;'Données projet'!$A$88,$BA$205^A53,IF(A53='Données projet'!$A$88,'Données projet'!$B$88,BD52+BC53-BL52)))</f>
        <v>208.33000000000021</v>
      </c>
      <c r="BE53" s="13">
        <f>BD53*VLOOKUP('Données projet'!$B$11,Paramètres!$A$1:$I$89,3,0)*VLOOKUP('Données projet'!$B$11,Paramètres!$A$1:$I$89,5,0)</f>
        <v>188.4969840000002</v>
      </c>
      <c r="BF53" s="13">
        <f t="shared" si="37"/>
        <v>47.207503913482938</v>
      </c>
      <c r="BG53" s="20">
        <f t="shared" si="7"/>
        <v>410.51864978264985</v>
      </c>
      <c r="BH53" s="59">
        <f t="shared" si="8"/>
        <v>665.63963131211995</v>
      </c>
      <c r="BI53" s="59">
        <f ca="1">AVERAGE(OFFSET($BH$3,0,0,'Données projet'!$E$11+1,1))-AVERAGE(OFFSET($H$3,0,0,'Données projet'!$E$11+1,1))</f>
        <v>681.47578137804555</v>
      </c>
      <c r="BJ53" s="59">
        <f t="shared" si="38"/>
        <v>300.88511065995885</v>
      </c>
      <c r="BK53" s="15">
        <f>IF(ISNA(VLOOKUP(A53,'Données projet'!$A$87:$I$107,3,0)),0,VLOOKUP(A53,'Données projet'!$A$87:$I$107,3,0))</f>
        <v>2</v>
      </c>
      <c r="BL53" s="15">
        <f>IF(ISNA(VLOOKUP(A53,'Données projet'!$A$87:$I$107,4,0)),0,VLOOKUP(A53,'Données projet'!$A$87:$I$107,4,0))</f>
        <v>37.54000000000002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0.34400000000000003</v>
      </c>
      <c r="BO53" s="16">
        <f>IF(ISNA(VLOOKUP(A53,'Données projet'!$A$87:$I$107,7,0)),0%,VLOOKUP(A53,'Données projet'!$A$87:$I$107,7,0))</f>
        <v>0.2</v>
      </c>
      <c r="BP53" s="21">
        <f>EXP(-LN(2)/35)*BP52+(1-EXP(-LN(2)/35))/(LN(2)/35)*BL53*BM53*VLOOKUP('Données projet'!$B$11,Paramètres!$A$1:$I$89,3,0)*0.475*44/12</f>
        <v>0</v>
      </c>
      <c r="BQ53" s="21">
        <f>EXP(-LN(2)/25)*BQ52+(1-EXP(-LN(2)/25))/(LN(2)/25)*Calculateur!BL53*Calculateur!BN53*VLOOKUP('Données projet'!$B$11,Paramètres!$A$1:$I$89,3,0)*0.475*44/12</f>
        <v>25.085911282565853</v>
      </c>
      <c r="BR53" s="21">
        <f>EXP(-LN(2)/2)*BR52+(1-EXP(-LN(2)/2))/(LN(2)/2)*BL53*BO53*VLOOKUP('Données projet'!$B$11,Paramètres!$A$1:$I$89,3,0)*0.475*44/12</f>
        <v>6.8845823591112083</v>
      </c>
      <c r="BS53" s="22">
        <f t="shared" si="9"/>
        <v>31.970493641677059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205.12820512820511</v>
      </c>
      <c r="BW53" s="12">
        <f>VLOOKUP(A53,'Données projet'!$A$113:$I$133,9,0)</f>
        <v>6.2820512820512757</v>
      </c>
      <c r="BX53" s="12">
        <f t="array" ref="BX53">INDEX(BW:BW,MIN(IF(ISNUMBER(BW53:BW249),ROW(BW53:BW249),"")))</f>
        <v>6.2820512820512757</v>
      </c>
      <c r="BY53" s="12">
        <f>IF('Données projet'!$A$114&gt;35,BY52+BX53-CG52,IF(A53&lt;'Données projet'!$A$114,$BV$205^A53,IF(A53='Données projet'!$A$114,'Données projet'!$B$114,BY52+BX53-CG52)))</f>
        <v>205.12820512820511</v>
      </c>
      <c r="BZ53" s="13">
        <f>BY53*VLOOKUP('Données projet'!$B$12,Paramètres!$A$1:$I$89,3,0)*VLOOKUP('Données projet'!$B$12,Paramètres!$A$1:$I$89,5,0)</f>
        <v>137.6</v>
      </c>
      <c r="CA53" s="13">
        <f t="shared" si="39"/>
        <v>35.746647115800606</v>
      </c>
      <c r="CB53" s="20">
        <f t="shared" si="10"/>
        <v>301.91207706001939</v>
      </c>
      <c r="CC53" s="59">
        <f t="shared" si="11"/>
        <v>557.03305858948943</v>
      </c>
      <c r="CD53" s="59">
        <f ca="1">AVERAGE(OFFSET($CC$3,0,0,'Données projet'!$E$12+1,1))-AVERAGE(OFFSET($H$3,0,0,'Données projet'!$E$12+1,1))</f>
        <v>335.73816489539837</v>
      </c>
      <c r="CE53" s="59">
        <f t="shared" si="40"/>
        <v>254.09787950201044</v>
      </c>
      <c r="CF53" s="15">
        <f>IF(ISNA(VLOOKUP(A53,'Données projet'!$A$113:$I$133,3,0)),0,VLOOKUP(A53,'Données projet'!$A$113:$I$133,3,0))</f>
        <v>8</v>
      </c>
      <c r="CG53" s="15">
        <f>IF(ISNA(VLOOKUP(A53,'Données projet'!$A$113:$I$133,4,0)),0,VLOOKUP(A53,'Données projet'!$A$113:$I$133,4,0))</f>
        <v>16.025641025641026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0.13250000000000001</v>
      </c>
      <c r="CJ53" s="16">
        <f>IF(ISNA(VLOOKUP(A53,'Données projet'!$A$113:$I$133,7,0)),0%,VLOOKUP(A53,'Données projet'!$A$113:$I$133,7,0))</f>
        <v>0.25</v>
      </c>
      <c r="CK53" s="21">
        <f>EXP(-LN(2)/35)*CK52+(1-EXP(-LN(2)/35))/(LN(2)/35)*CG53*CH53*VLOOKUP('Données projet'!$B$12,Paramètres!$A$1:$I$89,3,0)*0.475*44/12</f>
        <v>0</v>
      </c>
      <c r="CL53" s="21">
        <f>EXP(-LN(2)/25)*CL52+(1-EXP(-LN(2)/25))/(LN(2)/25)*Calculateur!CG53*Calculateur!CI53*VLOOKUP('Données projet'!$B$12,Paramètres!$A$1:$I$89,3,0)*0.475*44/12</f>
        <v>8.0918285988148995</v>
      </c>
      <c r="CM53" s="21">
        <f>EXP(-LN(2)/2)*CM52+(1-EXP(-LN(2)/2))/(LN(2)/2)*CG53*CJ53*VLOOKUP('Données projet'!$B$12,Paramètres!$A$1:$I$89,3,0)*0.475*44/12</f>
        <v>3.1057161027663831</v>
      </c>
      <c r="CN53" s="22">
        <f t="shared" si="12"/>
        <v>11.197544701581283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14.689999999999998</v>
      </c>
      <c r="CT53" s="12">
        <f>IF('Données projet'!$A$140&gt;35,CT52+CS53-DB52,IF(A53&lt;'Données projet'!$A$140,$CQ$205^A53,IF(A53='Données projet'!$A$140,'Données projet'!$B$140,CT52+CS53-DB52)))</f>
        <v>378.63000000000005</v>
      </c>
      <c r="CU53" s="17">
        <f>CT53*VLOOKUP('Données projet'!$B$13,Paramètres!$A$1:$I$89,3,0)*VLOOKUP('Données projet'!$B$13,Paramètres!$A$1:$I$89,5,0)</f>
        <v>226.42074000000005</v>
      </c>
      <c r="CV53" s="13">
        <f t="shared" si="41"/>
        <v>55.508056797434847</v>
      </c>
      <c r="CW53" s="20">
        <f t="shared" si="13"/>
        <v>491.0259877555323</v>
      </c>
      <c r="CX53" s="59">
        <f t="shared" si="14"/>
        <v>746.14696928500234</v>
      </c>
      <c r="CY53" s="59">
        <f ca="1">AVERAGE(OFFSET($CX$3,0,0,'Données projet'!$E$13+1,1))-AVERAGE(OFFSET($H$3,0,0,'Données projet'!$E$13+1,1))</f>
        <v>318.50474972254085</v>
      </c>
      <c r="CZ53" s="59">
        <f t="shared" si="42"/>
        <v>326.45858332753562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38.119451993278687</v>
      </c>
      <c r="DG53" s="21">
        <f>EXP(-LN(2)/25)*DG52+(1-EXP(-LN(2)/25))/(LN(2)/25)*Calculateur!DB53*Calculateur!DD53*VLOOKUP('Données projet'!$B$13,Paramètres!$A$1:$I$89,3,0)*0.475*44/12</f>
        <v>17.150686558895465</v>
      </c>
      <c r="DH53" s="21">
        <f>EXP(-LN(2)/2)*DH52+(1-EXP(-LN(2)/2))/(LN(2)/2)*DB53*DE53*VLOOKUP('Données projet'!$B$13,Paramètres!$A$1:$I$89,3,0)*0.475*44/12</f>
        <v>1.4118876080322087</v>
      </c>
      <c r="DI53" s="22">
        <f t="shared" si="15"/>
        <v>56.682026160206362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3">
        <f>'Scénario référence'!$B$16*5+'Scénario référence'!$B$17*0+'Scénario référence'!$B$18*5</f>
        <v>5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67">
        <f t="shared" si="1"/>
        <v>183.33333333333334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5.6843418860808015E-14</v>
      </c>
      <c r="O54" s="13">
        <f>N54*VLOOKUP('Données projet'!$B$9,Paramètres!$A$1:$I$89,3,0)*VLOOKUP('Données projet'!$B$9,Paramètres!$A$1:$I$89,5,0)</f>
        <v>5.1431925385259088E-14</v>
      </c>
      <c r="P54" s="13">
        <f t="shared" si="33"/>
        <v>8.3482866290946129E-13</v>
      </c>
      <c r="Q54" s="20">
        <f t="shared" si="53"/>
        <v>1.5435705246133045E-12</v>
      </c>
      <c r="R54" s="59">
        <f t="shared" si="0"/>
        <v>255.78388040324836</v>
      </c>
      <c r="S54" s="59">
        <f ca="1">AVERAGE(OFFSET($R$3,0,0,'Données projet'!$E$9+1,1))-AVERAGE(OFFSET($H$3,0,0,'Données projet'!$E$9+1,1))</f>
        <v>214.60547318405733</v>
      </c>
      <c r="T54" s="59">
        <f t="shared" si="34"/>
        <v>306.35874106546646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13.860448670855138</v>
      </c>
      <c r="AA54" s="21">
        <f>EXP(-LN(2)/25)*AA53+(1-EXP(-LN(2)/25))/(LN(2)/25)*Calculateur!V54*Calculateur!X54*VLOOKUP('Données projet'!$B$9,Paramètres!$A$1:$I$89,3,0)*0.475*44/12</f>
        <v>11.191435092402321</v>
      </c>
      <c r="AB54" s="21">
        <f>EXP(-LN(2)/2)*AB53+(1-EXP(-LN(2)/2))/(LN(2)/2)*V54*Y54*VLOOKUP('Données projet'!$B$9,Paramètres!$A$1:$I$89,3,0)*0.475*44/12</f>
        <v>1.7238236729840448</v>
      </c>
      <c r="AC54" s="22">
        <f t="shared" si="3"/>
        <v>26.775707436241504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10.36375</v>
      </c>
      <c r="AI54" s="13">
        <f>IF('Données projet'!$A$62&gt;35,AI53+AH54-AQ53,IF(A54&lt;'Données projet'!$A$62,$AF$205^A54,IF(A54='Données projet'!$A$62,'Données projet'!$B$62,AI53+AH54-AQ53)))</f>
        <v>181.1537500000002</v>
      </c>
      <c r="AJ54" s="13">
        <f>AI54*VLOOKUP('Données projet'!$B$10,Paramètres!$A$1:$I$89,3,0)*VLOOKUP('Données projet'!$B$10,Paramètres!$A$1:$I$89,5,0)</f>
        <v>183.68990250000022</v>
      </c>
      <c r="AK54" s="13">
        <f t="shared" si="35"/>
        <v>46.142149449949819</v>
      </c>
      <c r="AL54" s="20">
        <f t="shared" si="4"/>
        <v>400.29082381282961</v>
      </c>
      <c r="AM54" s="59">
        <f t="shared" si="5"/>
        <v>656.0747042160765</v>
      </c>
      <c r="AN54" s="59">
        <f ca="1">AVERAGE(OFFSET($AM$3,0,0,'Données projet'!$E$10+1,1))-AVERAGE(OFFSET($H$3,0,0,'Données projet'!$E$10+1,1))</f>
        <v>752.45542076695506</v>
      </c>
      <c r="AO54" s="59">
        <f t="shared" si="36"/>
        <v>329.70629768420724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27.344755547528752</v>
      </c>
      <c r="AW54" s="21">
        <f>EXP(-LN(2)/2)*AW53+(1-EXP(-LN(2)/2))/(LN(2)/2)*AQ54*AT54*VLOOKUP('Données projet'!$B$10,Paramètres!$A$1:$I$89,3,0)*0.475*44/12</f>
        <v>5.4556683907709127</v>
      </c>
      <c r="AX54" s="21">
        <f t="shared" si="6"/>
        <v>32.800423938299666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10.36375</v>
      </c>
      <c r="BD54" s="12">
        <f>IF('Données projet'!$A$88&gt;35,BD53+BC54-BL53,IF(A54&lt;'Données projet'!$A$88,$BA$205^A54,IF(A54='Données projet'!$A$88,'Données projet'!$B$88,BD53+BC54-BL53)))</f>
        <v>181.1537500000002</v>
      </c>
      <c r="BE54" s="13">
        <f>BD54*VLOOKUP('Données projet'!$B$11,Paramètres!$A$1:$I$89,3,0)*VLOOKUP('Données projet'!$B$11,Paramètres!$A$1:$I$89,5,0)</f>
        <v>163.90791300000018</v>
      </c>
      <c r="BF54" s="13">
        <f t="shared" si="37"/>
        <v>41.72271436472046</v>
      </c>
      <c r="BG54" s="20">
        <f t="shared" si="7"/>
        <v>358.14000932688845</v>
      </c>
      <c r="BH54" s="59">
        <f t="shared" si="8"/>
        <v>613.92388973013522</v>
      </c>
      <c r="BI54" s="59">
        <f ca="1">AVERAGE(OFFSET($BH$3,0,0,'Données projet'!$E$11+1,1))-AVERAGE(OFFSET($H$3,0,0,'Données projet'!$E$11+1,1))</f>
        <v>681.47578137804555</v>
      </c>
      <c r="BJ54" s="59">
        <f t="shared" si="38"/>
        <v>300.88511065995885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0</v>
      </c>
      <c r="BQ54" s="21">
        <f>EXP(-LN(2)/25)*BQ53+(1-EXP(-LN(2)/25))/(LN(2)/25)*Calculateur!BL54*Calculateur!BN54*VLOOKUP('Données projet'!$B$11,Paramètres!$A$1:$I$89,3,0)*0.475*44/12</f>
        <v>24.399935719333349</v>
      </c>
      <c r="BR54" s="21">
        <f>EXP(-LN(2)/2)*BR53+(1-EXP(-LN(2)/2))/(LN(2)/2)*BL54*BO54*VLOOKUP('Données projet'!$B$11,Paramètres!$A$1:$I$89,3,0)*0.475*44/12</f>
        <v>4.8681348717648145</v>
      </c>
      <c r="BS54" s="22">
        <f t="shared" si="9"/>
        <v>29.268070591098166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5.7692307692307683</v>
      </c>
      <c r="BY54" s="12">
        <f>IF('Données projet'!$A$114&gt;35,BY53+BX54-CG53,IF(A54&lt;'Données projet'!$A$114,$BV$205^A54,IF(A54='Données projet'!$A$114,'Données projet'!$B$114,BY53+BX54-CG53)))</f>
        <v>194.87179487179486</v>
      </c>
      <c r="BZ54" s="13">
        <f>BY54*VLOOKUP('Données projet'!$B$12,Paramètres!$A$1:$I$89,3,0)*VLOOKUP('Données projet'!$B$12,Paramètres!$A$1:$I$89,5,0)</f>
        <v>130.72</v>
      </c>
      <c r="CA54" s="13">
        <f t="shared" si="39"/>
        <v>34.162676675108806</v>
      </c>
      <c r="CB54" s="20">
        <f t="shared" si="10"/>
        <v>287.17066187581446</v>
      </c>
      <c r="CC54" s="59">
        <f t="shared" si="11"/>
        <v>542.95454227906134</v>
      </c>
      <c r="CD54" s="59">
        <f ca="1">AVERAGE(OFFSET($CC$3,0,0,'Données projet'!$E$12+1,1))-AVERAGE(OFFSET($H$3,0,0,'Données projet'!$E$12+1,1))</f>
        <v>335.73816489539837</v>
      </c>
      <c r="CE54" s="59">
        <f t="shared" si="40"/>
        <v>254.09787950201044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0</v>
      </c>
      <c r="CL54" s="21">
        <f>EXP(-LN(2)/25)*CL53+(1-EXP(-LN(2)/25))/(LN(2)/25)*Calculateur!CG54*Calculateur!CI54*VLOOKUP('Données projet'!$B$12,Paramètres!$A$1:$I$89,3,0)*0.475*44/12</f>
        <v>7.8705571202495346</v>
      </c>
      <c r="CM54" s="21">
        <f>EXP(-LN(2)/2)*CM53+(1-EXP(-LN(2)/2))/(LN(2)/2)*CG54*CJ54*VLOOKUP('Données projet'!$B$12,Paramètres!$A$1:$I$89,3,0)*0.475*44/12</f>
        <v>2.196072916706366</v>
      </c>
      <c r="CN54" s="22">
        <f t="shared" si="12"/>
        <v>10.0666300369559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14.689999999999998</v>
      </c>
      <c r="CT54" s="12">
        <f>IF('Données projet'!$A$140&gt;35,CT53+CS54-DB53,IF(A54&lt;'Données projet'!$A$140,$CQ$205^A54,IF(A54='Données projet'!$A$140,'Données projet'!$B$140,CT53+CS54-DB53)))</f>
        <v>393.32000000000005</v>
      </c>
      <c r="CU54" s="17">
        <f>CT54*VLOOKUP('Données projet'!$B$13,Paramètres!$A$1:$I$89,3,0)*VLOOKUP('Données projet'!$B$13,Paramètres!$A$1:$I$89,5,0)</f>
        <v>235.20536000000004</v>
      </c>
      <c r="CV54" s="13">
        <f t="shared" si="41"/>
        <v>57.406731887132807</v>
      </c>
      <c r="CW54" s="20">
        <f t="shared" si="13"/>
        <v>509.63272670342303</v>
      </c>
      <c r="CX54" s="59">
        <f t="shared" si="14"/>
        <v>765.41660710666986</v>
      </c>
      <c r="CY54" s="59">
        <f ca="1">AVERAGE(OFFSET($CX$3,0,0,'Données projet'!$E$13+1,1))-AVERAGE(OFFSET($H$3,0,0,'Données projet'!$E$13+1,1))</f>
        <v>318.50474972254085</v>
      </c>
      <c r="CZ54" s="59">
        <f t="shared" si="42"/>
        <v>326.45858332753562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37.371952790260409</v>
      </c>
      <c r="DG54" s="21">
        <f>EXP(-LN(2)/25)*DG53+(1-EXP(-LN(2)/25))/(LN(2)/25)*Calculateur!DB54*Calculateur!DD54*VLOOKUP('Données projet'!$B$13,Paramètres!$A$1:$I$89,3,0)*0.475*44/12</f>
        <v>16.681700133027061</v>
      </c>
      <c r="DH54" s="21">
        <f>EXP(-LN(2)/2)*DH53+(1-EXP(-LN(2)/2))/(LN(2)/2)*DB54*DE54*VLOOKUP('Données projet'!$B$13,Paramètres!$A$1:$I$89,3,0)*0.475*44/12</f>
        <v>0.99835530191282906</v>
      </c>
      <c r="DI54" s="22">
        <f t="shared" si="15"/>
        <v>55.052008225200304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3">
        <f>'Scénario référence'!$B$16*5+'Scénario référence'!$B$17*0+'Scénario référence'!$B$18*5</f>
        <v>5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67">
        <f t="shared" si="1"/>
        <v>183.33333333333334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5.6843418860808015E-14</v>
      </c>
      <c r="O55" s="13">
        <f>N55*VLOOKUP('Données projet'!$B$9,Paramètres!$A$1:$I$89,3,0)*VLOOKUP('Données projet'!$B$9,Paramètres!$A$1:$I$89,5,0)</f>
        <v>5.1431925385259088E-14</v>
      </c>
      <c r="P55" s="13">
        <f t="shared" si="33"/>
        <v>8.3482866290946129E-13</v>
      </c>
      <c r="Q55" s="20">
        <f t="shared" si="53"/>
        <v>1.5435705246133045E-12</v>
      </c>
      <c r="R55" s="59">
        <f t="shared" si="0"/>
        <v>256.43527946358489</v>
      </c>
      <c r="S55" s="59">
        <f ca="1">AVERAGE(OFFSET($R$3,0,0,'Données projet'!$E$9+1,1))-AVERAGE(OFFSET($H$3,0,0,'Données projet'!$E$9+1,1))</f>
        <v>214.60547318405733</v>
      </c>
      <c r="T55" s="59">
        <f t="shared" si="34"/>
        <v>306.35874106546646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13.588653726458592</v>
      </c>
      <c r="AA55" s="21">
        <f>EXP(-LN(2)/25)*AA54+(1-EXP(-LN(2)/25))/(LN(2)/25)*Calculateur!V55*Calculateur!X55*VLOOKUP('Données projet'!$B$9,Paramètres!$A$1:$I$89,3,0)*0.475*44/12</f>
        <v>10.885404711268587</v>
      </c>
      <c r="AB55" s="21">
        <f>EXP(-LN(2)/2)*AB54+(1-EXP(-LN(2)/2))/(LN(2)/2)*V55*Y55*VLOOKUP('Données projet'!$B$9,Paramètres!$A$1:$I$89,3,0)*0.475*44/12</f>
        <v>1.2189274087369197</v>
      </c>
      <c r="AC55" s="22">
        <f t="shared" si="3"/>
        <v>25.692985846464101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10.36375</v>
      </c>
      <c r="AI55" s="13">
        <f>IF('Données projet'!$A$62&gt;35,AI54+AH55-AQ54,IF(A55&lt;'Données projet'!$A$62,$AF$205^A55,IF(A55='Données projet'!$A$62,'Données projet'!$B$62,AI54+AH55-AQ54)))</f>
        <v>191.51750000000021</v>
      </c>
      <c r="AJ55" s="13">
        <f>AI55*VLOOKUP('Données projet'!$B$10,Paramètres!$A$1:$I$89,3,0)*VLOOKUP('Données projet'!$B$10,Paramètres!$A$1:$I$89,5,0)</f>
        <v>194.19874500000023</v>
      </c>
      <c r="AK55" s="13">
        <f t="shared" si="35"/>
        <v>48.467051557519213</v>
      </c>
      <c r="AL55" s="20">
        <f t="shared" si="4"/>
        <v>422.64292900434634</v>
      </c>
      <c r="AM55" s="59">
        <f t="shared" si="5"/>
        <v>679.0782084679297</v>
      </c>
      <c r="AN55" s="59">
        <f ca="1">AVERAGE(OFFSET($AM$3,0,0,'Données projet'!$E$10+1,1))-AVERAGE(OFFSET($H$3,0,0,'Données projet'!$E$10+1,1))</f>
        <v>752.45542076695506</v>
      </c>
      <c r="AO55" s="59">
        <f t="shared" si="36"/>
        <v>329.70629768420724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0</v>
      </c>
      <c r="AV55" s="21">
        <f>EXP(-LN(2)/25)*AV54+(1-EXP(-LN(2)/25))/(LN(2)/25)*Calculateur!AQ55*Calculateur!AS55*VLOOKUP('Données projet'!$B$10,Paramètres!$A$1:$I$89,3,0)*0.475*44/12</f>
        <v>26.59701176908338</v>
      </c>
      <c r="AW55" s="21">
        <f>EXP(-LN(2)/2)*AW54+(1-EXP(-LN(2)/2))/(LN(2)/2)*AQ55*AT55*VLOOKUP('Données projet'!$B$10,Paramètres!$A$1:$I$89,3,0)*0.475*44/12</f>
        <v>3.8577401150192121</v>
      </c>
      <c r="AX55" s="21">
        <f t="shared" si="6"/>
        <v>30.454751884102592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10.36375</v>
      </c>
      <c r="BD55" s="12">
        <f>IF('Données projet'!$A$88&gt;35,BD54+BC55-BL54,IF(A55&lt;'Données projet'!$A$88,$BA$205^A55,IF(A55='Données projet'!$A$88,'Données projet'!$B$88,BD54+BC55-BL54)))</f>
        <v>191.51750000000021</v>
      </c>
      <c r="BE55" s="13">
        <f>BD55*VLOOKUP('Données projet'!$B$11,Paramètres!$A$1:$I$89,3,0)*VLOOKUP('Données projet'!$B$11,Paramètres!$A$1:$I$89,5,0)</f>
        <v>173.28503400000019</v>
      </c>
      <c r="BF55" s="13">
        <f t="shared" si="37"/>
        <v>43.82494037101592</v>
      </c>
      <c r="BG55" s="20">
        <f t="shared" si="7"/>
        <v>378.133205362853</v>
      </c>
      <c r="BH55" s="59">
        <f t="shared" si="8"/>
        <v>634.56848482643636</v>
      </c>
      <c r="BI55" s="59">
        <f ca="1">AVERAGE(OFFSET($BH$3,0,0,'Données projet'!$E$11+1,1))-AVERAGE(OFFSET($H$3,0,0,'Données projet'!$E$11+1,1))</f>
        <v>681.47578137804555</v>
      </c>
      <c r="BJ55" s="59">
        <f t="shared" si="38"/>
        <v>300.88511065995885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0</v>
      </c>
      <c r="BQ55" s="21">
        <f>EXP(-LN(2)/25)*BQ54+(1-EXP(-LN(2)/25))/(LN(2)/25)*Calculateur!BL55*Calculateur!BN55*VLOOKUP('Données projet'!$B$11,Paramètres!$A$1:$I$89,3,0)*0.475*44/12</f>
        <v>23.732718193951328</v>
      </c>
      <c r="BR55" s="21">
        <f>EXP(-LN(2)/2)*BR54+(1-EXP(-LN(2)/2))/(LN(2)/2)*BL55*BO55*VLOOKUP('Données projet'!$B$11,Paramètres!$A$1:$I$89,3,0)*0.475*44/12</f>
        <v>3.4422911795556046</v>
      </c>
      <c r="BS55" s="22">
        <f t="shared" si="9"/>
        <v>27.175009373506931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5.7692307692307683</v>
      </c>
      <c r="BY55" s="12">
        <f>IF('Données projet'!$A$114&gt;35,BY54+BX55-CG54,IF(A55&lt;'Données projet'!$A$114,$BV$205^A55,IF(A55='Données projet'!$A$114,'Données projet'!$B$114,BY54+BX55-CG54)))</f>
        <v>200.64102564102564</v>
      </c>
      <c r="BZ55" s="13">
        <f>BY55*VLOOKUP('Données projet'!$B$12,Paramètres!$A$1:$I$89,3,0)*VLOOKUP('Données projet'!$B$12,Paramètres!$A$1:$I$89,5,0)</f>
        <v>134.59</v>
      </c>
      <c r="CA55" s="13">
        <f t="shared" si="39"/>
        <v>35.054822215165878</v>
      </c>
      <c r="CB55" s="20">
        <f t="shared" si="10"/>
        <v>295.46473202474721</v>
      </c>
      <c r="CC55" s="59">
        <f t="shared" si="11"/>
        <v>551.90001148833062</v>
      </c>
      <c r="CD55" s="59">
        <f ca="1">AVERAGE(OFFSET($CC$3,0,0,'Données projet'!$E$12+1,1))-AVERAGE(OFFSET($H$3,0,0,'Données projet'!$E$12+1,1))</f>
        <v>335.73816489539837</v>
      </c>
      <c r="CE55" s="59">
        <f t="shared" si="40"/>
        <v>254.09787950201044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0</v>
      </c>
      <c r="CL55" s="21">
        <f>EXP(-LN(2)/25)*CL54+(1-EXP(-LN(2)/25))/(LN(2)/25)*Calculateur!CG55*Calculateur!CI55*VLOOKUP('Données projet'!$B$12,Paramètres!$A$1:$I$89,3,0)*0.475*44/12</f>
        <v>7.6553363219017001</v>
      </c>
      <c r="CM55" s="21">
        <f>EXP(-LN(2)/2)*CM54+(1-EXP(-LN(2)/2))/(LN(2)/2)*CG55*CJ55*VLOOKUP('Données projet'!$B$12,Paramètres!$A$1:$I$89,3,0)*0.475*44/12</f>
        <v>1.5528580513831916</v>
      </c>
      <c r="CN55" s="22">
        <f t="shared" si="12"/>
        <v>9.2081943732848917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>
        <f>VLOOKUP(A55,'Données projet'!$A$139:$I$159,2,0)</f>
        <v>408.01</v>
      </c>
      <c r="CR55" s="12">
        <f>VLOOKUP(A55,'Données projet'!$A$139:$I$159,9,0)</f>
        <v>14.689999999999998</v>
      </c>
      <c r="CS55" s="12">
        <f t="array" ref="CS55">INDEX(CR:CR,MIN(IF(ISNUMBER(CR55:CR251),ROW(CR55:CR251),"")))</f>
        <v>14.689999999999998</v>
      </c>
      <c r="CT55" s="12">
        <f>IF('Données projet'!$A$140&gt;35,CT54+CS55-DB54,IF(A55&lt;'Données projet'!$A$140,$CQ$205^A55,IF(A55='Données projet'!$A$140,'Données projet'!$B$140,CT54+CS55-DB54)))</f>
        <v>408.01000000000005</v>
      </c>
      <c r="CU55" s="17">
        <f>CT55*VLOOKUP('Données projet'!$B$13,Paramètres!$A$1:$I$89,3,0)*VLOOKUP('Données projet'!$B$13,Paramètres!$A$1:$I$89,5,0)</f>
        <v>243.98998000000003</v>
      </c>
      <c r="CV55" s="13">
        <f t="shared" si="41"/>
        <v>59.297168586253541</v>
      </c>
      <c r="CW55" s="20">
        <f t="shared" si="13"/>
        <v>528.22511712105825</v>
      </c>
      <c r="CX55" s="59">
        <f t="shared" si="14"/>
        <v>784.6603965846416</v>
      </c>
      <c r="CY55" s="59">
        <f ca="1">AVERAGE(OFFSET($CX$3,0,0,'Données projet'!$E$13+1,1))-AVERAGE(OFFSET($H$3,0,0,'Données projet'!$E$13+1,1))</f>
        <v>318.50474972254085</v>
      </c>
      <c r="CZ55" s="59">
        <f t="shared" si="42"/>
        <v>326.45858332753562</v>
      </c>
      <c r="DA55" s="15">
        <f>IF(ISNA(VLOOKUP(A55,'Données projet'!$A$139:$I$159,3,0)),0,VLOOKUP(A55,'Données projet'!$A$139:$I$159,3,0))</f>
        <v>6</v>
      </c>
      <c r="DB55" s="15">
        <f>IF(ISNA(VLOOKUP(A55,'Données projet'!$A$139:$I$159,4,0)),0,VLOOKUP(A55,'Données projet'!$A$139:$I$159,4,0))</f>
        <v>75.70999999999998</v>
      </c>
      <c r="DC55" s="16">
        <f>IF(ISNA(VLOOKUP(A55,'Données projet'!$A$139:$I$159,5,0)),0%,VLOOKUP(A55,'Données projet'!$A$139:$I$159,5,0)*VLOOKUP('Données projet'!$B$13,Paramètres!$A$1:$I$89,7,0))</f>
        <v>0.27</v>
      </c>
      <c r="DD55" s="16">
        <f>IF(ISNA(VLOOKUP(A55,'Données projet'!$A$139:$I$159,6,0)),0%,VLOOKUP(A55,'Données projet'!$A$139:$I$159,6,0)*VLOOKUP('Données projet'!$B$13,Paramètres!$A$1:$I$89,7,0))</f>
        <v>9.0000000000000011E-2</v>
      </c>
      <c r="DE55" s="16">
        <f>IF(ISNA(VLOOKUP(A55,'Données projet'!$A$139:$I$159,7,0)),0%,VLOOKUP(A55,'Données projet'!$A$139:$I$159,7,0))</f>
        <v>0.2</v>
      </c>
      <c r="DF55" s="21">
        <f>EXP(-LN(2)/35)*DF54+(1-EXP(-LN(2)/35))/(LN(2)/35)*DB55*DC55*VLOOKUP('Données projet'!$B$13,Paramètres!$A$1:$I$89,3,0)*0.475*44/12</f>
        <v>52.855216702681361</v>
      </c>
      <c r="DG55" s="21">
        <f>EXP(-LN(2)/25)*DG54+(1-EXP(-LN(2)/25))/(LN(2)/25)*Calculateur!DB55*Calculateur!DD55*VLOOKUP('Données projet'!$B$13,Paramètres!$A$1:$I$89,3,0)*0.475*44/12</f>
        <v>21.609623541420671</v>
      </c>
      <c r="DH55" s="21">
        <f>EXP(-LN(2)/2)*DH54+(1-EXP(-LN(2)/2))/(LN(2)/2)*DB55*DE55*VLOOKUP('Données projet'!$B$13,Paramètres!$A$1:$I$89,3,0)*0.475*44/12</f>
        <v>10.958212150605259</v>
      </c>
      <c r="DI55" s="22">
        <f t="shared" si="15"/>
        <v>85.423052394707298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3">
        <f>'Scénario référence'!$B$16*5+'Scénario référence'!$B$17*0+'Scénario référence'!$B$18*5</f>
        <v>5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67">
        <f t="shared" si="1"/>
        <v>183.33333333333334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5.6843418860808015E-14</v>
      </c>
      <c r="O56" s="13">
        <f>N56*VLOOKUP('Données projet'!$B$9,Paramètres!$A$1:$I$89,3,0)*VLOOKUP('Données projet'!$B$9,Paramètres!$A$1:$I$89,5,0)</f>
        <v>5.1431925385259088E-14</v>
      </c>
      <c r="P56" s="13">
        <f t="shared" si="33"/>
        <v>8.3482866290946129E-13</v>
      </c>
      <c r="Q56" s="20">
        <f t="shared" si="53"/>
        <v>1.5435705246133045E-12</v>
      </c>
      <c r="R56" s="59">
        <f t="shared" si="0"/>
        <v>257.07537820653477</v>
      </c>
      <c r="S56" s="59">
        <f ca="1">AVERAGE(OFFSET($R$3,0,0,'Données projet'!$E$9+1,1))-AVERAGE(OFFSET($H$3,0,0,'Données projet'!$E$9+1,1))</f>
        <v>214.60547318405733</v>
      </c>
      <c r="T56" s="59">
        <f t="shared" si="34"/>
        <v>306.35874106546646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13.322188515143115</v>
      </c>
      <c r="AA56" s="21">
        <f>EXP(-LN(2)/25)*AA55+(1-EXP(-LN(2)/25))/(LN(2)/25)*Calculateur!V56*Calculateur!X56*VLOOKUP('Données projet'!$B$9,Paramètres!$A$1:$I$89,3,0)*0.475*44/12</f>
        <v>10.587742747000393</v>
      </c>
      <c r="AB56" s="21">
        <f>EXP(-LN(2)/2)*AB55+(1-EXP(-LN(2)/2))/(LN(2)/2)*V56*Y56*VLOOKUP('Données projet'!$B$9,Paramètres!$A$1:$I$89,3,0)*0.475*44/12</f>
        <v>0.86191183649202252</v>
      </c>
      <c r="AC56" s="22">
        <f t="shared" si="3"/>
        <v>24.771843098635532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10.36375</v>
      </c>
      <c r="AI56" s="13">
        <f>IF('Données projet'!$A$62&gt;35,AI55+AH56-AQ55,IF(A56&lt;'Données projet'!$A$62,$AF$205^A56,IF(A56='Données projet'!$A$62,'Données projet'!$B$62,AI55+AH56-AQ55)))</f>
        <v>201.88125000000022</v>
      </c>
      <c r="AJ56" s="13">
        <f>AI56*VLOOKUP('Données projet'!$B$10,Paramètres!$A$1:$I$89,3,0)*VLOOKUP('Données projet'!$B$10,Paramètres!$A$1:$I$89,5,0)</f>
        <v>204.70758750000024</v>
      </c>
      <c r="AK56" s="13">
        <f t="shared" si="35"/>
        <v>50.777347948807439</v>
      </c>
      <c r="AL56" s="20">
        <f t="shared" si="4"/>
        <v>444.96959590667331</v>
      </c>
      <c r="AM56" s="59">
        <f t="shared" si="5"/>
        <v>702.04497411320654</v>
      </c>
      <c r="AN56" s="59">
        <f ca="1">AVERAGE(OFFSET($AM$3,0,0,'Données projet'!$E$10+1,1))-AVERAGE(OFFSET($H$3,0,0,'Données projet'!$E$10+1,1))</f>
        <v>752.45542076695506</v>
      </c>
      <c r="AO56" s="59">
        <f t="shared" si="36"/>
        <v>329.70629768420724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0</v>
      </c>
      <c r="AV56" s="21">
        <f>EXP(-LN(2)/25)*AV55+(1-EXP(-LN(2)/25))/(LN(2)/25)*Calculateur!AQ56*Calculateur!AS56*VLOOKUP('Données projet'!$B$10,Paramètres!$A$1:$I$89,3,0)*0.475*44/12</f>
        <v>25.869715083581735</v>
      </c>
      <c r="AW56" s="21">
        <f>EXP(-LN(2)/2)*AW55+(1-EXP(-LN(2)/2))/(LN(2)/2)*AQ56*AT56*VLOOKUP('Données projet'!$B$10,Paramètres!$A$1:$I$89,3,0)*0.475*44/12</f>
        <v>2.7278341953854568</v>
      </c>
      <c r="AX56" s="21">
        <f t="shared" si="6"/>
        <v>28.597549278967193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10.36375</v>
      </c>
      <c r="BD56" s="12">
        <f>IF('Données projet'!$A$88&gt;35,BD55+BC56-BL55,IF(A56&lt;'Données projet'!$A$88,$BA$205^A56,IF(A56='Données projet'!$A$88,'Données projet'!$B$88,BD55+BC56-BL55)))</f>
        <v>201.88125000000022</v>
      </c>
      <c r="BE56" s="13">
        <f>BD56*VLOOKUP('Données projet'!$B$11,Paramètres!$A$1:$I$89,3,0)*VLOOKUP('Données projet'!$B$11,Paramètres!$A$1:$I$89,5,0)</f>
        <v>182.66215500000018</v>
      </c>
      <c r="BF56" s="13">
        <f t="shared" si="37"/>
        <v>45.913959577546748</v>
      </c>
      <c r="BG56" s="20">
        <f t="shared" si="7"/>
        <v>398.10339955589421</v>
      </c>
      <c r="BH56" s="59">
        <f t="shared" si="8"/>
        <v>655.17877776242744</v>
      </c>
      <c r="BI56" s="59">
        <f ca="1">AVERAGE(OFFSET($BH$3,0,0,'Données projet'!$E$11+1,1))-AVERAGE(OFFSET($H$3,0,0,'Données projet'!$E$11+1,1))</f>
        <v>681.47578137804555</v>
      </c>
      <c r="BJ56" s="59">
        <f t="shared" si="38"/>
        <v>300.88511065995885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0</v>
      </c>
      <c r="BQ56" s="21">
        <f>EXP(-LN(2)/25)*BQ55+(1-EXP(-LN(2)/25))/(LN(2)/25)*Calculateur!BL56*Calculateur!BN56*VLOOKUP('Données projet'!$B$11,Paramètres!$A$1:$I$89,3,0)*0.475*44/12</f>
        <v>23.08374576688832</v>
      </c>
      <c r="BR56" s="21">
        <f>EXP(-LN(2)/2)*BR55+(1-EXP(-LN(2)/2))/(LN(2)/2)*BL56*BO56*VLOOKUP('Données projet'!$B$11,Paramètres!$A$1:$I$89,3,0)*0.475*44/12</f>
        <v>2.4340674358824077</v>
      </c>
      <c r="BS56" s="22">
        <f t="shared" si="9"/>
        <v>25.517813202770729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5.7692307692307683</v>
      </c>
      <c r="BY56" s="12">
        <f>IF('Données projet'!$A$114&gt;35,BY55+BX56-CG55,IF(A56&lt;'Données projet'!$A$114,$BV$205^A56,IF(A56='Données projet'!$A$114,'Données projet'!$B$114,BY55+BX56-CG55)))</f>
        <v>206.41025641025641</v>
      </c>
      <c r="BZ56" s="13">
        <f>BY56*VLOOKUP('Données projet'!$B$12,Paramètres!$A$1:$I$89,3,0)*VLOOKUP('Données projet'!$B$12,Paramètres!$A$1:$I$89,5,0)</f>
        <v>138.45999999999998</v>
      </c>
      <c r="CA56" s="13">
        <f t="shared" si="39"/>
        <v>35.943986332761526</v>
      </c>
      <c r="CB56" s="20">
        <f t="shared" si="10"/>
        <v>303.75360952955964</v>
      </c>
      <c r="CC56" s="59">
        <f t="shared" si="11"/>
        <v>560.82898773609281</v>
      </c>
      <c r="CD56" s="59">
        <f ca="1">AVERAGE(OFFSET($CC$3,0,0,'Données projet'!$E$12+1,1))-AVERAGE(OFFSET($H$3,0,0,'Données projet'!$E$12+1,1))</f>
        <v>335.73816489539837</v>
      </c>
      <c r="CE56" s="59">
        <f t="shared" si="40"/>
        <v>254.09787950201044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0</v>
      </c>
      <c r="CL56" s="21">
        <f>EXP(-LN(2)/25)*CL55+(1-EXP(-LN(2)/25))/(LN(2)/25)*Calculateur!CG56*Calculateur!CI56*VLOOKUP('Données projet'!$B$12,Paramètres!$A$1:$I$89,3,0)*0.475*44/12</f>
        <v>7.4460007476026577</v>
      </c>
      <c r="CM56" s="21">
        <f>EXP(-LN(2)/2)*CM55+(1-EXP(-LN(2)/2))/(LN(2)/2)*CG56*CJ56*VLOOKUP('Données projet'!$B$12,Paramètres!$A$1:$I$89,3,0)*0.475*44/12</f>
        <v>1.098036458353183</v>
      </c>
      <c r="CN56" s="22">
        <f t="shared" si="12"/>
        <v>8.5440372059558403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13.18</v>
      </c>
      <c r="CT56" s="12">
        <f>IF('Données projet'!$A$140&gt;35,CT55+CS56-DB55,IF(A56&lt;'Données projet'!$A$140,$CQ$205^A56,IF(A56='Données projet'!$A$140,'Données projet'!$B$140,CT55+CS56-DB55)))</f>
        <v>345.48000000000008</v>
      </c>
      <c r="CU56" s="17">
        <f>CT56*VLOOKUP('Données projet'!$B$13,Paramètres!$A$1:$I$89,3,0)*VLOOKUP('Données projet'!$B$13,Paramètres!$A$1:$I$89,5,0)</f>
        <v>206.59704000000005</v>
      </c>
      <c r="CV56" s="13">
        <f t="shared" si="41"/>
        <v>51.191247731076885</v>
      </c>
      <c r="CW56" s="20">
        <f t="shared" si="13"/>
        <v>448.98126779829232</v>
      </c>
      <c r="CX56" s="59">
        <f t="shared" si="14"/>
        <v>706.05664600482555</v>
      </c>
      <c r="CY56" s="59">
        <f ca="1">AVERAGE(OFFSET($CX$3,0,0,'Données projet'!$E$13+1,1))-AVERAGE(OFFSET($H$3,0,0,'Données projet'!$E$13+1,1))</f>
        <v>318.50474972254085</v>
      </c>
      <c r="CZ56" s="59">
        <f t="shared" si="42"/>
        <v>326.45858332753562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51.818758141640679</v>
      </c>
      <c r="DG56" s="21">
        <f>EXP(-LN(2)/25)*DG55+(1-EXP(-LN(2)/25))/(LN(2)/25)*Calculateur!DB56*Calculateur!DD56*VLOOKUP('Données projet'!$B$13,Paramètres!$A$1:$I$89,3,0)*0.475*44/12</f>
        <v>21.01870724927981</v>
      </c>
      <c r="DH56" s="21">
        <f>EXP(-LN(2)/2)*DH55+(1-EXP(-LN(2)/2))/(LN(2)/2)*DB56*DE56*VLOOKUP('Données projet'!$B$13,Paramètres!$A$1:$I$89,3,0)*0.475*44/12</f>
        <v>7.7486261213737997</v>
      </c>
      <c r="DI56" s="22">
        <f t="shared" si="15"/>
        <v>80.586091512294288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3">
        <f>'Scénario référence'!$B$16*5+'Scénario référence'!$B$17*0+'Scénario référence'!$B$18*5</f>
        <v>5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67">
        <f t="shared" si="1"/>
        <v>183.33333333333334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5.6843418860808015E-14</v>
      </c>
      <c r="O57" s="13">
        <f>N57*VLOOKUP('Données projet'!$B$9,Paramètres!$A$1:$I$89,3,0)*VLOOKUP('Données projet'!$B$9,Paramètres!$A$1:$I$89,5,0)</f>
        <v>5.1431925385259088E-14</v>
      </c>
      <c r="P57" s="13">
        <f t="shared" si="33"/>
        <v>8.3482866290946129E-13</v>
      </c>
      <c r="Q57" s="20">
        <f t="shared" si="53"/>
        <v>1.5435705246133045E-12</v>
      </c>
      <c r="R57" s="59">
        <f t="shared" si="0"/>
        <v>257.70437266734086</v>
      </c>
      <c r="S57" s="59">
        <f ca="1">AVERAGE(OFFSET($R$3,0,0,'Données projet'!$E$9+1,1))-AVERAGE(OFFSET($H$3,0,0,'Données projet'!$E$9+1,1))</f>
        <v>214.60547318405733</v>
      </c>
      <c r="T57" s="59">
        <f t="shared" si="34"/>
        <v>306.35874106546646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13.060948524093803</v>
      </c>
      <c r="AA57" s="21">
        <f>EXP(-LN(2)/25)*AA56+(1-EXP(-LN(2)/25))/(LN(2)/25)*Calculateur!V57*Calculateur!X57*VLOOKUP('Données projet'!$B$9,Paramètres!$A$1:$I$89,3,0)*0.475*44/12</f>
        <v>10.298220364798475</v>
      </c>
      <c r="AB57" s="21">
        <f>EXP(-LN(2)/2)*AB56+(1-EXP(-LN(2)/2))/(LN(2)/2)*V57*Y57*VLOOKUP('Données projet'!$B$9,Paramètres!$A$1:$I$89,3,0)*0.475*44/12</f>
        <v>0.60946370436845998</v>
      </c>
      <c r="AC57" s="22">
        <f t="shared" si="3"/>
        <v>23.968632593260736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10.36375</v>
      </c>
      <c r="AI57" s="13">
        <f>IF('Données projet'!$A$62&gt;35,AI56+AH57-AQ56,IF(A57&lt;'Données projet'!$A$62,$AF$205^A57,IF(A57='Données projet'!$A$62,'Données projet'!$B$62,AI56+AH57-AQ56)))</f>
        <v>212.24500000000023</v>
      </c>
      <c r="AJ57" s="13">
        <f>AI57*VLOOKUP('Données projet'!$B$10,Paramètres!$A$1:$I$89,3,0)*VLOOKUP('Données projet'!$B$10,Paramètres!$A$1:$I$89,5,0)</f>
        <v>215.21643000000026</v>
      </c>
      <c r="AK57" s="13">
        <f t="shared" si="35"/>
        <v>53.073873953396202</v>
      </c>
      <c r="AL57" s="20">
        <f t="shared" si="4"/>
        <v>467.27227938549885</v>
      </c>
      <c r="AM57" s="59">
        <f t="shared" si="5"/>
        <v>724.97665205283818</v>
      </c>
      <c r="AN57" s="59">
        <f ca="1">AVERAGE(OFFSET($AM$3,0,0,'Données projet'!$E$10+1,1))-AVERAGE(OFFSET($H$3,0,0,'Données projet'!$E$10+1,1))</f>
        <v>752.45542076695506</v>
      </c>
      <c r="AO57" s="59">
        <f t="shared" si="36"/>
        <v>329.70629768420724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0</v>
      </c>
      <c r="AV57" s="21">
        <f>EXP(-LN(2)/25)*AV56+(1-EXP(-LN(2)/25))/(LN(2)/25)*Calculateur!AQ57*Calculateur!AS57*VLOOKUP('Données projet'!$B$10,Paramètres!$A$1:$I$89,3,0)*0.475*44/12</f>
        <v>25.162306364192002</v>
      </c>
      <c r="AW57" s="21">
        <f>EXP(-LN(2)/2)*AW56+(1-EXP(-LN(2)/2))/(LN(2)/2)*AQ57*AT57*VLOOKUP('Données projet'!$B$10,Paramètres!$A$1:$I$89,3,0)*0.475*44/12</f>
        <v>1.9288700575096063</v>
      </c>
      <c r="AX57" s="21">
        <f t="shared" si="6"/>
        <v>27.091176421701608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10.36375</v>
      </c>
      <c r="BD57" s="12">
        <f>IF('Données projet'!$A$88&gt;35,BD56+BC57-BL56,IF(A57&lt;'Données projet'!$A$88,$BA$205^A57,IF(A57='Données projet'!$A$88,'Données projet'!$B$88,BD56+BC57-BL56)))</f>
        <v>212.24500000000023</v>
      </c>
      <c r="BE57" s="13">
        <f>BD57*VLOOKUP('Données projet'!$B$11,Paramètres!$A$1:$I$89,3,0)*VLOOKUP('Données projet'!$B$11,Paramètres!$A$1:$I$89,5,0)</f>
        <v>192.0392760000002</v>
      </c>
      <c r="BF57" s="13">
        <f t="shared" si="37"/>
        <v>47.990527307113453</v>
      </c>
      <c r="BG57" s="20">
        <f t="shared" si="7"/>
        <v>418.05190742655623</v>
      </c>
      <c r="BH57" s="59">
        <f t="shared" si="8"/>
        <v>675.75628009389561</v>
      </c>
      <c r="BI57" s="59">
        <f ca="1">AVERAGE(OFFSET($BH$3,0,0,'Données projet'!$E$11+1,1))-AVERAGE(OFFSET($H$3,0,0,'Données projet'!$E$11+1,1))</f>
        <v>681.47578137804555</v>
      </c>
      <c r="BJ57" s="59">
        <f t="shared" si="38"/>
        <v>300.88511065995885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0</v>
      </c>
      <c r="BQ57" s="21">
        <f>EXP(-LN(2)/25)*BQ56+(1-EXP(-LN(2)/25))/(LN(2)/25)*Calculateur!BL57*Calculateur!BN57*VLOOKUP('Données projet'!$B$11,Paramètres!$A$1:$I$89,3,0)*0.475*44/12</f>
        <v>22.452519524971329</v>
      </c>
      <c r="BR57" s="21">
        <f>EXP(-LN(2)/2)*BR56+(1-EXP(-LN(2)/2))/(LN(2)/2)*BL57*BO57*VLOOKUP('Données projet'!$B$11,Paramètres!$A$1:$I$89,3,0)*0.475*44/12</f>
        <v>1.7211455897778025</v>
      </c>
      <c r="BS57" s="22">
        <f t="shared" si="9"/>
        <v>24.173665114749131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5.7692307692307683</v>
      </c>
      <c r="BY57" s="12">
        <f>IF('Données projet'!$A$114&gt;35,BY56+BX57-CG56,IF(A57&lt;'Données projet'!$A$114,$BV$205^A57,IF(A57='Données projet'!$A$114,'Données projet'!$B$114,BY56+BX57-CG56)))</f>
        <v>212.17948717948718</v>
      </c>
      <c r="BZ57" s="13">
        <f>BY57*VLOOKUP('Données projet'!$B$12,Paramètres!$A$1:$I$89,3,0)*VLOOKUP('Données projet'!$B$12,Paramètres!$A$1:$I$89,5,0)</f>
        <v>142.33000000000001</v>
      </c>
      <c r="CA57" s="13">
        <f t="shared" si="39"/>
        <v>36.830261932722308</v>
      </c>
      <c r="CB57" s="20">
        <f t="shared" si="10"/>
        <v>312.03745619949137</v>
      </c>
      <c r="CC57" s="59">
        <f t="shared" si="11"/>
        <v>569.7418288668307</v>
      </c>
      <c r="CD57" s="59">
        <f ca="1">AVERAGE(OFFSET($CC$3,0,0,'Données projet'!$E$12+1,1))-AVERAGE(OFFSET($H$3,0,0,'Données projet'!$E$12+1,1))</f>
        <v>335.73816489539837</v>
      </c>
      <c r="CE57" s="59">
        <f t="shared" si="40"/>
        <v>254.09787950201044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0</v>
      </c>
      <c r="CL57" s="21">
        <f>EXP(-LN(2)/25)*CL56+(1-EXP(-LN(2)/25))/(LN(2)/25)*Calculateur!CG57*Calculateur!CI57*VLOOKUP('Données projet'!$B$12,Paramètres!$A$1:$I$89,3,0)*0.475*44/12</f>
        <v>7.2423894655913017</v>
      </c>
      <c r="CM57" s="21">
        <f>EXP(-LN(2)/2)*CM56+(1-EXP(-LN(2)/2))/(LN(2)/2)*CG57*CJ57*VLOOKUP('Données projet'!$B$12,Paramètres!$A$1:$I$89,3,0)*0.475*44/12</f>
        <v>0.77642902569159578</v>
      </c>
      <c r="CN57" s="22">
        <f t="shared" si="12"/>
        <v>8.0188184912828966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13.18</v>
      </c>
      <c r="CT57" s="12">
        <f>IF('Données projet'!$A$140&gt;35,CT56+CS57-DB56,IF(A57&lt;'Données projet'!$A$140,$CQ$205^A57,IF(A57='Données projet'!$A$140,'Données projet'!$B$140,CT56+CS57-DB56)))</f>
        <v>358.66000000000008</v>
      </c>
      <c r="CU57" s="17">
        <f>CT57*VLOOKUP('Données projet'!$B$13,Paramètres!$A$1:$I$89,3,0)*VLOOKUP('Données projet'!$B$13,Paramètres!$A$1:$I$89,5,0)</f>
        <v>214.47868000000008</v>
      </c>
      <c r="CV57" s="13">
        <f t="shared" si="41"/>
        <v>52.913084692982125</v>
      </c>
      <c r="CW57" s="20">
        <f t="shared" si="13"/>
        <v>465.70732350694396</v>
      </c>
      <c r="CX57" s="59">
        <f t="shared" si="14"/>
        <v>723.41169617428329</v>
      </c>
      <c r="CY57" s="59">
        <f ca="1">AVERAGE(OFFSET($CX$3,0,0,'Données projet'!$E$13+1,1))-AVERAGE(OFFSET($H$3,0,0,'Données projet'!$E$13+1,1))</f>
        <v>318.50474972254085</v>
      </c>
      <c r="CZ57" s="59">
        <f t="shared" si="42"/>
        <v>326.45858332753562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50.802623900804704</v>
      </c>
      <c r="DG57" s="21">
        <f>EXP(-LN(2)/25)*DG56+(1-EXP(-LN(2)/25))/(LN(2)/25)*Calculateur!DB57*Calculateur!DD57*VLOOKUP('Données projet'!$B$13,Paramètres!$A$1:$I$89,3,0)*0.475*44/12</f>
        <v>20.443949594222477</v>
      </c>
      <c r="DH57" s="21">
        <f>EXP(-LN(2)/2)*DH56+(1-EXP(-LN(2)/2))/(LN(2)/2)*DB57*DE57*VLOOKUP('Données projet'!$B$13,Paramètres!$A$1:$I$89,3,0)*0.475*44/12</f>
        <v>5.4791060753026306</v>
      </c>
      <c r="DI57" s="22">
        <f t="shared" si="15"/>
        <v>76.725679570329802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3">
        <f>'Scénario référence'!$B$16*5+'Scénario référence'!$B$17*0+'Scénario référence'!$B$18*5</f>
        <v>5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67">
        <f t="shared" si="1"/>
        <v>183.33333333333334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5.6843418860808015E-14</v>
      </c>
      <c r="O58" s="13">
        <f>N58*VLOOKUP('Données projet'!$B$9,Paramètres!$A$1:$I$89,3,0)*VLOOKUP('Données projet'!$B$9,Paramètres!$A$1:$I$89,5,0)</f>
        <v>5.1431925385259088E-14</v>
      </c>
      <c r="P58" s="13">
        <f t="shared" si="33"/>
        <v>8.3482866290946129E-13</v>
      </c>
      <c r="Q58" s="20">
        <f t="shared" si="53"/>
        <v>1.5435705246133045E-12</v>
      </c>
      <c r="R58" s="59">
        <f t="shared" si="0"/>
        <v>258.32245548047291</v>
      </c>
      <c r="S58" s="59">
        <f ca="1">AVERAGE(OFFSET($R$3,0,0,'Données projet'!$E$9+1,1))-AVERAGE(OFFSET($H$3,0,0,'Données projet'!$E$9+1,1))</f>
        <v>214.60547318405733</v>
      </c>
      <c r="T58" s="59">
        <f t="shared" si="34"/>
        <v>306.35874106546646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12.804831289928307</v>
      </c>
      <c r="AA58" s="21">
        <f>EXP(-LN(2)/25)*AA57+(1-EXP(-LN(2)/25))/(LN(2)/25)*Calculateur!V58*Calculateur!X58*VLOOKUP('Données projet'!$B$9,Paramètres!$A$1:$I$89,3,0)*0.475*44/12</f>
        <v>10.016614987363189</v>
      </c>
      <c r="AB58" s="21">
        <f>EXP(-LN(2)/2)*AB57+(1-EXP(-LN(2)/2))/(LN(2)/2)*V58*Y58*VLOOKUP('Données projet'!$B$9,Paramètres!$A$1:$I$89,3,0)*0.475*44/12</f>
        <v>0.43095591824601137</v>
      </c>
      <c r="AC58" s="22">
        <f t="shared" si="3"/>
        <v>23.252402195537506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10.36375</v>
      </c>
      <c r="AI58" s="13">
        <f>IF('Données projet'!$A$62&gt;35,AI57+AH58-AQ57,IF(A58&lt;'Données projet'!$A$62,$AF$205^A58,IF(A58='Données projet'!$A$62,'Données projet'!$B$62,AI57+AH58-AQ57)))</f>
        <v>222.60875000000024</v>
      </c>
      <c r="AJ58" s="13">
        <f>AI58*VLOOKUP('Données projet'!$B$10,Paramètres!$A$1:$I$89,3,0)*VLOOKUP('Données projet'!$B$10,Paramètres!$A$1:$I$89,5,0)</f>
        <v>225.72527250000027</v>
      </c>
      <c r="AK58" s="13">
        <f t="shared" si="35"/>
        <v>55.357378715128789</v>
      </c>
      <c r="AL58" s="20">
        <f t="shared" si="4"/>
        <v>489.55228419968324</v>
      </c>
      <c r="AM58" s="59">
        <f t="shared" si="5"/>
        <v>747.87473968015456</v>
      </c>
      <c r="AN58" s="59">
        <f ca="1">AVERAGE(OFFSET($AM$3,0,0,'Données projet'!$E$10+1,1))-AVERAGE(OFFSET($H$3,0,0,'Données projet'!$E$10+1,1))</f>
        <v>752.45542076695506</v>
      </c>
      <c r="AO58" s="59">
        <f t="shared" si="36"/>
        <v>329.70629768420724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0</v>
      </c>
      <c r="AV58" s="21">
        <f>EXP(-LN(2)/25)*AV57+(1-EXP(-LN(2)/25))/(LN(2)/25)*Calculateur!AQ58*Calculateur!AS58*VLOOKUP('Données projet'!$B$10,Paramètres!$A$1:$I$89,3,0)*0.475*44/12</f>
        <v>24.47424177343499</v>
      </c>
      <c r="AW58" s="21">
        <f>EXP(-LN(2)/2)*AW57+(1-EXP(-LN(2)/2))/(LN(2)/2)*AQ58*AT58*VLOOKUP('Données projet'!$B$10,Paramètres!$A$1:$I$89,3,0)*0.475*44/12</f>
        <v>1.3639170976927286</v>
      </c>
      <c r="AX58" s="21">
        <f t="shared" si="6"/>
        <v>25.838158871127717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10.36375</v>
      </c>
      <c r="BD58" s="12">
        <f>IF('Données projet'!$A$88&gt;35,BD57+BC58-BL57,IF(A58&lt;'Données projet'!$A$88,$BA$205^A58,IF(A58='Données projet'!$A$88,'Données projet'!$B$88,BD57+BC58-BL57)))</f>
        <v>222.60875000000024</v>
      </c>
      <c r="BE58" s="13">
        <f>BD58*VLOOKUP('Données projet'!$B$11,Paramètres!$A$1:$I$89,3,0)*VLOOKUP('Données projet'!$B$11,Paramètres!$A$1:$I$89,5,0)</f>
        <v>201.41639700000019</v>
      </c>
      <c r="BF58" s="13">
        <f t="shared" si="37"/>
        <v>50.055320951535919</v>
      </c>
      <c r="BG58" s="20">
        <f t="shared" si="7"/>
        <v>437.97990876559203</v>
      </c>
      <c r="BH58" s="59">
        <f t="shared" si="8"/>
        <v>696.30236424606346</v>
      </c>
      <c r="BI58" s="59">
        <f ca="1">AVERAGE(OFFSET($BH$3,0,0,'Données projet'!$E$11+1,1))-AVERAGE(OFFSET($H$3,0,0,'Données projet'!$E$11+1,1))</f>
        <v>681.47578137804555</v>
      </c>
      <c r="BJ58" s="59">
        <f t="shared" si="38"/>
        <v>300.88511065995885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0</v>
      </c>
      <c r="BQ58" s="21">
        <f>EXP(-LN(2)/25)*BQ57+(1-EXP(-LN(2)/25))/(LN(2)/25)*Calculateur!BL58*Calculateur!BN58*VLOOKUP('Données projet'!$B$11,Paramètres!$A$1:$I$89,3,0)*0.475*44/12</f>
        <v>21.838554197834302</v>
      </c>
      <c r="BR58" s="21">
        <f>EXP(-LN(2)/2)*BR57+(1-EXP(-LN(2)/2))/(LN(2)/2)*BL58*BO58*VLOOKUP('Données projet'!$B$11,Paramètres!$A$1:$I$89,3,0)*0.475*44/12</f>
        <v>1.2170337179412041</v>
      </c>
      <c r="BS58" s="22">
        <f t="shared" si="9"/>
        <v>23.055587915775504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217.94871794871793</v>
      </c>
      <c r="BW58" s="12">
        <f>VLOOKUP(A58,'Données projet'!$A$113:$I$133,9,0)</f>
        <v>5.7692307692307683</v>
      </c>
      <c r="BX58" s="12">
        <f t="array" ref="BX58">INDEX(BW:BW,MIN(IF(ISNUMBER(BW58:BW254),ROW(BW58:BW254),"")))</f>
        <v>5.7692307692307683</v>
      </c>
      <c r="BY58" s="12">
        <f>IF('Données projet'!$A$114&gt;35,BY57+BX58-CG57,IF(A58&lt;'Données projet'!$A$114,$BV$205^A58,IF(A58='Données projet'!$A$114,'Données projet'!$B$114,BY57+BX58-CG57)))</f>
        <v>217.94871794871796</v>
      </c>
      <c r="BZ58" s="13">
        <f>BY58*VLOOKUP('Données projet'!$B$12,Paramètres!$A$1:$I$89,3,0)*VLOOKUP('Données projet'!$B$12,Paramètres!$A$1:$I$89,5,0)</f>
        <v>146.19999999999999</v>
      </c>
      <c r="CA58" s="13">
        <f t="shared" si="39"/>
        <v>37.713736580072478</v>
      </c>
      <c r="CB58" s="20">
        <f t="shared" si="10"/>
        <v>320.31642454362617</v>
      </c>
      <c r="CC58" s="59">
        <f t="shared" si="11"/>
        <v>578.63888002409749</v>
      </c>
      <c r="CD58" s="59">
        <f ca="1">AVERAGE(OFFSET($CC$3,0,0,'Données projet'!$E$12+1,1))-AVERAGE(OFFSET($H$3,0,0,'Données projet'!$E$12+1,1))</f>
        <v>335.73816489539837</v>
      </c>
      <c r="CE58" s="59">
        <f t="shared" si="40"/>
        <v>254.09787950201044</v>
      </c>
      <c r="CF58" s="15">
        <f>IF(ISNA(VLOOKUP(A58,'Données projet'!$A$113:$I$133,3,0)),0,VLOOKUP(A58,'Données projet'!$A$113:$I$133,3,0))</f>
        <v>9</v>
      </c>
      <c r="CG58" s="15">
        <f>IF(ISNA(VLOOKUP(A58,'Données projet'!$A$113:$I$133,4,0)),0,VLOOKUP(A58,'Données projet'!$A$113:$I$133,4,0))</f>
        <v>15.384615384615383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0.13250000000000001</v>
      </c>
      <c r="CJ58" s="16">
        <f>IF(ISNA(VLOOKUP(A58,'Données projet'!$A$113:$I$133,7,0)),0%,VLOOKUP(A58,'Données projet'!$A$113:$I$133,7,0))</f>
        <v>0.25</v>
      </c>
      <c r="CK58" s="21">
        <f>EXP(-LN(2)/35)*CK57+(1-EXP(-LN(2)/35))/(LN(2)/35)*CG58*CH58*VLOOKUP('Données projet'!$B$12,Paramètres!$A$1:$I$89,3,0)*0.475*44/12</f>
        <v>0</v>
      </c>
      <c r="CL58" s="21">
        <f>EXP(-LN(2)/25)*CL57+(1-EXP(-LN(2)/25))/(LN(2)/25)*Calculateur!CG58*Calculateur!CI58*VLOOKUP('Données projet'!$B$12,Paramètres!$A$1:$I$89,3,0)*0.475*44/12</f>
        <v>8.5500143170794196</v>
      </c>
      <c r="CM58" s="21">
        <f>EXP(-LN(2)/2)*CM57+(1-EXP(-LN(2)/2))/(LN(2)/2)*CG58*CJ58*VLOOKUP('Données projet'!$B$12,Paramètres!$A$1:$I$89,3,0)*0.475*44/12</f>
        <v>2.9833176688584926</v>
      </c>
      <c r="CN58" s="22">
        <f t="shared" si="12"/>
        <v>11.533331985937913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13.18</v>
      </c>
      <c r="CT58" s="12">
        <f>IF('Données projet'!$A$140&gt;35,CT57+CS58-DB57,IF(A58&lt;'Données projet'!$A$140,$CQ$205^A58,IF(A58='Données projet'!$A$140,'Données projet'!$B$140,CT57+CS58-DB57)))</f>
        <v>371.84000000000009</v>
      </c>
      <c r="CU58" s="17">
        <f>CT58*VLOOKUP('Données projet'!$B$13,Paramètres!$A$1:$I$89,3,0)*VLOOKUP('Données projet'!$B$13,Paramètres!$A$1:$I$89,5,0)</f>
        <v>222.36032000000009</v>
      </c>
      <c r="CV58" s="13">
        <f t="shared" si="41"/>
        <v>54.627570556659869</v>
      </c>
      <c r="CW58" s="20">
        <f t="shared" si="13"/>
        <v>482.42057605284941</v>
      </c>
      <c r="CX58" s="59">
        <f t="shared" si="14"/>
        <v>740.74303153332085</v>
      </c>
      <c r="CY58" s="59">
        <f ca="1">AVERAGE(OFFSET($CX$3,0,0,'Données projet'!$E$13+1,1))-AVERAGE(OFFSET($H$3,0,0,'Données projet'!$E$13+1,1))</f>
        <v>318.50474972254085</v>
      </c>
      <c r="CZ58" s="59">
        <f t="shared" si="42"/>
        <v>326.45858332753562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49.806415432650837</v>
      </c>
      <c r="DG58" s="21">
        <f>EXP(-LN(2)/25)*DG57+(1-EXP(-LN(2)/25))/(LN(2)/25)*Calculateur!DB58*Calculateur!DD58*VLOOKUP('Données projet'!$B$13,Paramètres!$A$1:$I$89,3,0)*0.475*44/12</f>
        <v>19.88490871746788</v>
      </c>
      <c r="DH58" s="21">
        <f>EXP(-LN(2)/2)*DH57+(1-EXP(-LN(2)/2))/(LN(2)/2)*DB58*DE58*VLOOKUP('Données projet'!$B$13,Paramètres!$A$1:$I$89,3,0)*0.475*44/12</f>
        <v>3.8743130606869007</v>
      </c>
      <c r="DI58" s="22">
        <f t="shared" si="15"/>
        <v>73.565637210805619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3">
        <f>'Scénario référence'!$B$16*5+'Scénario référence'!$B$17*0+'Scénario référence'!$B$18*5</f>
        <v>5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67">
        <f t="shared" si="1"/>
        <v>183.33333333333334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5.6843418860808015E-14</v>
      </c>
      <c r="O59" s="13">
        <f>N59*VLOOKUP('Données projet'!$B$9,Paramètres!$A$1:$I$89,3,0)*VLOOKUP('Données projet'!$B$9,Paramètres!$A$1:$I$89,5,0)</f>
        <v>5.1431925385259088E-14</v>
      </c>
      <c r="P59" s="13">
        <f t="shared" si="33"/>
        <v>8.3482866290946129E-13</v>
      </c>
      <c r="Q59" s="20">
        <f t="shared" si="53"/>
        <v>1.5435705246133045E-12</v>
      </c>
      <c r="R59" s="59">
        <f t="shared" si="0"/>
        <v>258.92981593862328</v>
      </c>
      <c r="S59" s="59">
        <f ca="1">AVERAGE(OFFSET($R$3,0,0,'Données projet'!$E$9+1,1))-AVERAGE(OFFSET($H$3,0,0,'Données projet'!$E$9+1,1))</f>
        <v>214.60547318405733</v>
      </c>
      <c r="T59" s="59">
        <f t="shared" si="34"/>
        <v>306.35874106546646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12.55373635850871</v>
      </c>
      <c r="AA59" s="21">
        <f>EXP(-LN(2)/25)*AA58+(1-EXP(-LN(2)/25))/(LN(2)/25)*Calculateur!V59*Calculateur!X59*VLOOKUP('Données projet'!$B$9,Paramètres!$A$1:$I$89,3,0)*0.475*44/12</f>
        <v>9.7427101237828531</v>
      </c>
      <c r="AB59" s="21">
        <f>EXP(-LN(2)/2)*AB58+(1-EXP(-LN(2)/2))/(LN(2)/2)*V59*Y59*VLOOKUP('Données projet'!$B$9,Paramètres!$A$1:$I$89,3,0)*0.475*44/12</f>
        <v>0.30473185218423005</v>
      </c>
      <c r="AC59" s="22">
        <f t="shared" si="3"/>
        <v>22.601178334475794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10.36375</v>
      </c>
      <c r="AI59" s="13">
        <f>IF('Données projet'!$A$62&gt;35,AI58+AH59-AQ58,IF(A59&lt;'Données projet'!$A$62,$AF$205^A59,IF(A59='Données projet'!$A$62,'Données projet'!$B$62,AI58+AH59-AQ58)))</f>
        <v>232.97250000000025</v>
      </c>
      <c r="AJ59" s="13">
        <f>AI59*VLOOKUP('Données projet'!$B$10,Paramètres!$A$1:$I$89,3,0)*VLOOKUP('Données projet'!$B$10,Paramètres!$A$1:$I$89,5,0)</f>
        <v>236.23411500000026</v>
      </c>
      <c r="AK59" s="13">
        <f t="shared" si="35"/>
        <v>57.628537681562783</v>
      </c>
      <c r="AL59" s="20">
        <f t="shared" si="4"/>
        <v>511.8107867537222</v>
      </c>
      <c r="AM59" s="59">
        <f t="shared" si="5"/>
        <v>770.74060269234394</v>
      </c>
      <c r="AN59" s="59">
        <f ca="1">AVERAGE(OFFSET($AM$3,0,0,'Données projet'!$E$10+1,1))-AVERAGE(OFFSET($H$3,0,0,'Données projet'!$E$10+1,1))</f>
        <v>752.45542076695506</v>
      </c>
      <c r="AO59" s="59">
        <f t="shared" si="36"/>
        <v>329.70629768420724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0</v>
      </c>
      <c r="AV59" s="21">
        <f>EXP(-LN(2)/25)*AV58+(1-EXP(-LN(2)/25))/(LN(2)/25)*Calculateur!AQ59*Calculateur!AS59*VLOOKUP('Données projet'!$B$10,Paramètres!$A$1:$I$89,3,0)*0.475*44/12</f>
        <v>23.804992345095972</v>
      </c>
      <c r="AW59" s="21">
        <f>EXP(-LN(2)/2)*AW58+(1-EXP(-LN(2)/2))/(LN(2)/2)*AQ59*AT59*VLOOKUP('Données projet'!$B$10,Paramètres!$A$1:$I$89,3,0)*0.475*44/12</f>
        <v>0.96443502875480325</v>
      </c>
      <c r="AX59" s="21">
        <f t="shared" si="6"/>
        <v>24.769427373850775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10.36375</v>
      </c>
      <c r="BD59" s="12">
        <f>IF('Données projet'!$A$88&gt;35,BD58+BC59-BL58,IF(A59&lt;'Données projet'!$A$88,$BA$205^A59,IF(A59='Données projet'!$A$88,'Données projet'!$B$88,BD58+BC59-BL58)))</f>
        <v>232.97250000000025</v>
      </c>
      <c r="BE59" s="13">
        <f>BD59*VLOOKUP('Données projet'!$B$11,Paramètres!$A$1:$I$89,3,0)*VLOOKUP('Données projet'!$B$11,Paramètres!$A$1:$I$89,5,0)</f>
        <v>210.7935180000002</v>
      </c>
      <c r="BF59" s="13">
        <f t="shared" si="37"/>
        <v>52.108951264882847</v>
      </c>
      <c r="BG59" s="20">
        <f t="shared" si="7"/>
        <v>457.88846730300457</v>
      </c>
      <c r="BH59" s="59">
        <f t="shared" si="8"/>
        <v>716.81828324162632</v>
      </c>
      <c r="BI59" s="59">
        <f ca="1">AVERAGE(OFFSET($BH$3,0,0,'Données projet'!$E$11+1,1))-AVERAGE(OFFSET($H$3,0,0,'Données projet'!$E$11+1,1))</f>
        <v>681.47578137804555</v>
      </c>
      <c r="BJ59" s="59">
        <f t="shared" si="38"/>
        <v>300.88511065995885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0</v>
      </c>
      <c r="BQ59" s="21">
        <f>EXP(-LN(2)/25)*BQ58+(1-EXP(-LN(2)/25))/(LN(2)/25)*Calculateur!BL59*Calculateur!BN59*VLOOKUP('Données projet'!$B$11,Paramètres!$A$1:$I$89,3,0)*0.475*44/12</f>
        <v>21.241377784854869</v>
      </c>
      <c r="BR59" s="21">
        <f>EXP(-LN(2)/2)*BR58+(1-EXP(-LN(2)/2))/(LN(2)/2)*BL59*BO59*VLOOKUP('Données projet'!$B$11,Paramètres!$A$1:$I$89,3,0)*0.475*44/12</f>
        <v>0.86057279488890148</v>
      </c>
      <c r="BS59" s="22">
        <f t="shared" si="9"/>
        <v>22.101950579743772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5.3846153846153868</v>
      </c>
      <c r="BY59" s="12">
        <f>IF('Données projet'!$A$114&gt;35,BY58+BX59-CG58,IF(A59&lt;'Données projet'!$A$114,$BV$205^A59,IF(A59='Données projet'!$A$114,'Données projet'!$B$114,BY58+BX59-CG58)))</f>
        <v>207.94871794871796</v>
      </c>
      <c r="BZ59" s="13">
        <f>BY59*VLOOKUP('Données projet'!$B$12,Paramètres!$A$1:$I$89,3,0)*VLOOKUP('Données projet'!$B$12,Paramètres!$A$1:$I$89,5,0)</f>
        <v>139.49200000000002</v>
      </c>
      <c r="CA59" s="13">
        <f t="shared" si="39"/>
        <v>36.180605218782823</v>
      </c>
      <c r="CB59" s="20">
        <f t="shared" si="10"/>
        <v>305.96312075604675</v>
      </c>
      <c r="CC59" s="59">
        <f t="shared" si="11"/>
        <v>564.89293669466849</v>
      </c>
      <c r="CD59" s="59">
        <f ca="1">AVERAGE(OFFSET($CC$3,0,0,'Données projet'!$E$12+1,1))-AVERAGE(OFFSET($H$3,0,0,'Données projet'!$E$12+1,1))</f>
        <v>335.73816489539837</v>
      </c>
      <c r="CE59" s="59">
        <f t="shared" si="40"/>
        <v>254.09787950201044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0</v>
      </c>
      <c r="CL59" s="21">
        <f>EXP(-LN(2)/25)*CL58+(1-EXP(-LN(2)/25))/(LN(2)/25)*Calculateur!CG59*Calculateur!CI59*VLOOKUP('Données projet'!$B$12,Paramètres!$A$1:$I$89,3,0)*0.475*44/12</f>
        <v>8.3162137259531708</v>
      </c>
      <c r="CM59" s="21">
        <f>EXP(-LN(2)/2)*CM58+(1-EXP(-LN(2)/2))/(LN(2)/2)*CG59*CJ59*VLOOKUP('Données projet'!$B$12,Paramètres!$A$1:$I$89,3,0)*0.475*44/12</f>
        <v>2.1095241540834833</v>
      </c>
      <c r="CN59" s="22">
        <f t="shared" si="12"/>
        <v>10.425737880036653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13.18</v>
      </c>
      <c r="CT59" s="12">
        <f>IF('Données projet'!$A$140&gt;35,CT58+CS59-DB58,IF(A59&lt;'Données projet'!$A$140,$CQ$205^A59,IF(A59='Données projet'!$A$140,'Données projet'!$B$140,CT58+CS59-DB58)))</f>
        <v>385.0200000000001</v>
      </c>
      <c r="CU59" s="17">
        <f>CT59*VLOOKUP('Données projet'!$B$13,Paramètres!$A$1:$I$89,3,0)*VLOOKUP('Données projet'!$B$13,Paramètres!$A$1:$I$89,5,0)</f>
        <v>230.24196000000006</v>
      </c>
      <c r="CV59" s="13">
        <f t="shared" si="41"/>
        <v>56.334995738213507</v>
      </c>
      <c r="CW59" s="20">
        <f t="shared" si="13"/>
        <v>499.12153124405523</v>
      </c>
      <c r="CX59" s="59">
        <f t="shared" si="14"/>
        <v>758.05134718267698</v>
      </c>
      <c r="CY59" s="59">
        <f ca="1">AVERAGE(OFFSET($CX$3,0,0,'Données projet'!$E$13+1,1))-AVERAGE(OFFSET($H$3,0,0,'Données projet'!$E$13+1,1))</f>
        <v>318.50474972254085</v>
      </c>
      <c r="CZ59" s="59">
        <f t="shared" si="42"/>
        <v>326.45858332753562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48.829742004930303</v>
      </c>
      <c r="DG59" s="21">
        <f>EXP(-LN(2)/25)*DG58+(1-EXP(-LN(2)/25))/(LN(2)/25)*Calculateur!DB59*Calculateur!DD59*VLOOKUP('Données projet'!$B$13,Paramètres!$A$1:$I$89,3,0)*0.475*44/12</f>
        <v>19.341154842886819</v>
      </c>
      <c r="DH59" s="21">
        <f>EXP(-LN(2)/2)*DH58+(1-EXP(-LN(2)/2))/(LN(2)/2)*DB59*DE59*VLOOKUP('Données projet'!$B$13,Paramètres!$A$1:$I$89,3,0)*0.475*44/12</f>
        <v>2.7395530376513157</v>
      </c>
      <c r="DI59" s="22">
        <f t="shared" si="15"/>
        <v>70.910449885468438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3">
        <f>'Scénario référence'!$B$16*5+'Scénario référence'!$B$17*0+'Scénario référence'!$B$18*5</f>
        <v>5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67">
        <f t="shared" si="1"/>
        <v>183.33333333333334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5.6843418860808015E-14</v>
      </c>
      <c r="O60" s="13">
        <f>N60*VLOOKUP('Données projet'!$B$9,Paramètres!$A$1:$I$89,3,0)*VLOOKUP('Données projet'!$B$9,Paramètres!$A$1:$I$89,5,0)</f>
        <v>5.1431925385259088E-14</v>
      </c>
      <c r="P60" s="13">
        <f t="shared" si="33"/>
        <v>8.3482866290946129E-13</v>
      </c>
      <c r="Q60" s="20">
        <f t="shared" si="53"/>
        <v>1.5435705246133045E-12</v>
      </c>
      <c r="R60" s="59">
        <f t="shared" si="0"/>
        <v>259.52664005067925</v>
      </c>
      <c r="S60" s="59">
        <f ca="1">AVERAGE(OFFSET($R$3,0,0,'Données projet'!$E$9+1,1))-AVERAGE(OFFSET($H$3,0,0,'Données projet'!$E$9+1,1))</f>
        <v>214.60547318405733</v>
      </c>
      <c r="T60" s="59">
        <f t="shared" si="34"/>
        <v>306.35874106546646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12.307565245541465</v>
      </c>
      <c r="AA60" s="21">
        <f>EXP(-LN(2)/25)*AA59+(1-EXP(-LN(2)/25))/(LN(2)/25)*Calculateur!V60*Calculateur!X60*VLOOKUP('Données projet'!$B$9,Paramètres!$A$1:$I$89,3,0)*0.475*44/12</f>
        <v>9.4762952031011523</v>
      </c>
      <c r="AB60" s="21">
        <f>EXP(-LN(2)/2)*AB59+(1-EXP(-LN(2)/2))/(LN(2)/2)*V60*Y60*VLOOKUP('Données projet'!$B$9,Paramètres!$A$1:$I$89,3,0)*0.475*44/12</f>
        <v>0.21547795912300571</v>
      </c>
      <c r="AC60" s="22">
        <f t="shared" si="3"/>
        <v>21.999338407765624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10.36375</v>
      </c>
      <c r="AI60" s="13">
        <f>IF('Données projet'!$A$62&gt;35,AI59+AH60-AQ59,IF(A60&lt;'Données projet'!$A$62,$AF$205^A60,IF(A60='Données projet'!$A$62,'Données projet'!$B$62,AI59+AH60-AQ59)))</f>
        <v>243.33625000000026</v>
      </c>
      <c r="AJ60" s="13">
        <f>AI60*VLOOKUP('Données projet'!$B$10,Paramètres!$A$1:$I$89,3,0)*VLOOKUP('Données projet'!$B$10,Paramètres!$A$1:$I$89,5,0)</f>
        <v>246.74295750000027</v>
      </c>
      <c r="AK60" s="13">
        <f t="shared" si="35"/>
        <v>59.887962808292784</v>
      </c>
      <c r="AL60" s="20">
        <f t="shared" si="4"/>
        <v>534.04885287027707</v>
      </c>
      <c r="AM60" s="59">
        <f t="shared" si="5"/>
        <v>793.57549292095473</v>
      </c>
      <c r="AN60" s="59">
        <f ca="1">AVERAGE(OFFSET($AM$3,0,0,'Données projet'!$E$10+1,1))-AVERAGE(OFFSET($H$3,0,0,'Données projet'!$E$10+1,1))</f>
        <v>752.45542076695506</v>
      </c>
      <c r="AO60" s="59">
        <f t="shared" si="36"/>
        <v>329.70629768420724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0</v>
      </c>
      <c r="AV60" s="21">
        <f>EXP(-LN(2)/25)*AV59+(1-EXP(-LN(2)/25))/(LN(2)/25)*Calculateur!AQ60*Calculateur!AS60*VLOOKUP('Données projet'!$B$10,Paramètres!$A$1:$I$89,3,0)*0.475*44/12</f>
        <v>23.154043577569183</v>
      </c>
      <c r="AW60" s="21">
        <f>EXP(-LN(2)/2)*AW59+(1-EXP(-LN(2)/2))/(LN(2)/2)*AQ60*AT60*VLOOKUP('Données projet'!$B$10,Paramètres!$A$1:$I$89,3,0)*0.475*44/12</f>
        <v>0.68195854884636442</v>
      </c>
      <c r="AX60" s="21">
        <f t="shared" si="6"/>
        <v>23.836002126415547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10.36375</v>
      </c>
      <c r="BD60" s="12">
        <f>IF('Données projet'!$A$88&gt;35,BD59+BC60-BL59,IF(A60&lt;'Données projet'!$A$88,$BA$205^A60,IF(A60='Données projet'!$A$88,'Données projet'!$B$88,BD59+BC60-BL59)))</f>
        <v>243.33625000000026</v>
      </c>
      <c r="BE60" s="13">
        <f>BD60*VLOOKUP('Données projet'!$B$11,Paramètres!$A$1:$I$89,3,0)*VLOOKUP('Données projet'!$B$11,Paramètres!$A$1:$I$89,5,0)</f>
        <v>220.17063900000025</v>
      </c>
      <c r="BF60" s="13">
        <f t="shared" si="37"/>
        <v>54.151971590437505</v>
      </c>
      <c r="BG60" s="20">
        <f t="shared" si="7"/>
        <v>477.7785467783458</v>
      </c>
      <c r="BH60" s="59">
        <f t="shared" si="8"/>
        <v>737.30518682902357</v>
      </c>
      <c r="BI60" s="59">
        <f ca="1">AVERAGE(OFFSET($BH$3,0,0,'Données projet'!$E$11+1,1))-AVERAGE(OFFSET($H$3,0,0,'Données projet'!$E$11+1,1))</f>
        <v>681.47578137804555</v>
      </c>
      <c r="BJ60" s="59">
        <f t="shared" si="38"/>
        <v>300.88511065995885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0</v>
      </c>
      <c r="BQ60" s="21">
        <f>EXP(-LN(2)/25)*BQ59+(1-EXP(-LN(2)/25))/(LN(2)/25)*Calculateur!BL60*Calculateur!BN60*VLOOKUP('Données projet'!$B$11,Paramètres!$A$1:$I$89,3,0)*0.475*44/12</f>
        <v>20.660531192292503</v>
      </c>
      <c r="BR60" s="21">
        <f>EXP(-LN(2)/2)*BR59+(1-EXP(-LN(2)/2))/(LN(2)/2)*BL60*BO60*VLOOKUP('Données projet'!$B$11,Paramètres!$A$1:$I$89,3,0)*0.475*44/12</f>
        <v>0.60851685897060215</v>
      </c>
      <c r="BS60" s="22">
        <f t="shared" si="9"/>
        <v>21.269048051263105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5.3846153846153868</v>
      </c>
      <c r="BY60" s="12">
        <f>IF('Données projet'!$A$114&gt;35,BY59+BX60-CG59,IF(A60&lt;'Données projet'!$A$114,$BV$205^A60,IF(A60='Données projet'!$A$114,'Données projet'!$B$114,BY59+BX60-CG59)))</f>
        <v>213.33333333333334</v>
      </c>
      <c r="BZ60" s="13">
        <f>BY60*VLOOKUP('Données projet'!$B$12,Paramètres!$A$1:$I$89,3,0)*VLOOKUP('Données projet'!$B$12,Paramètres!$A$1:$I$89,5,0)</f>
        <v>143.10400000000001</v>
      </c>
      <c r="CA60" s="13">
        <f t="shared" si="39"/>
        <v>37.007178225178052</v>
      </c>
      <c r="CB60" s="20">
        <f t="shared" si="10"/>
        <v>313.69363540885178</v>
      </c>
      <c r="CC60" s="59">
        <f t="shared" si="11"/>
        <v>573.22027545952949</v>
      </c>
      <c r="CD60" s="59">
        <f ca="1">AVERAGE(OFFSET($CC$3,0,0,'Données projet'!$E$12+1,1))-AVERAGE(OFFSET($H$3,0,0,'Données projet'!$E$12+1,1))</f>
        <v>335.73816489539837</v>
      </c>
      <c r="CE60" s="59">
        <f t="shared" si="40"/>
        <v>254.09787950201044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0</v>
      </c>
      <c r="CL60" s="21">
        <f>EXP(-LN(2)/25)*CL59+(1-EXP(-LN(2)/25))/(LN(2)/25)*Calculateur!CG60*Calculateur!CI60*VLOOKUP('Données projet'!$B$12,Paramètres!$A$1:$I$89,3,0)*0.475*44/12</f>
        <v>8.0888064242863091</v>
      </c>
      <c r="CM60" s="21">
        <f>EXP(-LN(2)/2)*CM59+(1-EXP(-LN(2)/2))/(LN(2)/2)*CG60*CJ60*VLOOKUP('Données projet'!$B$12,Paramètres!$A$1:$I$89,3,0)*0.475*44/12</f>
        <v>1.4916588344292465</v>
      </c>
      <c r="CN60" s="22">
        <f t="shared" si="12"/>
        <v>9.5804652587155559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13.18</v>
      </c>
      <c r="CT60" s="12">
        <f>IF('Données projet'!$A$140&gt;35,CT59+CS60-DB59,IF(A60&lt;'Données projet'!$A$140,$CQ$205^A60,IF(A60='Données projet'!$A$140,'Données projet'!$B$140,CT59+CS60-DB59)))</f>
        <v>398.2000000000001</v>
      </c>
      <c r="CU60" s="17">
        <f>CT60*VLOOKUP('Données projet'!$B$13,Paramètres!$A$1:$I$89,3,0)*VLOOKUP('Données projet'!$B$13,Paramètres!$A$1:$I$89,5,0)</f>
        <v>238.12360000000007</v>
      </c>
      <c r="CV60" s="13">
        <f t="shared" si="41"/>
        <v>58.035629642885198</v>
      </c>
      <c r="CW60" s="20">
        <f t="shared" si="13"/>
        <v>515.81065829469196</v>
      </c>
      <c r="CX60" s="59">
        <f t="shared" si="14"/>
        <v>775.33729834536962</v>
      </c>
      <c r="CY60" s="59">
        <f ca="1">AVERAGE(OFFSET($CX$3,0,0,'Données projet'!$E$13+1,1))-AVERAGE(OFFSET($H$3,0,0,'Données projet'!$E$13+1,1))</f>
        <v>318.50474972254085</v>
      </c>
      <c r="CZ60" s="59">
        <f t="shared" si="42"/>
        <v>326.45858332753562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47.872220547415395</v>
      </c>
      <c r="DG60" s="21">
        <f>EXP(-LN(2)/25)*DG59+(1-EXP(-LN(2)/25))/(LN(2)/25)*Calculateur!DB60*Calculateur!DD60*VLOOKUP('Données projet'!$B$13,Paramètres!$A$1:$I$89,3,0)*0.475*44/12</f>
        <v>18.812269946600949</v>
      </c>
      <c r="DH60" s="21">
        <f>EXP(-LN(2)/2)*DH59+(1-EXP(-LN(2)/2))/(LN(2)/2)*DB60*DE60*VLOOKUP('Données projet'!$B$13,Paramètres!$A$1:$I$89,3,0)*0.475*44/12</f>
        <v>1.9371565303434506</v>
      </c>
      <c r="DI60" s="22">
        <f t="shared" si="15"/>
        <v>68.621647024359788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3">
        <f>'Scénario référence'!$B$16*5+'Scénario référence'!$B$17*0+'Scénario référence'!$B$18*5</f>
        <v>5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67">
        <f t="shared" si="1"/>
        <v>183.33333333333334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5.6843418860808015E-14</v>
      </c>
      <c r="O61" s="13">
        <f>N61*VLOOKUP('Données projet'!$B$9,Paramètres!$A$1:$I$89,3,0)*VLOOKUP('Données projet'!$B$9,Paramètres!$A$1:$I$89,5,0)</f>
        <v>5.1431925385259088E-14</v>
      </c>
      <c r="P61" s="13">
        <f t="shared" si="33"/>
        <v>8.3482866290946129E-13</v>
      </c>
      <c r="Q61" s="20">
        <f t="shared" si="53"/>
        <v>1.5435705246133045E-12</v>
      </c>
      <c r="R61" s="59">
        <f t="shared" si="0"/>
        <v>260.11311059868996</v>
      </c>
      <c r="S61" s="59">
        <f ca="1">AVERAGE(OFFSET($R$3,0,0,'Données projet'!$E$9+1,1))-AVERAGE(OFFSET($H$3,0,0,'Données projet'!$E$9+1,1))</f>
        <v>214.60547318405733</v>
      </c>
      <c r="T61" s="59">
        <f t="shared" si="34"/>
        <v>306.35874106546646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12.066221397949954</v>
      </c>
      <c r="AA61" s="21">
        <f>EXP(-LN(2)/25)*AA60+(1-EXP(-LN(2)/25))/(LN(2)/25)*Calculateur!V61*Calculateur!X61*VLOOKUP('Données projet'!$B$9,Paramètres!$A$1:$I$89,3,0)*0.475*44/12</f>
        <v>9.2171654124356444</v>
      </c>
      <c r="AB61" s="21">
        <f>EXP(-LN(2)/2)*AB60+(1-EXP(-LN(2)/2))/(LN(2)/2)*V61*Y61*VLOOKUP('Données projet'!$B$9,Paramètres!$A$1:$I$89,3,0)*0.475*44/12</f>
        <v>0.15236592609211505</v>
      </c>
      <c r="AC61" s="22">
        <f t="shared" si="3"/>
        <v>21.435752736477717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>
        <f>VLOOKUP(A61,'Données projet'!$A$61:$I$81,2,0)</f>
        <v>253.7</v>
      </c>
      <c r="AG61" s="12">
        <f>VLOOKUP(A61,'Données projet'!$A$61:$I$81,9,0)</f>
        <v>10.36375</v>
      </c>
      <c r="AH61" s="12">
        <f t="array" ref="AH61">INDEX(AG:AG,MIN(IF(ISNUMBER(AG61:AG257),ROW(AG61:AG257),"")))</f>
        <v>10.36375</v>
      </c>
      <c r="AI61" s="13">
        <f>IF('Données projet'!$A$62&gt;35,AI60+AH61-AQ60,IF(A61&lt;'Données projet'!$A$62,$AF$205^A61,IF(A61='Données projet'!$A$62,'Données projet'!$B$62,AI60+AH61-AQ60)))</f>
        <v>253.70000000000027</v>
      </c>
      <c r="AJ61" s="13">
        <f>AI61*VLOOKUP('Données projet'!$B$10,Paramètres!$A$1:$I$89,3,0)*VLOOKUP('Données projet'!$B$10,Paramètres!$A$1:$I$89,5,0)</f>
        <v>257.25180000000029</v>
      </c>
      <c r="AK61" s="13">
        <f t="shared" si="35"/>
        <v>62.136210975836612</v>
      </c>
      <c r="AL61" s="20">
        <f t="shared" si="4"/>
        <v>556.26745244958261</v>
      </c>
      <c r="AM61" s="59">
        <f t="shared" si="5"/>
        <v>816.38056304827103</v>
      </c>
      <c r="AN61" s="59">
        <f ca="1">AVERAGE(OFFSET($AM$3,0,0,'Données projet'!$E$10+1,1))-AVERAGE(OFFSET($H$3,0,0,'Données projet'!$E$10+1,1))</f>
        <v>752.45542076695506</v>
      </c>
      <c r="AO61" s="59">
        <f t="shared" si="36"/>
        <v>329.70629768420724</v>
      </c>
      <c r="AP61" s="15">
        <f>IF(ISNA(VLOOKUP(A61,'Données projet'!$A$61:$I$81,3,0)),0,VLOOKUP(A61,'Données projet'!$A$61:$I$81,3,0))</f>
        <v>3</v>
      </c>
      <c r="AQ61" s="15">
        <f>IF(ISNA(VLOOKUP(A61,'Données projet'!$A$61:$I$81,4,0)),0,VLOOKUP(A61,'Données projet'!$A$61:$I$81,4,0))</f>
        <v>47.789999999999992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0.34400000000000003</v>
      </c>
      <c r="AT61" s="16">
        <f>IF(ISNA(VLOOKUP(A61,'Données projet'!$A$61:$I$81,7,0)),0%,VLOOKUP(A61,'Données projet'!$A$61:$I$81,7,0))</f>
        <v>0.2</v>
      </c>
      <c r="AU61" s="21">
        <f>EXP(-LN(2)/35)*AU60+(1-EXP(-LN(2)/35))/(LN(2)/35)*AQ61*AR61*VLOOKUP('Données projet'!$B$10,Paramètres!$A$1:$I$89,3,0)*0.475*44/12</f>
        <v>0</v>
      </c>
      <c r="AV61" s="21">
        <f>EXP(-LN(2)/25)*AV60+(1-EXP(-LN(2)/25))/(LN(2)/25)*Calculateur!AQ61*Calculateur!AS61*VLOOKUP('Données projet'!$B$10,Paramètres!$A$1:$I$89,3,0)*0.475*44/12</f>
        <v>40.876435665412025</v>
      </c>
      <c r="AW61" s="21">
        <f>EXP(-LN(2)/2)*AW60+(1-EXP(-LN(2)/2))/(LN(2)/2)*AQ61*AT61*VLOOKUP('Données projet'!$B$10,Paramètres!$A$1:$I$89,3,0)*0.475*44/12</f>
        <v>9.6267029876728749</v>
      </c>
      <c r="AX61" s="21">
        <f t="shared" si="6"/>
        <v>50.503138653084903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>
        <f>VLOOKUP(A61,'Données projet'!$A$87:$I$107,2,0)</f>
        <v>253.7</v>
      </c>
      <c r="BB61" s="12">
        <f>VLOOKUP(A61,'Données projet'!$A$87:$I$107,9,0)</f>
        <v>10.36375</v>
      </c>
      <c r="BC61" s="12">
        <f t="array" ref="BC61">INDEX(BB:BB,MIN(IF(ISNUMBER(BB61:BB257),ROW(BB61:BB257),"")))</f>
        <v>10.36375</v>
      </c>
      <c r="BD61" s="12">
        <f>IF('Données projet'!$A$88&gt;35,BD60+BC61-BL60,IF(A61&lt;'Données projet'!$A$88,$BA$205^A61,IF(A61='Données projet'!$A$88,'Données projet'!$B$88,BD60+BC61-BL60)))</f>
        <v>253.70000000000027</v>
      </c>
      <c r="BE61" s="13">
        <f>BD61*VLOOKUP('Données projet'!$B$11,Paramètres!$A$1:$I$89,3,0)*VLOOKUP('Données projet'!$B$11,Paramètres!$A$1:$I$89,5,0)</f>
        <v>229.54776000000027</v>
      </c>
      <c r="BF61" s="13">
        <f t="shared" si="37"/>
        <v>56.184885471425758</v>
      </c>
      <c r="BG61" s="20">
        <f t="shared" si="7"/>
        <v>497.651024196067</v>
      </c>
      <c r="BH61" s="59">
        <f t="shared" si="8"/>
        <v>757.76413479475536</v>
      </c>
      <c r="BI61" s="59">
        <f ca="1">AVERAGE(OFFSET($BH$3,0,0,'Données projet'!$E$11+1,1))-AVERAGE(OFFSET($H$3,0,0,'Données projet'!$E$11+1,1))</f>
        <v>681.47578137804555</v>
      </c>
      <c r="BJ61" s="59">
        <f t="shared" si="38"/>
        <v>300.88511065995885</v>
      </c>
      <c r="BK61" s="15">
        <f>IF(ISNA(VLOOKUP(A61,'Données projet'!$A$87:$I$107,3,0)),0,VLOOKUP(A61,'Données projet'!$A$87:$I$107,3,0))</f>
        <v>3</v>
      </c>
      <c r="BL61" s="15">
        <f>IF(ISNA(VLOOKUP(A61,'Données projet'!$A$87:$I$107,4,0)),0,VLOOKUP(A61,'Données projet'!$A$87:$I$107,4,0))</f>
        <v>47.789999999999992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0.34400000000000003</v>
      </c>
      <c r="BO61" s="16">
        <f>IF(ISNA(VLOOKUP(A61,'Données projet'!$A$87:$I$107,7,0)),0%,VLOOKUP(A61,'Données projet'!$A$87:$I$107,7,0))</f>
        <v>0.2</v>
      </c>
      <c r="BP61" s="21">
        <f>EXP(-LN(2)/35)*BP60+(1-EXP(-LN(2)/35))/(LN(2)/35)*BL61*BM61*VLOOKUP('Données projet'!$B$11,Paramètres!$A$1:$I$89,3,0)*0.475*44/12</f>
        <v>0</v>
      </c>
      <c r="BQ61" s="21">
        <f>EXP(-LN(2)/25)*BQ60+(1-EXP(-LN(2)/25))/(LN(2)/25)*Calculateur!BL61*Calculateur!BN61*VLOOKUP('Données projet'!$B$11,Paramètres!$A$1:$I$89,3,0)*0.475*44/12</f>
        <v>36.474357978367649</v>
      </c>
      <c r="BR61" s="21">
        <f>EXP(-LN(2)/2)*BR60+(1-EXP(-LN(2)/2))/(LN(2)/2)*BL61*BO61*VLOOKUP('Données projet'!$B$11,Paramètres!$A$1:$I$89,3,0)*0.475*44/12</f>
        <v>8.589981127461952</v>
      </c>
      <c r="BS61" s="22">
        <f t="shared" si="9"/>
        <v>45.064339105829603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5.3846153846153868</v>
      </c>
      <c r="BY61" s="12">
        <f>IF('Données projet'!$A$114&gt;35,BY60+BX61-CG60,IF(A61&lt;'Données projet'!$A$114,$BV$205^A61,IF(A61='Données projet'!$A$114,'Données projet'!$B$114,BY60+BX61-CG60)))</f>
        <v>218.71794871794873</v>
      </c>
      <c r="BZ61" s="13">
        <f>BY61*VLOOKUP('Données projet'!$B$12,Paramètres!$A$1:$I$89,3,0)*VLOOKUP('Données projet'!$B$12,Paramètres!$A$1:$I$89,5,0)</f>
        <v>146.71600000000001</v>
      </c>
      <c r="CA61" s="13">
        <f t="shared" si="39"/>
        <v>37.831326067731702</v>
      </c>
      <c r="CB61" s="20">
        <f t="shared" si="10"/>
        <v>321.41992623463273</v>
      </c>
      <c r="CC61" s="59">
        <f t="shared" si="11"/>
        <v>581.53303683332115</v>
      </c>
      <c r="CD61" s="59">
        <f ca="1">AVERAGE(OFFSET($CC$3,0,0,'Données projet'!$E$12+1,1))-AVERAGE(OFFSET($H$3,0,0,'Données projet'!$E$12+1,1))</f>
        <v>335.73816489539837</v>
      </c>
      <c r="CE61" s="59">
        <f t="shared" si="40"/>
        <v>254.09787950201044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0</v>
      </c>
      <c r="CL61" s="21">
        <f>EXP(-LN(2)/25)*CL60+(1-EXP(-LN(2)/25))/(LN(2)/25)*Calculateur!CG61*Calculateur!CI61*VLOOKUP('Données projet'!$B$12,Paramètres!$A$1:$I$89,3,0)*0.475*44/12</f>
        <v>7.867617587242357</v>
      </c>
      <c r="CM61" s="21">
        <f>EXP(-LN(2)/2)*CM60+(1-EXP(-LN(2)/2))/(LN(2)/2)*CG61*CJ61*VLOOKUP('Données projet'!$B$12,Paramètres!$A$1:$I$89,3,0)*0.475*44/12</f>
        <v>1.0547620770417419</v>
      </c>
      <c r="CN61" s="22">
        <f t="shared" si="12"/>
        <v>8.9223796642840991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13.18</v>
      </c>
      <c r="CT61" s="12">
        <f>IF('Données projet'!$A$140&gt;35,CT60+CS61-DB60,IF(A61&lt;'Données projet'!$A$140,$CQ$205^A61,IF(A61='Données projet'!$A$140,'Données projet'!$B$140,CT60+CS61-DB60)))</f>
        <v>411.38000000000011</v>
      </c>
      <c r="CU61" s="17">
        <f>CT61*VLOOKUP('Données projet'!$B$13,Paramètres!$A$1:$I$89,3,0)*VLOOKUP('Données projet'!$B$13,Paramètres!$A$1:$I$89,5,0)</f>
        <v>246.0052400000001</v>
      </c>
      <c r="CV61" s="13">
        <f t="shared" si="41"/>
        <v>59.729722829762714</v>
      </c>
      <c r="CW61" s="20">
        <f t="shared" si="13"/>
        <v>532.48839359517024</v>
      </c>
      <c r="CX61" s="59">
        <f t="shared" si="14"/>
        <v>792.60150419385866</v>
      </c>
      <c r="CY61" s="59">
        <f ca="1">AVERAGE(OFFSET($CX$3,0,0,'Données projet'!$E$13+1,1))-AVERAGE(OFFSET($H$3,0,0,'Données projet'!$E$13+1,1))</f>
        <v>318.50474972254085</v>
      </c>
      <c r="CZ61" s="59">
        <f t="shared" si="42"/>
        <v>326.45858332753562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46.933475501651934</v>
      </c>
      <c r="DG61" s="21">
        <f>EXP(-LN(2)/25)*DG60+(1-EXP(-LN(2)/25))/(LN(2)/25)*Calculateur!DB61*Calculateur!DD61*VLOOKUP('Données projet'!$B$13,Paramètres!$A$1:$I$89,3,0)*0.475*44/12</f>
        <v>18.297847435616866</v>
      </c>
      <c r="DH61" s="21">
        <f>EXP(-LN(2)/2)*DH60+(1-EXP(-LN(2)/2))/(LN(2)/2)*DB61*DE61*VLOOKUP('Données projet'!$B$13,Paramètres!$A$1:$I$89,3,0)*0.475*44/12</f>
        <v>1.3697765188256581</v>
      </c>
      <c r="DI61" s="22">
        <f t="shared" si="15"/>
        <v>66.60109945609446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3">
        <f>'Scénario référence'!$B$16*5+'Scénario référence'!$B$17*0+'Scénario référence'!$B$18*5</f>
        <v>5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67">
        <f t="shared" si="1"/>
        <v>183.33333333333334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5.6843418860808015E-14</v>
      </c>
      <c r="O62" s="13">
        <f>N62*VLOOKUP('Données projet'!$B$9,Paramètres!$A$1:$I$89,3,0)*VLOOKUP('Données projet'!$B$9,Paramètres!$A$1:$I$89,5,0)</f>
        <v>5.1431925385259088E-14</v>
      </c>
      <c r="P62" s="13">
        <f t="shared" si="33"/>
        <v>8.3482866290946129E-13</v>
      </c>
      <c r="Q62" s="20">
        <f t="shared" si="53"/>
        <v>1.5435705246133045E-12</v>
      </c>
      <c r="R62" s="59">
        <f t="shared" si="0"/>
        <v>260.68940719384432</v>
      </c>
      <c r="S62" s="59">
        <f ca="1">AVERAGE(OFFSET($R$3,0,0,'Données projet'!$E$9+1,1))-AVERAGE(OFFSET($H$3,0,0,'Données projet'!$E$9+1,1))</f>
        <v>214.60547318405733</v>
      </c>
      <c r="T62" s="59">
        <f t="shared" si="34"/>
        <v>306.35874106546646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11.829610156004502</v>
      </c>
      <c r="AA62" s="21">
        <f>EXP(-LN(2)/25)*AA61+(1-EXP(-LN(2)/25))/(LN(2)/25)*Calculateur!V62*Calculateur!X62*VLOOKUP('Données projet'!$B$9,Paramètres!$A$1:$I$89,3,0)*0.475*44/12</f>
        <v>8.9651215395229293</v>
      </c>
      <c r="AB62" s="21">
        <f>EXP(-LN(2)/2)*AB61+(1-EXP(-LN(2)/2))/(LN(2)/2)*V62*Y62*VLOOKUP('Données projet'!$B$9,Paramètres!$A$1:$I$89,3,0)*0.475*44/12</f>
        <v>0.10773897956150287</v>
      </c>
      <c r="AC62" s="22">
        <f t="shared" si="3"/>
        <v>20.902470675088935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10.107499999999998</v>
      </c>
      <c r="AI62" s="13">
        <f>IF('Données projet'!$A$62&gt;35,AI61+AH62-AQ61,IF(A62&lt;'Données projet'!$A$62,$AF$205^A62,IF(A62='Données projet'!$A$62,'Données projet'!$B$62,AI61+AH62-AQ61)))</f>
        <v>216.0175000000003</v>
      </c>
      <c r="AJ62" s="13">
        <f>AI62*VLOOKUP('Données projet'!$B$10,Paramètres!$A$1:$I$89,3,0)*VLOOKUP('Données projet'!$B$10,Paramètres!$A$1:$I$89,5,0)</f>
        <v>219.0417450000003</v>
      </c>
      <c r="AK62" s="13">
        <f t="shared" si="35"/>
        <v>53.906560847753887</v>
      </c>
      <c r="AL62" s="20">
        <f t="shared" si="4"/>
        <v>475.38496601817178</v>
      </c>
      <c r="AM62" s="59">
        <f t="shared" si="5"/>
        <v>736.07437321201451</v>
      </c>
      <c r="AN62" s="59">
        <f ca="1">AVERAGE(OFFSET($AM$3,0,0,'Données projet'!$E$10+1,1))-AVERAGE(OFFSET($H$3,0,0,'Données projet'!$E$10+1,1))</f>
        <v>752.45542076695506</v>
      </c>
      <c r="AO62" s="59">
        <f t="shared" si="36"/>
        <v>329.70629768420724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0</v>
      </c>
      <c r="AV62" s="21">
        <f>EXP(-LN(2)/25)*AV61+(1-EXP(-LN(2)/25))/(LN(2)/25)*Calculateur!AQ62*Calculateur!AS62*VLOOKUP('Données projet'!$B$10,Paramètres!$A$1:$I$89,3,0)*0.475*44/12</f>
        <v>39.758667382543003</v>
      </c>
      <c r="AW62" s="21">
        <f>EXP(-LN(2)/2)*AW61+(1-EXP(-LN(2)/2))/(LN(2)/2)*AQ62*AT62*VLOOKUP('Données projet'!$B$10,Paramètres!$A$1:$I$89,3,0)*0.475*44/12</f>
        <v>6.8071069630522869</v>
      </c>
      <c r="AX62" s="21">
        <f t="shared" si="6"/>
        <v>46.565774345595287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10.107499999999998</v>
      </c>
      <c r="BD62" s="12">
        <f>IF('Données projet'!$A$88&gt;35,BD61+BC62-BL61,IF(A62&lt;'Données projet'!$A$88,$BA$205^A62,IF(A62='Données projet'!$A$88,'Données projet'!$B$88,BD61+BC62-BL61)))</f>
        <v>216.0175000000003</v>
      </c>
      <c r="BE62" s="13">
        <f>BD62*VLOOKUP('Données projet'!$B$11,Paramètres!$A$1:$I$89,3,0)*VLOOKUP('Données projet'!$B$11,Paramètres!$A$1:$I$89,5,0)</f>
        <v>195.45263400000027</v>
      </c>
      <c r="BF62" s="13">
        <f t="shared" si="37"/>
        <v>48.743460533300031</v>
      </c>
      <c r="BG62" s="20">
        <f t="shared" si="7"/>
        <v>425.3081979788314</v>
      </c>
      <c r="BH62" s="59">
        <f t="shared" si="8"/>
        <v>685.99760517267418</v>
      </c>
      <c r="BI62" s="59">
        <f ca="1">AVERAGE(OFFSET($BH$3,0,0,'Données projet'!$E$11+1,1))-AVERAGE(OFFSET($H$3,0,0,'Données projet'!$E$11+1,1))</f>
        <v>681.47578137804555</v>
      </c>
      <c r="BJ62" s="59">
        <f t="shared" si="38"/>
        <v>300.88511065995885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0</v>
      </c>
      <c r="BQ62" s="21">
        <f>EXP(-LN(2)/25)*BQ61+(1-EXP(-LN(2)/25))/(LN(2)/25)*Calculateur!BL62*Calculateur!BN62*VLOOKUP('Données projet'!$B$11,Paramètres!$A$1:$I$89,3,0)*0.475*44/12</f>
        <v>35.476964741346066</v>
      </c>
      <c r="BR62" s="21">
        <f>EXP(-LN(2)/2)*BR61+(1-EXP(-LN(2)/2))/(LN(2)/2)*BL62*BO62*VLOOKUP('Données projet'!$B$11,Paramètres!$A$1:$I$89,3,0)*0.475*44/12</f>
        <v>6.0740339054928114</v>
      </c>
      <c r="BS62" s="22">
        <f t="shared" si="9"/>
        <v>41.550998646838877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5.3846153846153868</v>
      </c>
      <c r="BY62" s="12">
        <f>IF('Données projet'!$A$114&gt;35,BY61+BX62-CG61,IF(A62&lt;'Données projet'!$A$114,$BV$205^A62,IF(A62='Données projet'!$A$114,'Données projet'!$B$114,BY61+BX62-CG61)))</f>
        <v>224.10256410256412</v>
      </c>
      <c r="BZ62" s="13">
        <f>BY62*VLOOKUP('Données projet'!$B$12,Paramètres!$A$1:$I$89,3,0)*VLOOKUP('Données projet'!$B$12,Paramètres!$A$1:$I$89,5,0)</f>
        <v>150.328</v>
      </c>
      <c r="CA62" s="13">
        <f t="shared" si="39"/>
        <v>38.653115319393493</v>
      </c>
      <c r="CB62" s="20">
        <f t="shared" si="10"/>
        <v>329.14210918127696</v>
      </c>
      <c r="CC62" s="59">
        <f t="shared" si="11"/>
        <v>589.83151637511969</v>
      </c>
      <c r="CD62" s="59">
        <f ca="1">AVERAGE(OFFSET($CC$3,0,0,'Données projet'!$E$12+1,1))-AVERAGE(OFFSET($H$3,0,0,'Données projet'!$E$12+1,1))</f>
        <v>335.73816489539837</v>
      </c>
      <c r="CE62" s="59">
        <f t="shared" si="40"/>
        <v>254.09787950201044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0</v>
      </c>
      <c r="CL62" s="21">
        <f>EXP(-LN(2)/25)*CL61+(1-EXP(-LN(2)/25))/(LN(2)/25)*Calculateur!CG62*Calculateur!CI62*VLOOKUP('Données projet'!$B$12,Paramètres!$A$1:$I$89,3,0)*0.475*44/12</f>
        <v>7.6524771705791874</v>
      </c>
      <c r="CM62" s="21">
        <f>EXP(-LN(2)/2)*CM61+(1-EXP(-LN(2)/2))/(LN(2)/2)*CG62*CJ62*VLOOKUP('Données projet'!$B$12,Paramètres!$A$1:$I$89,3,0)*0.475*44/12</f>
        <v>0.74582941721462337</v>
      </c>
      <c r="CN62" s="22">
        <f t="shared" si="12"/>
        <v>8.3983065877938117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13.18</v>
      </c>
      <c r="CT62" s="12">
        <f>IF('Données projet'!$A$140&gt;35,CT61+CS62-DB61,IF(A62&lt;'Données projet'!$A$140,$CQ$205^A62,IF(A62='Données projet'!$A$140,'Données projet'!$B$140,CT61+CS62-DB61)))</f>
        <v>424.56000000000012</v>
      </c>
      <c r="CU62" s="17">
        <f>CT62*VLOOKUP('Données projet'!$B$13,Paramètres!$A$1:$I$89,3,0)*VLOOKUP('Données projet'!$B$13,Paramètres!$A$1:$I$89,5,0)</f>
        <v>253.8868800000001</v>
      </c>
      <c r="CV62" s="13">
        <f t="shared" si="41"/>
        <v>61.417508891277024</v>
      </c>
      <c r="CW62" s="20">
        <f t="shared" si="13"/>
        <v>549.15514398564108</v>
      </c>
      <c r="CX62" s="59">
        <f t="shared" si="14"/>
        <v>809.84455117948391</v>
      </c>
      <c r="CY62" s="59">
        <f ca="1">AVERAGE(OFFSET($CX$3,0,0,'Données projet'!$E$13+1,1))-AVERAGE(OFFSET($H$3,0,0,'Données projet'!$E$13+1,1))</f>
        <v>318.50474972254085</v>
      </c>
      <c r="CZ62" s="59">
        <f t="shared" si="42"/>
        <v>326.45858332753562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46.013138673657956</v>
      </c>
      <c r="DG62" s="21">
        <f>EXP(-LN(2)/25)*DG61+(1-EXP(-LN(2)/25))/(LN(2)/25)*Calculateur!DB62*Calculateur!DD62*VLOOKUP('Données projet'!$B$13,Paramètres!$A$1:$I$89,3,0)*0.475*44/12</f>
        <v>17.797491835247946</v>
      </c>
      <c r="DH62" s="21">
        <f>EXP(-LN(2)/2)*DH61+(1-EXP(-LN(2)/2))/(LN(2)/2)*DB62*DE62*VLOOKUP('Données projet'!$B$13,Paramètres!$A$1:$I$89,3,0)*0.475*44/12</f>
        <v>0.96857826517172552</v>
      </c>
      <c r="DI62" s="22">
        <f t="shared" si="15"/>
        <v>64.779208774077631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3">
        <f>'Scénario référence'!$B$16*5+'Scénario référence'!$B$17*0+'Scénario référence'!$B$18*5</f>
        <v>5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67">
        <f t="shared" si="1"/>
        <v>183.33333333333334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5.6843418860808015E-14</v>
      </c>
      <c r="O63" s="13">
        <f>N63*VLOOKUP('Données projet'!$B$9,Paramètres!$A$1:$I$89,3,0)*VLOOKUP('Données projet'!$B$9,Paramètres!$A$1:$I$89,5,0)</f>
        <v>5.1431925385259088E-14</v>
      </c>
      <c r="P63" s="13">
        <f t="shared" si="33"/>
        <v>8.3482866290946129E-13</v>
      </c>
      <c r="Q63" s="20">
        <f t="shared" si="53"/>
        <v>1.5435705246133045E-12</v>
      </c>
      <c r="R63" s="59">
        <f t="shared" si="0"/>
        <v>261.25570633147902</v>
      </c>
      <c r="S63" s="59">
        <f ca="1">AVERAGE(OFFSET($R$3,0,0,'Données projet'!$E$9+1,1))-AVERAGE(OFFSET($H$3,0,0,'Données projet'!$E$9+1,1))</f>
        <v>214.60547318405733</v>
      </c>
      <c r="T63" s="59">
        <f t="shared" si="34"/>
        <v>306.35874106546646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11.597638716194993</v>
      </c>
      <c r="AA63" s="21">
        <f>EXP(-LN(2)/25)*AA62+(1-EXP(-LN(2)/25))/(LN(2)/25)*Calculateur!V63*Calculateur!X63*VLOOKUP('Données projet'!$B$9,Paramètres!$A$1:$I$89,3,0)*0.475*44/12</f>
        <v>8.7199698195694229</v>
      </c>
      <c r="AB63" s="21">
        <f>EXP(-LN(2)/2)*AB62+(1-EXP(-LN(2)/2))/(LN(2)/2)*V63*Y63*VLOOKUP('Données projet'!$B$9,Paramètres!$A$1:$I$89,3,0)*0.475*44/12</f>
        <v>7.6182963046057525E-2</v>
      </c>
      <c r="AC63" s="22">
        <f t="shared" si="3"/>
        <v>20.393791498810472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10.107499999999998</v>
      </c>
      <c r="AI63" s="13">
        <f>IF('Données projet'!$A$62&gt;35,AI62+AH63-AQ62,IF(A63&lt;'Données projet'!$A$62,$AF$205^A63,IF(A63='Données projet'!$A$62,'Données projet'!$B$62,AI62+AH63-AQ62)))</f>
        <v>226.12500000000028</v>
      </c>
      <c r="AJ63" s="13">
        <f>AI63*VLOOKUP('Données projet'!$B$10,Paramètres!$A$1:$I$89,3,0)*VLOOKUP('Données projet'!$B$10,Paramètres!$A$1:$I$89,5,0)</f>
        <v>229.29075000000029</v>
      </c>
      <c r="AK63" s="13">
        <f t="shared" si="35"/>
        <v>56.129297544192028</v>
      </c>
      <c r="AL63" s="20">
        <f t="shared" si="4"/>
        <v>497.1065828061349</v>
      </c>
      <c r="AM63" s="59">
        <f t="shared" si="5"/>
        <v>758.36228913761238</v>
      </c>
      <c r="AN63" s="59">
        <f ca="1">AVERAGE(OFFSET($AM$3,0,0,'Données projet'!$E$10+1,1))-AVERAGE(OFFSET($H$3,0,0,'Données projet'!$E$10+1,1))</f>
        <v>752.45542076695506</v>
      </c>
      <c r="AO63" s="59">
        <f t="shared" si="36"/>
        <v>329.70629768420724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0</v>
      </c>
      <c r="AV63" s="21">
        <f>EXP(-LN(2)/25)*AV62+(1-EXP(-LN(2)/25))/(LN(2)/25)*Calculateur!AQ63*Calculateur!AS63*VLOOKUP('Données projet'!$B$10,Paramètres!$A$1:$I$89,3,0)*0.475*44/12</f>
        <v>38.671464532149919</v>
      </c>
      <c r="AW63" s="21">
        <f>EXP(-LN(2)/2)*AW62+(1-EXP(-LN(2)/2))/(LN(2)/2)*AQ63*AT63*VLOOKUP('Données projet'!$B$10,Paramètres!$A$1:$I$89,3,0)*0.475*44/12</f>
        <v>4.8133514938364375</v>
      </c>
      <c r="AX63" s="21">
        <f t="shared" si="6"/>
        <v>43.484816025986355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10.107499999999998</v>
      </c>
      <c r="BD63" s="12">
        <f>IF('Données projet'!$A$88&gt;35,BD62+BC63-BL62,IF(A63&lt;'Données projet'!$A$88,$BA$205^A63,IF(A63='Données projet'!$A$88,'Données projet'!$B$88,BD62+BC63-BL62)))</f>
        <v>226.12500000000028</v>
      </c>
      <c r="BE63" s="13">
        <f>BD63*VLOOKUP('Données projet'!$B$11,Paramètres!$A$1:$I$89,3,0)*VLOOKUP('Données projet'!$B$11,Paramètres!$A$1:$I$89,5,0)</f>
        <v>204.59790000000024</v>
      </c>
      <c r="BF63" s="13">
        <f t="shared" si="37"/>
        <v>50.753306398717811</v>
      </c>
      <c r="BG63" s="20">
        <f t="shared" si="7"/>
        <v>444.73668447776726</v>
      </c>
      <c r="BH63" s="59">
        <f t="shared" si="8"/>
        <v>705.99239080924474</v>
      </c>
      <c r="BI63" s="59">
        <f ca="1">AVERAGE(OFFSET($BH$3,0,0,'Données projet'!$E$11+1,1))-AVERAGE(OFFSET($H$3,0,0,'Données projet'!$E$11+1,1))</f>
        <v>681.47578137804555</v>
      </c>
      <c r="BJ63" s="59">
        <f t="shared" si="38"/>
        <v>300.88511065995885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0</v>
      </c>
      <c r="BQ63" s="21">
        <f>EXP(-LN(2)/25)*BQ62+(1-EXP(-LN(2)/25))/(LN(2)/25)*Calculateur!BL63*Calculateur!BN63*VLOOKUP('Données projet'!$B$11,Paramètres!$A$1:$I$89,3,0)*0.475*44/12</f>
        <v>34.506845274841467</v>
      </c>
      <c r="BR63" s="21">
        <f>EXP(-LN(2)/2)*BR62+(1-EXP(-LN(2)/2))/(LN(2)/2)*BL63*BO63*VLOOKUP('Données projet'!$B$11,Paramètres!$A$1:$I$89,3,0)*0.475*44/12</f>
        <v>4.294990563730976</v>
      </c>
      <c r="BS63" s="22">
        <f t="shared" si="9"/>
        <v>38.801835838572444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229.48717948717947</v>
      </c>
      <c r="BW63" s="12">
        <f>VLOOKUP(A63,'Données projet'!$A$113:$I$133,9,0)</f>
        <v>5.3846153846153868</v>
      </c>
      <c r="BX63" s="12">
        <f t="array" ref="BX63">INDEX(BW:BW,MIN(IF(ISNUMBER(BW63:BW259),ROW(BW63:BW259),"")))</f>
        <v>5.3846153846153868</v>
      </c>
      <c r="BY63" s="12">
        <f>IF('Données projet'!$A$114&gt;35,BY62+BX63-CG62,IF(A63&lt;'Données projet'!$A$114,$BV$205^A63,IF(A63='Données projet'!$A$114,'Données projet'!$B$114,BY62+BX63-CG62)))</f>
        <v>229.4871794871795</v>
      </c>
      <c r="BZ63" s="13">
        <f>BY63*VLOOKUP('Données projet'!$B$12,Paramètres!$A$1:$I$89,3,0)*VLOOKUP('Données projet'!$B$12,Paramètres!$A$1:$I$89,5,0)</f>
        <v>153.94</v>
      </c>
      <c r="CA63" s="13">
        <f t="shared" si="39"/>
        <v>39.472609171514129</v>
      </c>
      <c r="CB63" s="20">
        <f t="shared" si="10"/>
        <v>336.86029430705378</v>
      </c>
      <c r="CC63" s="59">
        <f t="shared" si="11"/>
        <v>598.1160006385312</v>
      </c>
      <c r="CD63" s="59">
        <f ca="1">AVERAGE(OFFSET($CC$3,0,0,'Données projet'!$E$12+1,1))-AVERAGE(OFFSET($H$3,0,0,'Données projet'!$E$12+1,1))</f>
        <v>335.73816489539837</v>
      </c>
      <c r="CE63" s="59">
        <f t="shared" si="40"/>
        <v>254.09787950201044</v>
      </c>
      <c r="CF63" s="15">
        <f>IF(ISNA(VLOOKUP(A63,'Données projet'!$A$113:$I$133,3,0)),0,VLOOKUP(A63,'Données projet'!$A$113:$I$133,3,0))</f>
        <v>10</v>
      </c>
      <c r="CG63" s="15">
        <f>IF(ISNA(VLOOKUP(A63,'Données projet'!$A$113:$I$133,4,0)),0,VLOOKUP(A63,'Données projet'!$A$113:$I$133,4,0))</f>
        <v>14.743589743589743</v>
      </c>
      <c r="CH63" s="16">
        <f>IF(ISNA(VLOOKUP(A63,'Données projet'!$A$113:$I$133,5,0)),0%,VLOOKUP(A63,'Données projet'!$A$113:$I$133,5,0)*VLOOKUP('Données projet'!$B$12,Paramètres!$A$1:$I$89,7,0))</f>
        <v>0.13250000000000001</v>
      </c>
      <c r="CI63" s="16">
        <f>IF(ISNA(VLOOKUP(A63,'Données projet'!$A$113:$I$133,6,0)),0%,VLOOKUP(A63,'Données projet'!$A$113:$I$133,6,0)*VLOOKUP('Données projet'!$B$12,Paramètres!$A$1:$I$89,7,0))</f>
        <v>0.13250000000000001</v>
      </c>
      <c r="CJ63" s="16">
        <f>IF(ISNA(VLOOKUP(A63,'Données projet'!$A$113:$I$133,7,0)),0%,VLOOKUP(A63,'Données projet'!$A$113:$I$133,7,0))</f>
        <v>0.25</v>
      </c>
      <c r="CK63" s="21">
        <f>EXP(-LN(2)/35)*CK62+(1-EXP(-LN(2)/35))/(LN(2)/35)*CG63*CH63*VLOOKUP('Données projet'!$B$12,Paramètres!$A$1:$I$89,3,0)*0.475*44/12</f>
        <v>1.4486360220994658</v>
      </c>
      <c r="CL63" s="21">
        <f>EXP(-LN(2)/25)*CL62+(1-EXP(-LN(2)/25))/(LN(2)/25)*Calculateur!CG63*Calculateur!CI63*VLOOKUP('Données projet'!$B$12,Paramètres!$A$1:$I$89,3,0)*0.475*44/12</f>
        <v>8.8861519700302765</v>
      </c>
      <c r="CM63" s="21">
        <f>EXP(-LN(2)/2)*CM62+(1-EXP(-LN(2)/2))/(LN(2)/2)*CG63*CJ63*VLOOKUP('Données projet'!$B$12,Paramètres!$A$1:$I$89,3,0)*0.475*44/12</f>
        <v>2.860251334882693</v>
      </c>
      <c r="CN63" s="22">
        <f t="shared" si="12"/>
        <v>13.195039327012434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437.74</v>
      </c>
      <c r="CR63" s="12">
        <f>VLOOKUP(A63,'Données projet'!$A$139:$I$159,9,0)</f>
        <v>13.18</v>
      </c>
      <c r="CS63" s="12">
        <f t="array" ref="CS63">INDEX(CR:CR,MIN(IF(ISNUMBER(CR63:CR259),ROW(CR63:CR259),"")))</f>
        <v>13.18</v>
      </c>
      <c r="CT63" s="12">
        <f>IF('Données projet'!$A$140&gt;35,CT62+CS63-DB62,IF(A63&lt;'Données projet'!$A$140,$CQ$205^A63,IF(A63='Données projet'!$A$140,'Données projet'!$B$140,CT62+CS63-DB62)))</f>
        <v>437.74000000000012</v>
      </c>
      <c r="CU63" s="17">
        <f>CT63*VLOOKUP('Données projet'!$B$13,Paramètres!$A$1:$I$89,3,0)*VLOOKUP('Données projet'!$B$13,Paramètres!$A$1:$I$89,5,0)</f>
        <v>261.76852000000008</v>
      </c>
      <c r="CV63" s="13">
        <f t="shared" si="41"/>
        <v>63.099206092755566</v>
      </c>
      <c r="CW63" s="20">
        <f t="shared" si="13"/>
        <v>565.81128961154946</v>
      </c>
      <c r="CX63" s="59">
        <f t="shared" si="14"/>
        <v>827.066995943027</v>
      </c>
      <c r="CY63" s="59">
        <f ca="1">AVERAGE(OFFSET($CX$3,0,0,'Données projet'!$E$13+1,1))-AVERAGE(OFFSET($H$3,0,0,'Données projet'!$E$13+1,1))</f>
        <v>318.50474972254085</v>
      </c>
      <c r="CZ63" s="59">
        <f t="shared" si="42"/>
        <v>326.45858332753562</v>
      </c>
      <c r="DA63" s="15">
        <f>IF(ISNA(VLOOKUP(A63,'Données projet'!$A$139:$I$159,3,0)),0,VLOOKUP(A63,'Données projet'!$A$139:$I$159,3,0))</f>
        <v>7</v>
      </c>
      <c r="DB63" s="15">
        <f>IF(ISNA(VLOOKUP(A63,'Données projet'!$A$139:$I$159,4,0)),0,VLOOKUP(A63,'Données projet'!$A$139:$I$159,4,0))</f>
        <v>437.74</v>
      </c>
      <c r="DC63" s="16">
        <f>IF(ISNA(VLOOKUP(A63,'Données projet'!$A$139:$I$159,5,0)),0%,VLOOKUP(A63,'Données projet'!$A$139:$I$159,5,0)*VLOOKUP('Données projet'!$B$13,Paramètres!$A$1:$I$89,7,0))</f>
        <v>0.27</v>
      </c>
      <c r="DD63" s="16">
        <f>IF(ISNA(VLOOKUP(A63,'Données projet'!$A$139:$I$159,6,0)),0%,VLOOKUP(A63,'Données projet'!$A$139:$I$159,6,0)*VLOOKUP('Données projet'!$B$13,Paramètres!$A$1:$I$89,7,0))</f>
        <v>9.0000000000000011E-2</v>
      </c>
      <c r="DE63" s="16">
        <f>IF(ISNA(VLOOKUP(A63,'Données projet'!$A$139:$I$159,7,0)),0%,VLOOKUP(A63,'Données projet'!$A$139:$I$159,7,0))</f>
        <v>0.2</v>
      </c>
      <c r="DF63" s="21">
        <f>EXP(-LN(2)/35)*DF62+(1-EXP(-LN(2)/35))/(LN(2)/35)*DB63*DC63*VLOOKUP('Données projet'!$B$13,Paramètres!$A$1:$I$89,3,0)*0.475*44/12</f>
        <v>138.86910891946479</v>
      </c>
      <c r="DG63" s="21">
        <f>EXP(-LN(2)/25)*DG62+(1-EXP(-LN(2)/25))/(LN(2)/25)*Calculateur!DB63*Calculateur!DD63*VLOOKUP('Données projet'!$B$13,Paramètres!$A$1:$I$89,3,0)*0.475*44/12</f>
        <v>48.440517763852199</v>
      </c>
      <c r="DH63" s="21">
        <f>EXP(-LN(2)/2)*DH62+(1-EXP(-LN(2)/2))/(LN(2)/2)*DB63*DE63*VLOOKUP('Données projet'!$B$13,Paramètres!$A$1:$I$89,3,0)*0.475*44/12</f>
        <v>59.961442823353359</v>
      </c>
      <c r="DI63" s="22">
        <f t="shared" si="15"/>
        <v>247.27106950667036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3">
        <f>'Scénario référence'!$B$16*5+'Scénario référence'!$B$17*0+'Scénario référence'!$B$18*5</f>
        <v>5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67">
        <f t="shared" si="1"/>
        <v>183.33333333333334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5.6843418860808015E-14</v>
      </c>
      <c r="O64" s="13">
        <f>N64*VLOOKUP('Données projet'!$B$9,Paramètres!$A$1:$I$89,3,0)*VLOOKUP('Données projet'!$B$9,Paramètres!$A$1:$I$89,5,0)</f>
        <v>5.1431925385259088E-14</v>
      </c>
      <c r="P64" s="13">
        <f t="shared" si="33"/>
        <v>8.3482866290946129E-13</v>
      </c>
      <c r="Q64" s="20">
        <f t="shared" si="53"/>
        <v>1.5435705246133045E-12</v>
      </c>
      <c r="R64" s="59">
        <f t="shared" si="0"/>
        <v>261.81218144513088</v>
      </c>
      <c r="S64" s="59">
        <f ca="1">AVERAGE(OFFSET($R$3,0,0,'Données projet'!$E$9+1,1))-AVERAGE(OFFSET($H$3,0,0,'Données projet'!$E$9+1,1))</f>
        <v>214.60547318405733</v>
      </c>
      <c r="T64" s="59">
        <f t="shared" si="34"/>
        <v>306.35874106546646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11.370216094831541</v>
      </c>
      <c r="AA64" s="21">
        <f>EXP(-LN(2)/25)*AA63+(1-EXP(-LN(2)/25))/(LN(2)/25)*Calculateur!V64*Calculateur!X64*VLOOKUP('Données projet'!$B$9,Paramètres!$A$1:$I$89,3,0)*0.475*44/12</f>
        <v>8.4815217862900134</v>
      </c>
      <c r="AB64" s="21">
        <f>EXP(-LN(2)/2)*AB63+(1-EXP(-LN(2)/2))/(LN(2)/2)*V64*Y64*VLOOKUP('Données projet'!$B$9,Paramètres!$A$1:$I$89,3,0)*0.475*44/12</f>
        <v>5.3869489780751435E-2</v>
      </c>
      <c r="AC64" s="22">
        <f t="shared" si="3"/>
        <v>19.905607370902306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10.107499999999998</v>
      </c>
      <c r="AI64" s="13">
        <f>IF('Données projet'!$A$62&gt;35,AI63+AH64-AQ63,IF(A64&lt;'Données projet'!$A$62,$AF$205^A64,IF(A64='Données projet'!$A$62,'Données projet'!$B$62,AI63+AH64-AQ63)))</f>
        <v>236.23250000000027</v>
      </c>
      <c r="AJ64" s="13">
        <f>AI64*VLOOKUP('Données projet'!$B$10,Paramètres!$A$1:$I$89,3,0)*VLOOKUP('Données projet'!$B$10,Paramètres!$A$1:$I$89,5,0)</f>
        <v>239.5397550000003</v>
      </c>
      <c r="AK64" s="13">
        <f t="shared" si="35"/>
        <v>58.340495468530364</v>
      </c>
      <c r="AL64" s="20">
        <f t="shared" si="4"/>
        <v>518.80810289935755</v>
      </c>
      <c r="AM64" s="59">
        <f t="shared" si="5"/>
        <v>780.62028434448689</v>
      </c>
      <c r="AN64" s="59">
        <f ca="1">AVERAGE(OFFSET($AM$3,0,0,'Données projet'!$E$10+1,1))-AVERAGE(OFFSET($H$3,0,0,'Données projet'!$E$10+1,1))</f>
        <v>752.45542076695506</v>
      </c>
      <c r="AO64" s="59">
        <f t="shared" si="36"/>
        <v>329.70629768420724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0</v>
      </c>
      <c r="AV64" s="21">
        <f>EXP(-LN(2)/25)*AV63+(1-EXP(-LN(2)/25))/(LN(2)/25)*Calculateur!AQ64*Calculateur!AS64*VLOOKUP('Données projet'!$B$10,Paramètres!$A$1:$I$89,3,0)*0.475*44/12</f>
        <v>37.613991300874346</v>
      </c>
      <c r="AW64" s="21">
        <f>EXP(-LN(2)/2)*AW63+(1-EXP(-LN(2)/2))/(LN(2)/2)*AQ64*AT64*VLOOKUP('Données projet'!$B$10,Paramètres!$A$1:$I$89,3,0)*0.475*44/12</f>
        <v>3.4035534815261435</v>
      </c>
      <c r="AX64" s="21">
        <f t="shared" si="6"/>
        <v>41.017544782400492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10.107499999999998</v>
      </c>
      <c r="BD64" s="12">
        <f>IF('Données projet'!$A$88&gt;35,BD63+BC64-BL63,IF(A64&lt;'Données projet'!$A$88,$BA$205^A64,IF(A64='Données projet'!$A$88,'Données projet'!$B$88,BD63+BC64-BL63)))</f>
        <v>236.23250000000027</v>
      </c>
      <c r="BE64" s="13">
        <f>BD64*VLOOKUP('Données projet'!$B$11,Paramètres!$A$1:$I$89,3,0)*VLOOKUP('Données projet'!$B$11,Paramètres!$A$1:$I$89,5,0)</f>
        <v>213.74316600000023</v>
      </c>
      <c r="BF64" s="13">
        <f t="shared" si="37"/>
        <v>52.752718660626023</v>
      </c>
      <c r="BG64" s="20">
        <f t="shared" si="7"/>
        <v>464.14699911725734</v>
      </c>
      <c r="BH64" s="59">
        <f t="shared" si="8"/>
        <v>725.95918056238668</v>
      </c>
      <c r="BI64" s="59">
        <f ca="1">AVERAGE(OFFSET($BH$3,0,0,'Données projet'!$E$11+1,1))-AVERAGE(OFFSET($H$3,0,0,'Données projet'!$E$11+1,1))</f>
        <v>681.47578137804555</v>
      </c>
      <c r="BJ64" s="59">
        <f t="shared" si="38"/>
        <v>300.88511065995885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0</v>
      </c>
      <c r="BQ64" s="21">
        <f>EXP(-LN(2)/25)*BQ63+(1-EXP(-LN(2)/25))/(LN(2)/25)*Calculateur!BL64*Calculateur!BN64*VLOOKUP('Données projet'!$B$11,Paramètres!$A$1:$I$89,3,0)*0.475*44/12</f>
        <v>33.5632537761648</v>
      </c>
      <c r="BR64" s="21">
        <f>EXP(-LN(2)/2)*BR63+(1-EXP(-LN(2)/2))/(LN(2)/2)*BL64*BO64*VLOOKUP('Données projet'!$B$11,Paramètres!$A$1:$I$89,3,0)*0.475*44/12</f>
        <v>3.0370169527464057</v>
      </c>
      <c r="BS64" s="22">
        <f t="shared" si="9"/>
        <v>36.600270728911205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5.1282051282051331</v>
      </c>
      <c r="BY64" s="12">
        <f>IF('Données projet'!$A$114&gt;35,BY63+BX64-CG63,IF(A64&lt;'Données projet'!$A$114,$BV$205^A64,IF(A64='Données projet'!$A$114,'Données projet'!$B$114,BY63+BX64-CG63)))</f>
        <v>219.87179487179489</v>
      </c>
      <c r="BZ64" s="13">
        <f>BY64*VLOOKUP('Données projet'!$B$12,Paramètres!$A$1:$I$89,3,0)*VLOOKUP('Données projet'!$B$12,Paramètres!$A$1:$I$89,5,0)</f>
        <v>147.49</v>
      </c>
      <c r="CA64" s="13">
        <f t="shared" si="39"/>
        <v>38.007620116459833</v>
      </c>
      <c r="CB64" s="20">
        <f t="shared" si="10"/>
        <v>323.07502170283419</v>
      </c>
      <c r="CC64" s="59">
        <f t="shared" si="11"/>
        <v>584.88720314796353</v>
      </c>
      <c r="CD64" s="59">
        <f ca="1">AVERAGE(OFFSET($CC$3,0,0,'Données projet'!$E$12+1,1))-AVERAGE(OFFSET($H$3,0,0,'Données projet'!$E$12+1,1))</f>
        <v>335.73816489539837</v>
      </c>
      <c r="CE64" s="59">
        <f t="shared" si="40"/>
        <v>254.09787950201044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1.4202291532868225</v>
      </c>
      <c r="CL64" s="21">
        <f>EXP(-LN(2)/25)*CL63+(1-EXP(-LN(2)/25))/(LN(2)/25)*Calculateur!CG64*Calculateur!CI64*VLOOKUP('Données projet'!$B$12,Paramètres!$A$1:$I$89,3,0)*0.475*44/12</f>
        <v>8.6431596771073753</v>
      </c>
      <c r="CM64" s="21">
        <f>EXP(-LN(2)/2)*CM63+(1-EXP(-LN(2)/2))/(LN(2)/2)*CG64*CJ64*VLOOKUP('Données projet'!$B$12,Paramètres!$A$1:$I$89,3,0)*0.475*44/12</f>
        <v>2.0225031147934271</v>
      </c>
      <c r="CN64" s="22">
        <f t="shared" si="12"/>
        <v>12.085891945187624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1.1368683772161603E-13</v>
      </c>
      <c r="CU64" s="17">
        <f>CT64*VLOOKUP('Données projet'!$B$13,Paramètres!$A$1:$I$89,3,0)*VLOOKUP('Données projet'!$B$13,Paramètres!$A$1:$I$89,5,0)</f>
        <v>6.7984728957526396E-14</v>
      </c>
      <c r="CV64" s="13">
        <f t="shared" si="41"/>
        <v>1.0682447123141398E-12</v>
      </c>
      <c r="CW64" s="20">
        <f t="shared" si="13"/>
        <v>1.978932943548152E-12</v>
      </c>
      <c r="CX64" s="59">
        <f t="shared" si="14"/>
        <v>261.81218144513133</v>
      </c>
      <c r="CY64" s="59">
        <f ca="1">AVERAGE(OFFSET($CX$3,0,0,'Données projet'!$E$13+1,1))-AVERAGE(OFFSET($H$3,0,0,'Données projet'!$E$13+1,1))</f>
        <v>318.50474972254085</v>
      </c>
      <c r="CZ64" s="59">
        <f t="shared" si="42"/>
        <v>326.45858332753562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136.14597039534692</v>
      </c>
      <c r="DG64" s="21">
        <f>EXP(-LN(2)/25)*DG63+(1-EXP(-LN(2)/25))/(LN(2)/25)*Calculateur!DB64*Calculateur!DD64*VLOOKUP('Données projet'!$B$13,Paramètres!$A$1:$I$89,3,0)*0.475*44/12</f>
        <v>47.115909258223546</v>
      </c>
      <c r="DH64" s="21">
        <f>EXP(-LN(2)/2)*DH63+(1-EXP(-LN(2)/2))/(LN(2)/2)*DB64*DE64*VLOOKUP('Données projet'!$B$13,Paramètres!$A$1:$I$89,3,0)*0.475*44/12</f>
        <v>42.399142830122607</v>
      </c>
      <c r="DI64" s="22">
        <f t="shared" si="15"/>
        <v>225.66102248369307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3">
        <f>'Scénario référence'!$B$16*5+'Scénario référence'!$B$17*0+'Scénario référence'!$B$18*5</f>
        <v>5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67">
        <f t="shared" si="1"/>
        <v>183.33333333333334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5.6843418860808015E-14</v>
      </c>
      <c r="O65" s="13">
        <f>N65*VLOOKUP('Données projet'!$B$9,Paramètres!$A$1:$I$89,3,0)*VLOOKUP('Données projet'!$B$9,Paramètres!$A$1:$I$89,5,0)</f>
        <v>5.1431925385259088E-14</v>
      </c>
      <c r="P65" s="13">
        <f t="shared" si="33"/>
        <v>8.3482866290946129E-13</v>
      </c>
      <c r="Q65" s="20">
        <f t="shared" si="53"/>
        <v>1.5435705246133045E-12</v>
      </c>
      <c r="R65" s="59">
        <f t="shared" si="0"/>
        <v>262.35900295965286</v>
      </c>
      <c r="S65" s="59">
        <f ca="1">AVERAGE(OFFSET($R$3,0,0,'Données projet'!$E$9+1,1))-AVERAGE(OFFSET($H$3,0,0,'Données projet'!$E$9+1,1))</f>
        <v>214.60547318405733</v>
      </c>
      <c r="T65" s="59">
        <f t="shared" si="34"/>
        <v>306.35874106546646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11.147253092358923</v>
      </c>
      <c r="AA65" s="21">
        <f>EXP(-LN(2)/25)*AA64+(1-EXP(-LN(2)/25))/(LN(2)/25)*Calculateur!V65*Calculateur!X65*VLOOKUP('Données projet'!$B$9,Paramètres!$A$1:$I$89,3,0)*0.475*44/12</f>
        <v>8.2495941270200674</v>
      </c>
      <c r="AB65" s="21">
        <f>EXP(-LN(2)/2)*AB64+(1-EXP(-LN(2)/2))/(LN(2)/2)*V65*Y65*VLOOKUP('Données projet'!$B$9,Paramètres!$A$1:$I$89,3,0)*0.475*44/12</f>
        <v>3.8091481523028763E-2</v>
      </c>
      <c r="AC65" s="22">
        <f t="shared" si="3"/>
        <v>19.43493870090202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10.107499999999998</v>
      </c>
      <c r="AI65" s="13">
        <f>IF('Données projet'!$A$62&gt;35,AI64+AH65-AQ64,IF(A65&lt;'Données projet'!$A$62,$AF$205^A65,IF(A65='Données projet'!$A$62,'Données projet'!$B$62,AI64+AH65-AQ64)))</f>
        <v>246.34000000000026</v>
      </c>
      <c r="AJ65" s="13">
        <f>AI65*VLOOKUP('Données projet'!$B$10,Paramètres!$A$1:$I$89,3,0)*VLOOKUP('Données projet'!$B$10,Paramètres!$A$1:$I$89,5,0)</f>
        <v>249.78876000000028</v>
      </c>
      <c r="AK65" s="13">
        <f t="shared" si="35"/>
        <v>60.540704760493632</v>
      </c>
      <c r="AL65" s="20">
        <f t="shared" si="4"/>
        <v>540.49048445786013</v>
      </c>
      <c r="AM65" s="59">
        <f t="shared" si="5"/>
        <v>802.84948741751145</v>
      </c>
      <c r="AN65" s="59">
        <f ca="1">AVERAGE(OFFSET($AM$3,0,0,'Données projet'!$E$10+1,1))-AVERAGE(OFFSET($H$3,0,0,'Données projet'!$E$10+1,1))</f>
        <v>752.45542076695506</v>
      </c>
      <c r="AO65" s="59">
        <f t="shared" si="36"/>
        <v>329.70629768420724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0</v>
      </c>
      <c r="AV65" s="21">
        <f>EXP(-LN(2)/25)*AV64+(1-EXP(-LN(2)/25))/(LN(2)/25)*Calculateur!AQ65*Calculateur!AS65*VLOOKUP('Données projet'!$B$10,Paramètres!$A$1:$I$89,3,0)*0.475*44/12</f>
        <v>36.585434730718106</v>
      </c>
      <c r="AW65" s="21">
        <f>EXP(-LN(2)/2)*AW64+(1-EXP(-LN(2)/2))/(LN(2)/2)*AQ65*AT65*VLOOKUP('Données projet'!$B$10,Paramètres!$A$1:$I$89,3,0)*0.475*44/12</f>
        <v>2.4066757469182187</v>
      </c>
      <c r="AX65" s="21">
        <f t="shared" si="6"/>
        <v>38.992110477636324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10.107499999999998</v>
      </c>
      <c r="BD65" s="12">
        <f>IF('Données projet'!$A$88&gt;35,BD64+BC65-BL64,IF(A65&lt;'Données projet'!$A$88,$BA$205^A65,IF(A65='Données projet'!$A$88,'Données projet'!$B$88,BD64+BC65-BL64)))</f>
        <v>246.34000000000026</v>
      </c>
      <c r="BE65" s="13">
        <f>BD65*VLOOKUP('Données projet'!$B$11,Paramètres!$A$1:$I$89,3,0)*VLOOKUP('Données projet'!$B$11,Paramètres!$A$1:$I$89,5,0)</f>
        <v>222.88843200000022</v>
      </c>
      <c r="BF65" s="13">
        <f t="shared" si="37"/>
        <v>54.74219476708182</v>
      </c>
      <c r="BG65" s="20">
        <f t="shared" si="7"/>
        <v>483.54000828600118</v>
      </c>
      <c r="BH65" s="59">
        <f t="shared" si="8"/>
        <v>745.89901124565245</v>
      </c>
      <c r="BI65" s="59">
        <f ca="1">AVERAGE(OFFSET($BH$3,0,0,'Données projet'!$E$11+1,1))-AVERAGE(OFFSET($H$3,0,0,'Données projet'!$E$11+1,1))</f>
        <v>681.47578137804555</v>
      </c>
      <c r="BJ65" s="59">
        <f t="shared" si="38"/>
        <v>300.88511065995885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0</v>
      </c>
      <c r="BQ65" s="21">
        <f>EXP(-LN(2)/25)*BQ64+(1-EXP(-LN(2)/25))/(LN(2)/25)*Calculateur!BL65*Calculateur!BN65*VLOOKUP('Données projet'!$B$11,Paramètres!$A$1:$I$89,3,0)*0.475*44/12</f>
        <v>32.64546483664077</v>
      </c>
      <c r="BR65" s="21">
        <f>EXP(-LN(2)/2)*BR64+(1-EXP(-LN(2)/2))/(LN(2)/2)*BL65*BO65*VLOOKUP('Données projet'!$B$11,Paramètres!$A$1:$I$89,3,0)*0.475*44/12</f>
        <v>2.147495281865488</v>
      </c>
      <c r="BS65" s="22">
        <f t="shared" si="9"/>
        <v>34.792960118506258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5.1282051282051331</v>
      </c>
      <c r="BY65" s="12">
        <f>IF('Données projet'!$A$114&gt;35,BY64+BX65-CG64,IF(A65&lt;'Données projet'!$A$114,$BV$205^A65,IF(A65='Données projet'!$A$114,'Données projet'!$B$114,BY64+BX65-CG64)))</f>
        <v>225.00000000000003</v>
      </c>
      <c r="BZ65" s="13">
        <f>BY65*VLOOKUP('Données projet'!$B$12,Paramètres!$A$1:$I$89,3,0)*VLOOKUP('Données projet'!$B$12,Paramètres!$A$1:$I$89,5,0)</f>
        <v>150.93000000000004</v>
      </c>
      <c r="CA65" s="13">
        <f t="shared" si="39"/>
        <v>38.789855371379076</v>
      </c>
      <c r="CB65" s="20">
        <f t="shared" si="10"/>
        <v>330.42874810515195</v>
      </c>
      <c r="CC65" s="59">
        <f t="shared" si="11"/>
        <v>592.78775106480327</v>
      </c>
      <c r="CD65" s="59">
        <f ca="1">AVERAGE(OFFSET($CC$3,0,0,'Données projet'!$E$12+1,1))-AVERAGE(OFFSET($H$3,0,0,'Données projet'!$E$12+1,1))</f>
        <v>335.73816489539837</v>
      </c>
      <c r="CE65" s="59">
        <f t="shared" si="40"/>
        <v>254.09787950201044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1.392379325845116</v>
      </c>
      <c r="CL65" s="21">
        <f>EXP(-LN(2)/25)*CL64+(1-EXP(-LN(2)/25))/(LN(2)/25)*Calculateur!CG65*Calculateur!CI65*VLOOKUP('Données projet'!$B$12,Paramètres!$A$1:$I$89,3,0)*0.475*44/12</f>
        <v>8.4068120212128612</v>
      </c>
      <c r="CM65" s="21">
        <f>EXP(-LN(2)/2)*CM64+(1-EXP(-LN(2)/2))/(LN(2)/2)*CG65*CJ65*VLOOKUP('Données projet'!$B$12,Paramètres!$A$1:$I$89,3,0)*0.475*44/12</f>
        <v>1.4301256674413467</v>
      </c>
      <c r="CN65" s="22">
        <f t="shared" si="12"/>
        <v>11.229317014499324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1.1368683772161603E-13</v>
      </c>
      <c r="CU65" s="17">
        <f>CT65*VLOOKUP('Données projet'!$B$13,Paramètres!$A$1:$I$89,3,0)*VLOOKUP('Données projet'!$B$13,Paramètres!$A$1:$I$89,5,0)</f>
        <v>6.7984728957526396E-14</v>
      </c>
      <c r="CV65" s="13">
        <f t="shared" si="41"/>
        <v>1.0682447123141398E-12</v>
      </c>
      <c r="CW65" s="20">
        <f t="shared" si="13"/>
        <v>1.978932943548152E-12</v>
      </c>
      <c r="CX65" s="59">
        <f t="shared" si="14"/>
        <v>262.35900295965331</v>
      </c>
      <c r="CY65" s="59">
        <f ca="1">AVERAGE(OFFSET($CX$3,0,0,'Données projet'!$E$13+1,1))-AVERAGE(OFFSET($H$3,0,0,'Données projet'!$E$13+1,1))</f>
        <v>318.50474972254085</v>
      </c>
      <c r="CZ65" s="59">
        <f t="shared" si="42"/>
        <v>326.45858332753562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133.47623095673652</v>
      </c>
      <c r="DG65" s="21">
        <f>EXP(-LN(2)/25)*DG64+(1-EXP(-LN(2)/25))/(LN(2)/25)*Calculateur!DB65*Calculateur!DD65*VLOOKUP('Données projet'!$B$13,Paramètres!$A$1:$I$89,3,0)*0.475*44/12</f>
        <v>45.827522241839439</v>
      </c>
      <c r="DH65" s="21">
        <f>EXP(-LN(2)/2)*DH64+(1-EXP(-LN(2)/2))/(LN(2)/2)*DB65*DE65*VLOOKUP('Données projet'!$B$13,Paramètres!$A$1:$I$89,3,0)*0.475*44/12</f>
        <v>29.980721411676683</v>
      </c>
      <c r="DI65" s="22">
        <f t="shared" si="15"/>
        <v>209.28447461025263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3">
        <f>'Scénario référence'!$B$16*5+'Scénario référence'!$B$17*0+'Scénario référence'!$B$18*5</f>
        <v>5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67">
        <f t="shared" si="1"/>
        <v>183.33333333333334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5.6843418860808015E-14</v>
      </c>
      <c r="O66" s="13">
        <f>N66*VLOOKUP('Données projet'!$B$9,Paramètres!$A$1:$I$89,3,0)*VLOOKUP('Données projet'!$B$9,Paramètres!$A$1:$I$89,5,0)</f>
        <v>5.1431925385259088E-14</v>
      </c>
      <c r="P66" s="13">
        <f t="shared" si="33"/>
        <v>8.3482866290946129E-13</v>
      </c>
      <c r="Q66" s="20">
        <f t="shared" si="53"/>
        <v>1.5435705246133045E-12</v>
      </c>
      <c r="R66" s="59">
        <f t="shared" si="0"/>
        <v>262.89633834340765</v>
      </c>
      <c r="S66" s="59">
        <f ca="1">AVERAGE(OFFSET($R$3,0,0,'Données projet'!$E$9+1,1))-AVERAGE(OFFSET($H$3,0,0,'Données projet'!$E$9+1,1))</f>
        <v>214.60547318405733</v>
      </c>
      <c r="T66" s="59">
        <f t="shared" si="34"/>
        <v>306.35874106546646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10.928662258370791</v>
      </c>
      <c r="AA66" s="21">
        <f>EXP(-LN(2)/25)*AA65+(1-EXP(-LN(2)/25))/(LN(2)/25)*Calculateur!V66*Calculateur!X66*VLOOKUP('Données projet'!$B$9,Paramètres!$A$1:$I$89,3,0)*0.475*44/12</f>
        <v>8.0240085417894029</v>
      </c>
      <c r="AB66" s="21">
        <f>EXP(-LN(2)/2)*AB65+(1-EXP(-LN(2)/2))/(LN(2)/2)*V66*Y66*VLOOKUP('Données projet'!$B$9,Paramètres!$A$1:$I$89,3,0)*0.475*44/12</f>
        <v>2.6934744890375718E-2</v>
      </c>
      <c r="AC66" s="22">
        <f t="shared" si="3"/>
        <v>18.979605545050568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10.107499999999998</v>
      </c>
      <c r="AI66" s="13">
        <f>IF('Données projet'!$A$62&gt;35,AI65+AH66-AQ65,IF(A66&lt;'Données projet'!$A$62,$AF$205^A66,IF(A66='Données projet'!$A$62,'Données projet'!$B$62,AI65+AH66-AQ65)))</f>
        <v>256.44750000000028</v>
      </c>
      <c r="AJ66" s="13">
        <f>AI66*VLOOKUP('Données projet'!$B$10,Paramètres!$A$1:$I$89,3,0)*VLOOKUP('Données projet'!$B$10,Paramètres!$A$1:$I$89,5,0)</f>
        <v>260.03776500000026</v>
      </c>
      <c r="AK66" s="13">
        <f t="shared" si="35"/>
        <v>62.730427859997341</v>
      </c>
      <c r="AL66" s="20">
        <f t="shared" si="4"/>
        <v>562.1546025644958</v>
      </c>
      <c r="AM66" s="59">
        <f t="shared" si="5"/>
        <v>825.05094090790192</v>
      </c>
      <c r="AN66" s="59">
        <f ca="1">AVERAGE(OFFSET($AM$3,0,0,'Données projet'!$E$10+1,1))-AVERAGE(OFFSET($H$3,0,0,'Données projet'!$E$10+1,1))</f>
        <v>752.45542076695506</v>
      </c>
      <c r="AO66" s="59">
        <f t="shared" si="36"/>
        <v>329.70629768420724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0</v>
      </c>
      <c r="AV66" s="21">
        <f>EXP(-LN(2)/25)*AV65+(1-EXP(-LN(2)/25))/(LN(2)/25)*Calculateur!AQ66*Calculateur!AS66*VLOOKUP('Données projet'!$B$10,Paramètres!$A$1:$I$89,3,0)*0.475*44/12</f>
        <v>35.585004094062221</v>
      </c>
      <c r="AW66" s="21">
        <f>EXP(-LN(2)/2)*AW65+(1-EXP(-LN(2)/2))/(LN(2)/2)*AQ66*AT66*VLOOKUP('Données projet'!$B$10,Paramètres!$A$1:$I$89,3,0)*0.475*44/12</f>
        <v>1.7017767407630717</v>
      </c>
      <c r="AX66" s="21">
        <f t="shared" si="6"/>
        <v>37.286780834825294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10.107499999999998</v>
      </c>
      <c r="BD66" s="12">
        <f>IF('Données projet'!$A$88&gt;35,BD65+BC66-BL65,IF(A66&lt;'Données projet'!$A$88,$BA$205^A66,IF(A66='Données projet'!$A$88,'Données projet'!$B$88,BD65+BC66-BL65)))</f>
        <v>256.44750000000028</v>
      </c>
      <c r="BE66" s="13">
        <f>BD66*VLOOKUP('Données projet'!$B$11,Paramètres!$A$1:$I$89,3,0)*VLOOKUP('Données projet'!$B$11,Paramètres!$A$1:$I$89,5,0)</f>
        <v>232.03369800000024</v>
      </c>
      <c r="BF66" s="13">
        <f t="shared" si="37"/>
        <v>56.722189034958802</v>
      </c>
      <c r="BG66" s="20">
        <f t="shared" si="7"/>
        <v>502.91650325255364</v>
      </c>
      <c r="BH66" s="59">
        <f t="shared" si="8"/>
        <v>765.81284159595975</v>
      </c>
      <c r="BI66" s="59">
        <f ca="1">AVERAGE(OFFSET($BH$3,0,0,'Données projet'!$E$11+1,1))-AVERAGE(OFFSET($H$3,0,0,'Données projet'!$E$11+1,1))</f>
        <v>681.47578137804555</v>
      </c>
      <c r="BJ66" s="59">
        <f t="shared" si="38"/>
        <v>300.88511065995885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0</v>
      </c>
      <c r="BQ66" s="21">
        <f>EXP(-LN(2)/25)*BQ65+(1-EXP(-LN(2)/25))/(LN(2)/25)*Calculateur!BL66*Calculateur!BN66*VLOOKUP('Données projet'!$B$11,Paramètres!$A$1:$I$89,3,0)*0.475*44/12</f>
        <v>31.752772883932444</v>
      </c>
      <c r="BR66" s="21">
        <f>EXP(-LN(2)/2)*BR65+(1-EXP(-LN(2)/2))/(LN(2)/2)*BL66*BO66*VLOOKUP('Données projet'!$B$11,Paramètres!$A$1:$I$89,3,0)*0.475*44/12</f>
        <v>1.5185084763732029</v>
      </c>
      <c r="BS66" s="22">
        <f t="shared" si="9"/>
        <v>33.27128136030565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5.1282051282051331</v>
      </c>
      <c r="BY66" s="12">
        <f>IF('Données projet'!$A$114&gt;35,BY65+BX66-CG65,IF(A66&lt;'Données projet'!$A$114,$BV$205^A66,IF(A66='Données projet'!$A$114,'Données projet'!$B$114,BY65+BX66-CG65)))</f>
        <v>230.12820512820517</v>
      </c>
      <c r="BZ66" s="13">
        <f>BY66*VLOOKUP('Données projet'!$B$12,Paramètres!$A$1:$I$89,3,0)*VLOOKUP('Données projet'!$B$12,Paramètres!$A$1:$I$89,5,0)</f>
        <v>154.37000000000003</v>
      </c>
      <c r="CA66" s="13">
        <f t="shared" si="39"/>
        <v>39.570017923578433</v>
      </c>
      <c r="CB66" s="20">
        <f t="shared" si="10"/>
        <v>337.77886455023247</v>
      </c>
      <c r="CC66" s="59">
        <f t="shared" si="11"/>
        <v>600.67520289363858</v>
      </c>
      <c r="CD66" s="59">
        <f ca="1">AVERAGE(OFFSET($CC$3,0,0,'Données projet'!$E$12+1,1))-AVERAGE(OFFSET($H$3,0,0,'Données projet'!$E$12+1,1))</f>
        <v>335.73816489539837</v>
      </c>
      <c r="CE66" s="59">
        <f t="shared" si="40"/>
        <v>254.09787950201044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1.3650756165328239</v>
      </c>
      <c r="CL66" s="21">
        <f>EXP(-LN(2)/25)*CL65+(1-EXP(-LN(2)/25))/(LN(2)/25)*Calculateur!CG66*Calculateur!CI66*VLOOKUP('Données projet'!$B$12,Paramètres!$A$1:$I$89,3,0)*0.475*44/12</f>
        <v>8.1769273043977648</v>
      </c>
      <c r="CM66" s="21">
        <f>EXP(-LN(2)/2)*CM65+(1-EXP(-LN(2)/2))/(LN(2)/2)*CG66*CJ66*VLOOKUP('Données projet'!$B$12,Paramètres!$A$1:$I$89,3,0)*0.475*44/12</f>
        <v>1.0112515573967136</v>
      </c>
      <c r="CN66" s="22">
        <f t="shared" si="12"/>
        <v>10.553254478327302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1.1368683772161603E-13</v>
      </c>
      <c r="CU66" s="17">
        <f>CT66*VLOOKUP('Données projet'!$B$13,Paramètres!$A$1:$I$89,3,0)*VLOOKUP('Données projet'!$B$13,Paramètres!$A$1:$I$89,5,0)</f>
        <v>6.7984728957526396E-14</v>
      </c>
      <c r="CV66" s="13">
        <f t="shared" si="41"/>
        <v>1.0682447123141398E-12</v>
      </c>
      <c r="CW66" s="20">
        <f t="shared" si="13"/>
        <v>1.978932943548152E-12</v>
      </c>
      <c r="CX66" s="59">
        <f t="shared" si="14"/>
        <v>262.8963383434081</v>
      </c>
      <c r="CY66" s="59">
        <f ca="1">AVERAGE(OFFSET($CX$3,0,0,'Données projet'!$E$13+1,1))-AVERAGE(OFFSET($H$3,0,0,'Données projet'!$E$13+1,1))</f>
        <v>318.50474972254085</v>
      </c>
      <c r="CZ66" s="59">
        <f t="shared" si="42"/>
        <v>326.45858332753562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130.85884348013698</v>
      </c>
      <c r="DG66" s="21">
        <f>EXP(-LN(2)/25)*DG65+(1-EXP(-LN(2)/25))/(LN(2)/25)*Calculateur!DB66*Calculateur!DD66*VLOOKUP('Données projet'!$B$13,Paramètres!$A$1:$I$89,3,0)*0.475*44/12</f>
        <v>44.574366236171684</v>
      </c>
      <c r="DH66" s="21">
        <f>EXP(-LN(2)/2)*DH65+(1-EXP(-LN(2)/2))/(LN(2)/2)*DB66*DE66*VLOOKUP('Données projet'!$B$13,Paramètres!$A$1:$I$89,3,0)*0.475*44/12</f>
        <v>21.199571415061307</v>
      </c>
      <c r="DI66" s="22">
        <f t="shared" si="15"/>
        <v>196.63278113137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3">
        <f>'Scénario référence'!$B$16*5+'Scénario référence'!$B$17*0+'Scénario référence'!$B$18*5</f>
        <v>5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67">
        <f t="shared" si="1"/>
        <v>183.33333333333334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5.6843418860808015E-14</v>
      </c>
      <c r="O67" s="13">
        <f>N67*VLOOKUP('Données projet'!$B$9,Paramètres!$A$1:$I$89,3,0)*VLOOKUP('Données projet'!$B$9,Paramètres!$A$1:$I$89,5,0)</f>
        <v>5.1431925385259088E-14</v>
      </c>
      <c r="P67" s="13">
        <f t="shared" si="33"/>
        <v>8.3482866290946129E-13</v>
      </c>
      <c r="Q67" s="20">
        <f t="shared" ref="Q67:Q98" si="54">(O67+P67)*0.475*44/12</f>
        <v>1.5435705246133045E-12</v>
      </c>
      <c r="R67" s="59">
        <f t="shared" ref="R67:R130" si="55">Q67+(I67+J67)*44/12</f>
        <v>263.42435215955629</v>
      </c>
      <c r="S67" s="59">
        <f ca="1">AVERAGE(OFFSET($R$3,0,0,'Données projet'!$E$9+1,1))-AVERAGE(OFFSET($H$3,0,0,'Données projet'!$E$9+1,1))</f>
        <v>214.60547318405733</v>
      </c>
      <c r="T67" s="59">
        <f t="shared" si="34"/>
        <v>306.35874106546646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10.714357857309922</v>
      </c>
      <c r="AA67" s="21">
        <f>EXP(-LN(2)/25)*AA66+(1-EXP(-LN(2)/25))/(LN(2)/25)*Calculateur!V67*Calculateur!X67*VLOOKUP('Données projet'!$B$9,Paramètres!$A$1:$I$89,3,0)*0.475*44/12</f>
        <v>7.8045916062499012</v>
      </c>
      <c r="AB67" s="21">
        <f>EXP(-LN(2)/2)*AB66+(1-EXP(-LN(2)/2))/(LN(2)/2)*V67*Y67*VLOOKUP('Données projet'!$B$9,Paramètres!$A$1:$I$89,3,0)*0.475*44/12</f>
        <v>1.9045740761514381E-2</v>
      </c>
      <c r="AC67" s="22">
        <f t="shared" si="3"/>
        <v>18.537995204321337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10.107499999999998</v>
      </c>
      <c r="AI67" s="13">
        <f>IF('Données projet'!$A$62&gt;35,AI66+AH67-AQ66,IF(A67&lt;'Données projet'!$A$62,$AF$205^A67,IF(A67='Données projet'!$A$62,'Données projet'!$B$62,AI66+AH67-AQ66)))</f>
        <v>266.55500000000029</v>
      </c>
      <c r="AJ67" s="13">
        <f>AI67*VLOOKUP('Données projet'!$B$10,Paramètres!$A$1:$I$89,3,0)*VLOOKUP('Données projet'!$B$10,Paramètres!$A$1:$I$89,5,0)</f>
        <v>270.28677000000033</v>
      </c>
      <c r="AK67" s="13">
        <f t="shared" si="35"/>
        <v>64.910125358871667</v>
      </c>
      <c r="AL67" s="20">
        <f t="shared" si="4"/>
        <v>583.80125941670201</v>
      </c>
      <c r="AM67" s="59">
        <f t="shared" si="5"/>
        <v>847.22561157625682</v>
      </c>
      <c r="AN67" s="59">
        <f ca="1">AVERAGE(OFFSET($AM$3,0,0,'Données projet'!$E$10+1,1))-AVERAGE(OFFSET($H$3,0,0,'Données projet'!$E$10+1,1))</f>
        <v>752.45542076695506</v>
      </c>
      <c r="AO67" s="59">
        <f t="shared" si="36"/>
        <v>329.70629768420724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0</v>
      </c>
      <c r="AV67" s="21">
        <f>EXP(-LN(2)/25)*AV66+(1-EXP(-LN(2)/25))/(LN(2)/25)*Calculateur!AQ67*Calculateur!AS67*VLOOKUP('Données projet'!$B$10,Paramètres!$A$1:$I$89,3,0)*0.475*44/12</f>
        <v>34.611930285776054</v>
      </c>
      <c r="AW67" s="21">
        <f>EXP(-LN(2)/2)*AW66+(1-EXP(-LN(2)/2))/(LN(2)/2)*AQ67*AT67*VLOOKUP('Données projet'!$B$10,Paramètres!$A$1:$I$89,3,0)*0.475*44/12</f>
        <v>1.2033378734591094</v>
      </c>
      <c r="AX67" s="21">
        <f t="shared" si="6"/>
        <v>35.815268159235167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10.107499999999998</v>
      </c>
      <c r="BD67" s="12">
        <f>IF('Données projet'!$A$88&gt;35,BD66+BC67-BL66,IF(A67&lt;'Données projet'!$A$88,$BA$205^A67,IF(A67='Données projet'!$A$88,'Données projet'!$B$88,BD66+BC67-BL66)))</f>
        <v>266.55500000000029</v>
      </c>
      <c r="BE67" s="13">
        <f>BD67*VLOOKUP('Données projet'!$B$11,Paramètres!$A$1:$I$89,3,0)*VLOOKUP('Données projet'!$B$11,Paramètres!$A$1:$I$89,5,0)</f>
        <v>241.17896400000026</v>
      </c>
      <c r="BF67" s="13">
        <f t="shared" si="37"/>
        <v>58.693117941200413</v>
      </c>
      <c r="BG67" s="20">
        <f t="shared" si="7"/>
        <v>522.27720938092455</v>
      </c>
      <c r="BH67" s="59">
        <f t="shared" si="8"/>
        <v>785.70156154047936</v>
      </c>
      <c r="BI67" s="59">
        <f ca="1">AVERAGE(OFFSET($BH$3,0,0,'Données projet'!$E$11+1,1))-AVERAGE(OFFSET($H$3,0,0,'Données projet'!$E$11+1,1))</f>
        <v>681.47578137804555</v>
      </c>
      <c r="BJ67" s="59">
        <f t="shared" si="38"/>
        <v>300.88511065995885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0</v>
      </c>
      <c r="BQ67" s="21">
        <f>EXP(-LN(2)/25)*BQ66+(1-EXP(-LN(2)/25))/(LN(2)/25)*Calculateur!BL67*Calculateur!BN67*VLOOKUP('Données projet'!$B$11,Paramètres!$A$1:$I$89,3,0)*0.475*44/12</f>
        <v>30.884491639615558</v>
      </c>
      <c r="BR67" s="21">
        <f>EXP(-LN(2)/2)*BR66+(1-EXP(-LN(2)/2))/(LN(2)/2)*BL67*BO67*VLOOKUP('Données projet'!$B$11,Paramètres!$A$1:$I$89,3,0)*0.475*44/12</f>
        <v>1.073747640932744</v>
      </c>
      <c r="BS67" s="22">
        <f t="shared" si="9"/>
        <v>31.958239280548302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5.1282051282051331</v>
      </c>
      <c r="BY67" s="12">
        <f>IF('Données projet'!$A$114&gt;35,BY66+BX67-CG66,IF(A67&lt;'Données projet'!$A$114,$BV$205^A67,IF(A67='Données projet'!$A$114,'Données projet'!$B$114,BY66+BX67-CG66)))</f>
        <v>235.25641025641031</v>
      </c>
      <c r="BZ67" s="13">
        <f>BY67*VLOOKUP('Données projet'!$B$12,Paramètres!$A$1:$I$89,3,0)*VLOOKUP('Données projet'!$B$12,Paramètres!$A$1:$I$89,5,0)</f>
        <v>157.81000000000003</v>
      </c>
      <c r="CA67" s="13">
        <f t="shared" si="39"/>
        <v>40.348159279539125</v>
      </c>
      <c r="CB67" s="20">
        <f t="shared" si="10"/>
        <v>345.12546074519736</v>
      </c>
      <c r="CC67" s="59">
        <f t="shared" si="11"/>
        <v>608.54981290475212</v>
      </c>
      <c r="CD67" s="59">
        <f ca="1">AVERAGE(OFFSET($CC$3,0,0,'Données projet'!$E$12+1,1))-AVERAGE(OFFSET($H$3,0,0,'Données projet'!$E$12+1,1))</f>
        <v>335.73816489539837</v>
      </c>
      <c r="CE67" s="59">
        <f t="shared" si="40"/>
        <v>254.09787950201044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1.3383073163065276</v>
      </c>
      <c r="CL67" s="21">
        <f>EXP(-LN(2)/25)*CL66+(1-EXP(-LN(2)/25))/(LN(2)/25)*Calculateur!CG67*Calculateur!CI67*VLOOKUP('Données projet'!$B$12,Paramètres!$A$1:$I$89,3,0)*0.475*44/12</f>
        <v>7.9533287972530893</v>
      </c>
      <c r="CM67" s="21">
        <f>EXP(-LN(2)/2)*CM66+(1-EXP(-LN(2)/2))/(LN(2)/2)*CG67*CJ67*VLOOKUP('Données projet'!$B$12,Paramètres!$A$1:$I$89,3,0)*0.475*44/12</f>
        <v>0.71506283372067336</v>
      </c>
      <c r="CN67" s="22">
        <f t="shared" si="12"/>
        <v>10.00669894728029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1.1368683772161603E-13</v>
      </c>
      <c r="CU67" s="17">
        <f>CT67*VLOOKUP('Données projet'!$B$13,Paramètres!$A$1:$I$89,3,0)*VLOOKUP('Données projet'!$B$13,Paramètres!$A$1:$I$89,5,0)</f>
        <v>6.7984728957526396E-14</v>
      </c>
      <c r="CV67" s="13">
        <f t="shared" si="41"/>
        <v>1.0682447123141398E-12</v>
      </c>
      <c r="CW67" s="20">
        <f t="shared" si="13"/>
        <v>1.978932943548152E-12</v>
      </c>
      <c r="CX67" s="59">
        <f t="shared" si="14"/>
        <v>263.42435215955675</v>
      </c>
      <c r="CY67" s="59">
        <f ca="1">AVERAGE(OFFSET($CX$3,0,0,'Données projet'!$E$13+1,1))-AVERAGE(OFFSET($H$3,0,0,'Données projet'!$E$13+1,1))</f>
        <v>318.50474972254085</v>
      </c>
      <c r="CZ67" s="59">
        <f t="shared" si="42"/>
        <v>326.45858332753562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128.29278137550483</v>
      </c>
      <c r="DG67" s="21">
        <f>EXP(-LN(2)/25)*DG66+(1-EXP(-LN(2)/25))/(LN(2)/25)*Calculateur!DB67*Calculateur!DD67*VLOOKUP('Données projet'!$B$13,Paramètres!$A$1:$I$89,3,0)*0.475*44/12</f>
        <v>43.355477847379525</v>
      </c>
      <c r="DH67" s="21">
        <f>EXP(-LN(2)/2)*DH66+(1-EXP(-LN(2)/2))/(LN(2)/2)*DB67*DE67*VLOOKUP('Données projet'!$B$13,Paramètres!$A$1:$I$89,3,0)*0.475*44/12</f>
        <v>14.990360705838345</v>
      </c>
      <c r="DI67" s="22">
        <f t="shared" si="15"/>
        <v>186.6386199287227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3">
        <f>'Scénario référence'!$B$16*5+'Scénario référence'!$B$17*0+'Scénario référence'!$B$18*5</f>
        <v>5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67">
        <f t="shared" ref="H68:H131" si="56">(B68+E68+F68)*44/12+(C68+D68)*0.475*44/12</f>
        <v>183.33333333333334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5.6843418860808015E-14</v>
      </c>
      <c r="O68" s="13">
        <f>N68*VLOOKUP('Données projet'!$B$9,Paramètres!$A$1:$I$89,3,0)*VLOOKUP('Données projet'!$B$9,Paramètres!$A$1:$I$89,5,0)</f>
        <v>5.1431925385259088E-14</v>
      </c>
      <c r="P68" s="13">
        <f t="shared" si="33"/>
        <v>8.3482866290946129E-13</v>
      </c>
      <c r="Q68" s="20">
        <f t="shared" si="54"/>
        <v>1.5435705246133045E-12</v>
      </c>
      <c r="R68" s="59">
        <f t="shared" si="55"/>
        <v>263.94320611645674</v>
      </c>
      <c r="S68" s="59">
        <f ca="1">AVERAGE(OFFSET($R$3,0,0,'Données projet'!$E$9+1,1))-AVERAGE(OFFSET($H$3,0,0,'Données projet'!$E$9+1,1))</f>
        <v>214.60547318405733</v>
      </c>
      <c r="T68" s="59">
        <f t="shared" si="34"/>
        <v>306.35874106546646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10.504255834841079</v>
      </c>
      <c r="AA68" s="21">
        <f>EXP(-LN(2)/25)*AA67+(1-EXP(-LN(2)/25))/(LN(2)/25)*Calculateur!V68*Calculateur!X68*VLOOKUP('Données projet'!$B$9,Paramètres!$A$1:$I$89,3,0)*0.475*44/12</f>
        <v>7.5911746383513625</v>
      </c>
      <c r="AB68" s="21">
        <f>EXP(-LN(2)/2)*AB67+(1-EXP(-LN(2)/2))/(LN(2)/2)*V68*Y68*VLOOKUP('Données projet'!$B$9,Paramètres!$A$1:$I$89,3,0)*0.475*44/12</f>
        <v>1.3467372445187859E-2</v>
      </c>
      <c r="AC68" s="22">
        <f t="shared" ref="AC68:AC131" si="57">SUM(Z68:AB68)</f>
        <v>18.108897845637628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10.107499999999998</v>
      </c>
      <c r="AI68" s="13">
        <f>IF('Données projet'!$A$62&gt;35,AI67+AH68-AQ67,IF(A68&lt;'Données projet'!$A$62,$AF$205^A68,IF(A68='Données projet'!$A$62,'Données projet'!$B$62,AI67+AH68-AQ67)))</f>
        <v>276.66250000000031</v>
      </c>
      <c r="AJ68" s="13">
        <f>AI68*VLOOKUP('Données projet'!$B$10,Paramètres!$A$1:$I$89,3,0)*VLOOKUP('Données projet'!$B$10,Paramètres!$A$1:$I$89,5,0)</f>
        <v>280.53577500000034</v>
      </c>
      <c r="AK68" s="13">
        <f t="shared" si="35"/>
        <v>67.080220940060286</v>
      </c>
      <c r="AL68" s="20">
        <f t="shared" ref="AL68:AL131" si="58">(AJ68+AK68)*0.475*44/12</f>
        <v>605.43119292893903</v>
      </c>
      <c r="AM68" s="59">
        <f t="shared" ref="AM68:AM131" si="59">AL68+(AD68+AE68)*44/12</f>
        <v>869.37439904539428</v>
      </c>
      <c r="AN68" s="59">
        <f ca="1">AVERAGE(OFFSET($AM$3,0,0,'Données projet'!$E$10+1,1))-AVERAGE(OFFSET($H$3,0,0,'Données projet'!$E$10+1,1))</f>
        <v>752.45542076695506</v>
      </c>
      <c r="AO68" s="59">
        <f t="shared" si="36"/>
        <v>329.70629768420724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0</v>
      </c>
      <c r="AV68" s="21">
        <f>EXP(-LN(2)/25)*AV67+(1-EXP(-LN(2)/25))/(LN(2)/25)*Calculateur!AQ68*Calculateur!AS68*VLOOKUP('Données projet'!$B$10,Paramètres!$A$1:$I$89,3,0)*0.475*44/12</f>
        <v>33.665465231949199</v>
      </c>
      <c r="AW68" s="21">
        <f>EXP(-LN(2)/2)*AW67+(1-EXP(-LN(2)/2))/(LN(2)/2)*AQ68*AT68*VLOOKUP('Données projet'!$B$10,Paramètres!$A$1:$I$89,3,0)*0.475*44/12</f>
        <v>0.85088837038153586</v>
      </c>
      <c r="AX68" s="21">
        <f t="shared" ref="AX68:AX131" si="60">SUM(AU68:AW68)</f>
        <v>34.516353602330732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10.107499999999998</v>
      </c>
      <c r="BD68" s="12">
        <f>IF('Données projet'!$A$88&gt;35,BD67+BC68-BL67,IF(A68&lt;'Données projet'!$A$88,$BA$205^A68,IF(A68='Données projet'!$A$88,'Données projet'!$B$88,BD67+BC68-BL67)))</f>
        <v>276.66250000000031</v>
      </c>
      <c r="BE68" s="13">
        <f>BD68*VLOOKUP('Données projet'!$B$11,Paramètres!$A$1:$I$89,3,0)*VLOOKUP('Données projet'!$B$11,Paramètres!$A$1:$I$89,5,0)</f>
        <v>250.32423000000026</v>
      </c>
      <c r="BF68" s="13">
        <f t="shared" si="37"/>
        <v>60.655364588948935</v>
      </c>
      <c r="BG68" s="20">
        <f t="shared" ref="BG68:BG131" si="61">(BE68+BF68)*0.475*44/12</f>
        <v>541.62279390908645</v>
      </c>
      <c r="BH68" s="59">
        <f t="shared" ref="BH68:BH131" si="62">BG68+(AY68+AZ68)*44/12</f>
        <v>805.5660000255416</v>
      </c>
      <c r="BI68" s="59">
        <f ca="1">AVERAGE(OFFSET($BH$3,0,0,'Données projet'!$E$11+1,1))-AVERAGE(OFFSET($H$3,0,0,'Données projet'!$E$11+1,1))</f>
        <v>681.47578137804555</v>
      </c>
      <c r="BJ68" s="59">
        <f t="shared" si="38"/>
        <v>300.88511065995885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0</v>
      </c>
      <c r="BQ68" s="21">
        <f>EXP(-LN(2)/25)*BQ67+(1-EXP(-LN(2)/25))/(LN(2)/25)*Calculateur!BL68*Calculateur!BN68*VLOOKUP('Données projet'!$B$11,Paramètres!$A$1:$I$89,3,0)*0.475*44/12</f>
        <v>30.039953591585441</v>
      </c>
      <c r="BR68" s="21">
        <f>EXP(-LN(2)/2)*BR67+(1-EXP(-LN(2)/2))/(LN(2)/2)*BL68*BO68*VLOOKUP('Données projet'!$B$11,Paramètres!$A$1:$I$89,3,0)*0.475*44/12</f>
        <v>0.75925423818660143</v>
      </c>
      <c r="BS68" s="22">
        <f t="shared" ref="BS68:BS131" si="63">SUM(BP68:BR68)</f>
        <v>30.799207829772044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>
        <f>VLOOKUP(A68,'Données projet'!$A$113:$I$133,2,0)</f>
        <v>240.38461538461539</v>
      </c>
      <c r="BW68" s="12">
        <f>VLOOKUP(A68,'Données projet'!$A$113:$I$133,9,0)</f>
        <v>5.1282051282051331</v>
      </c>
      <c r="BX68" s="12">
        <f t="array" ref="BX68">INDEX(BW:BW,MIN(IF(ISNUMBER(BW68:BW264),ROW(BW68:BW264),"")))</f>
        <v>5.1282051282051331</v>
      </c>
      <c r="BY68" s="12">
        <f>IF('Données projet'!$A$114&gt;35,BY67+BX68-CG67,IF(A68&lt;'Données projet'!$A$114,$BV$205^A68,IF(A68='Données projet'!$A$114,'Données projet'!$B$114,BY67+BX68-CG67)))</f>
        <v>240.38461538461544</v>
      </c>
      <c r="BZ68" s="13">
        <f>BY68*VLOOKUP('Données projet'!$B$12,Paramètres!$A$1:$I$89,3,0)*VLOOKUP('Données projet'!$B$12,Paramètres!$A$1:$I$89,5,0)</f>
        <v>161.25000000000006</v>
      </c>
      <c r="CA68" s="13">
        <f t="shared" si="39"/>
        <v>41.124328571986439</v>
      </c>
      <c r="CB68" s="20">
        <f t="shared" ref="CB68:CB131" si="64">(BZ68+CA68)*0.475*44/12</f>
        <v>352.46862226287652</v>
      </c>
      <c r="CC68" s="59">
        <f t="shared" ref="CC68:CC131" si="65">CB68+(BT68+BU68)*44/12</f>
        <v>616.41182837933172</v>
      </c>
      <c r="CD68" s="59">
        <f ca="1">AVERAGE(OFFSET($CC$3,0,0,'Données projet'!$E$12+1,1))-AVERAGE(OFFSET($H$3,0,0,'Données projet'!$E$12+1,1))</f>
        <v>335.73816489539837</v>
      </c>
      <c r="CE68" s="59">
        <f t="shared" si="40"/>
        <v>254.09787950201044</v>
      </c>
      <c r="CF68" s="15">
        <f>IF(ISNA(VLOOKUP(A68,'Données projet'!$A$113:$I$133,3,0)),0,VLOOKUP(A68,'Données projet'!$A$113:$I$133,3,0))</f>
        <v>11</v>
      </c>
      <c r="CG68" s="15">
        <f>IF(ISNA(VLOOKUP(A68,'Données projet'!$A$113:$I$133,4,0)),0,VLOOKUP(A68,'Données projet'!$A$113:$I$133,4,0))</f>
        <v>13.461538461538462</v>
      </c>
      <c r="CH68" s="16">
        <f>IF(ISNA(VLOOKUP(A68,'Données projet'!$A$113:$I$133,5,0)),0%,VLOOKUP(A68,'Données projet'!$A$113:$I$133,5,0)*VLOOKUP('Données projet'!$B$12,Paramètres!$A$1:$I$89,7,0))</f>
        <v>0.13250000000000001</v>
      </c>
      <c r="CI68" s="16">
        <f>IF(ISNA(VLOOKUP(A68,'Données projet'!$A$113:$I$133,6,0)),0%,VLOOKUP(A68,'Données projet'!$A$113:$I$133,6,0)*VLOOKUP('Données projet'!$B$12,Paramètres!$A$1:$I$89,7,0))</f>
        <v>0.13250000000000001</v>
      </c>
      <c r="CJ68" s="16">
        <f>IF(ISNA(VLOOKUP(A68,'Données projet'!$A$113:$I$133,7,0)),0%,VLOOKUP(A68,'Données projet'!$A$113:$I$133,7,0))</f>
        <v>0.25</v>
      </c>
      <c r="CK68" s="21">
        <f>EXP(-LN(2)/35)*CK67+(1-EXP(-LN(2)/35))/(LN(2)/35)*CG68*CH68*VLOOKUP('Données projet'!$B$12,Paramètres!$A$1:$I$89,3,0)*0.475*44/12</f>
        <v>2.6347315984723045</v>
      </c>
      <c r="CL68" s="21">
        <f>EXP(-LN(2)/25)*CL67+(1-EXP(-LN(2)/25))/(LN(2)/25)*Calculateur!CG68*Calculateur!CI68*VLOOKUP('Données projet'!$B$12,Paramètres!$A$1:$I$89,3,0)*0.475*44/12</f>
        <v>9.0533044287945632</v>
      </c>
      <c r="CM68" s="21">
        <f>EXP(-LN(2)/2)*CM67+(1-EXP(-LN(2)/2))/(LN(2)/2)*CG68*CJ68*VLOOKUP('Données projet'!$B$12,Paramètres!$A$1:$I$89,3,0)*0.475*44/12</f>
        <v>2.6356377884200208</v>
      </c>
      <c r="CN68" s="22">
        <f t="shared" ref="CN68:CN131" si="66">SUM(CK68:CM68)</f>
        <v>14.323673815686888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1.1368683772161603E-13</v>
      </c>
      <c r="CU68" s="17">
        <f>CT68*VLOOKUP('Données projet'!$B$13,Paramètres!$A$1:$I$89,3,0)*VLOOKUP('Données projet'!$B$13,Paramètres!$A$1:$I$89,5,0)</f>
        <v>6.7984728957526396E-14</v>
      </c>
      <c r="CV68" s="13">
        <f t="shared" si="41"/>
        <v>1.0682447123141398E-12</v>
      </c>
      <c r="CW68" s="20">
        <f t="shared" ref="CW68:CW131" si="67">(CU68+CV68)*0.475*44/12</f>
        <v>1.978932943548152E-12</v>
      </c>
      <c r="CX68" s="59">
        <f t="shared" ref="CX68:CX131" si="68">CW68+(CO68+CP68)*44/12</f>
        <v>263.94320611645719</v>
      </c>
      <c r="CY68" s="59">
        <f ca="1">AVERAGE(OFFSET($CX$3,0,0,'Données projet'!$E$13+1,1))-AVERAGE(OFFSET($H$3,0,0,'Données projet'!$E$13+1,1))</f>
        <v>318.50474972254085</v>
      </c>
      <c r="CZ68" s="59">
        <f t="shared" si="42"/>
        <v>326.45858332753562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125.77703818360119</v>
      </c>
      <c r="DG68" s="21">
        <f>EXP(-LN(2)/25)*DG67+(1-EXP(-LN(2)/25))/(LN(2)/25)*Calculateur!DB68*Calculateur!DD68*VLOOKUP('Données projet'!$B$13,Paramètres!$A$1:$I$89,3,0)*0.475*44/12</f>
        <v>42.169920025677442</v>
      </c>
      <c r="DH68" s="21">
        <f>EXP(-LN(2)/2)*DH67+(1-EXP(-LN(2)/2))/(LN(2)/2)*DB68*DE68*VLOOKUP('Données projet'!$B$13,Paramètres!$A$1:$I$89,3,0)*0.475*44/12</f>
        <v>10.599785707530655</v>
      </c>
      <c r="DI68" s="22">
        <f t="shared" ref="DI68:DI131" si="69">SUM(DF68:DH68)</f>
        <v>178.54674391680931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3">
        <f>'Scénario référence'!$B$16*5+'Scénario référence'!$B$17*0+'Scénario référence'!$B$18*5</f>
        <v>5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67">
        <f t="shared" si="56"/>
        <v>183.33333333333334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5.6843418860808015E-14</v>
      </c>
      <c r="O69" s="13">
        <f>N69*VLOOKUP('Données projet'!$B$9,Paramètres!$A$1:$I$89,3,0)*VLOOKUP('Données projet'!$B$9,Paramètres!$A$1:$I$89,5,0)</f>
        <v>5.1431925385259088E-14</v>
      </c>
      <c r="P69" s="13">
        <f t="shared" ref="P69:P132" si="87">EXP(-1.0587+0.8836*LN(O69)+0.284)</f>
        <v>8.3482866290946129E-13</v>
      </c>
      <c r="Q69" s="20">
        <f t="shared" si="54"/>
        <v>1.5435705246133045E-12</v>
      </c>
      <c r="R69" s="59">
        <f t="shared" si="55"/>
        <v>264.45305911718862</v>
      </c>
      <c r="S69" s="59">
        <f ca="1">AVERAGE(OFFSET($R$3,0,0,'Données projet'!$E$9+1,1))-AVERAGE(OFFSET($H$3,0,0,'Données projet'!$E$9+1,1))</f>
        <v>214.60547318405733</v>
      </c>
      <c r="T69" s="59">
        <f t="shared" ref="T69:T132" si="88">$T$3</f>
        <v>306.35874106546646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10.298273784883269</v>
      </c>
      <c r="AA69" s="21">
        <f>EXP(-LN(2)/25)*AA68+(1-EXP(-LN(2)/25))/(LN(2)/25)*Calculateur!V69*Calculateur!X69*VLOOKUP('Données projet'!$B$9,Paramètres!$A$1:$I$89,3,0)*0.475*44/12</f>
        <v>7.3835935686631204</v>
      </c>
      <c r="AB69" s="21">
        <f>EXP(-LN(2)/2)*AB68+(1-EXP(-LN(2)/2))/(LN(2)/2)*V69*Y69*VLOOKUP('Données projet'!$B$9,Paramètres!$A$1:$I$89,3,0)*0.475*44/12</f>
        <v>9.5228703807571907E-3</v>
      </c>
      <c r="AC69" s="22">
        <f t="shared" si="57"/>
        <v>17.691390223927147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>
        <f>VLOOKUP(A69,'Données projet'!$A$61:$I$81,2,0)</f>
        <v>286.77</v>
      </c>
      <c r="AG69" s="12">
        <f>VLOOKUP(A69,'Données projet'!$A$61:$I$81,9,0)</f>
        <v>10.107499999999998</v>
      </c>
      <c r="AH69" s="12">
        <f t="array" ref="AH69">INDEX(AG:AG,MIN(IF(ISNUMBER(AG69:AG265),ROW(AG69:AG265),"")))</f>
        <v>10.107499999999998</v>
      </c>
      <c r="AI69" s="13">
        <f>IF('Données projet'!$A$62&gt;35,AI68+AH69-AQ68,IF(A69&lt;'Données projet'!$A$62,$AF$205^A69,IF(A69='Données projet'!$A$62,'Données projet'!$B$62,AI68+AH69-AQ68)))</f>
        <v>286.77000000000032</v>
      </c>
      <c r="AJ69" s="13">
        <f>AI69*VLOOKUP('Données projet'!$B$10,Paramètres!$A$1:$I$89,3,0)*VLOOKUP('Données projet'!$B$10,Paramètres!$A$1:$I$89,5,0)</f>
        <v>290.78478000000035</v>
      </c>
      <c r="AK69" s="13">
        <f t="shared" ref="AK69:AK132" si="89">EXP(-1.0587+0.8836*LN(AJ69)+0.284)</f>
        <v>69.241105574743742</v>
      </c>
      <c r="AL69" s="20">
        <f t="shared" si="58"/>
        <v>627.04508404267926</v>
      </c>
      <c r="AM69" s="59">
        <f t="shared" si="59"/>
        <v>891.49814315986634</v>
      </c>
      <c r="AN69" s="59">
        <f ca="1">AVERAGE(OFFSET($AM$3,0,0,'Données projet'!$E$10+1,1))-AVERAGE(OFFSET($H$3,0,0,'Données projet'!$E$10+1,1))</f>
        <v>752.45542076695506</v>
      </c>
      <c r="AO69" s="59">
        <f t="shared" ref="AO69:AO132" si="90">$AO$3</f>
        <v>329.70629768420724</v>
      </c>
      <c r="AP69" s="15">
        <f>IF(ISNA(VLOOKUP(A69,'Données projet'!$A$61:$I$81,3,0)),0,VLOOKUP(A69,'Données projet'!$A$61:$I$81,3,0))</f>
        <v>4</v>
      </c>
      <c r="AQ69" s="15">
        <f>IF(ISNA(VLOOKUP(A69,'Données projet'!$A$61:$I$81,4,0)),0,VLOOKUP(A69,'Données projet'!$A$61:$I$81,4,0))</f>
        <v>53.679999999999978</v>
      </c>
      <c r="AR69" s="16">
        <f>IF(ISNA(VLOOKUP(A69,'Données projet'!$A$61:$I$81,5,0)),0%,VLOOKUP(A69,'Données projet'!$A$61:$I$81,5,0)*VLOOKUP('Données projet'!$B$10,Paramètres!$A$1:$I$89,7,0))</f>
        <v>0.15049999999999999</v>
      </c>
      <c r="AS69" s="16">
        <f>IF(ISNA(VLOOKUP(A69,'Données projet'!$A$61:$I$81,6,0)),0%,VLOOKUP(A69,'Données projet'!$A$61:$I$81,6,0)*VLOOKUP('Données projet'!$B$10,Paramètres!$A$1:$I$89,7,0))</f>
        <v>8.6000000000000007E-2</v>
      </c>
      <c r="AT69" s="16">
        <f>IF(ISNA(VLOOKUP(A69,'Données projet'!$A$61:$I$81,7,0)),0%,VLOOKUP(A69,'Données projet'!$A$61:$I$81,7,0))</f>
        <v>0.1</v>
      </c>
      <c r="AU69" s="21">
        <f>EXP(-LN(2)/35)*AU68+(1-EXP(-LN(2)/35))/(LN(2)/35)*AQ69*AR69*VLOOKUP('Données projet'!$B$10,Paramètres!$A$1:$I$89,3,0)*0.475*44/12</f>
        <v>9.0559511774797787</v>
      </c>
      <c r="AV69" s="21">
        <f>EXP(-LN(2)/25)*AV68+(1-EXP(-LN(2)/25))/(LN(2)/25)*Calculateur!AQ69*Calculateur!AS69*VLOOKUP('Données projet'!$B$10,Paramètres!$A$1:$I$89,3,0)*0.475*44/12</f>
        <v>37.899335284566604</v>
      </c>
      <c r="AW69" s="21">
        <f>EXP(-LN(2)/2)*AW68+(1-EXP(-LN(2)/2))/(LN(2)/2)*AQ69*AT69*VLOOKUP('Données projet'!$B$10,Paramètres!$A$1:$I$89,3,0)*0.475*44/12</f>
        <v>5.7374293490177015</v>
      </c>
      <c r="AX69" s="21">
        <f t="shared" si="60"/>
        <v>52.692715811064083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>
        <f>VLOOKUP(A69,'Données projet'!$A$87:$I$107,2,0)</f>
        <v>286.77</v>
      </c>
      <c r="BB69" s="12">
        <f>VLOOKUP(A69,'Données projet'!$A$87:$I$107,9,0)</f>
        <v>10.107499999999998</v>
      </c>
      <c r="BC69" s="12">
        <f t="array" ref="BC69">INDEX(BB:BB,MIN(IF(ISNUMBER(BB69:BB265),ROW(BB69:BB265),"")))</f>
        <v>10.107499999999998</v>
      </c>
      <c r="BD69" s="12">
        <f>IF('Données projet'!$A$88&gt;35,BD68+BC69-BL68,IF(A69&lt;'Données projet'!$A$88,$BA$205^A69,IF(A69='Données projet'!$A$88,'Données projet'!$B$88,BD68+BC69-BL68)))</f>
        <v>286.77000000000032</v>
      </c>
      <c r="BE69" s="13">
        <f>BD69*VLOOKUP('Données projet'!$B$11,Paramètres!$A$1:$I$89,3,0)*VLOOKUP('Données projet'!$B$11,Paramètres!$A$1:$I$89,5,0)</f>
        <v>259.46949600000028</v>
      </c>
      <c r="BF69" s="13">
        <f t="shared" ref="BF69:BF132" si="91">EXP(-1.0587+0.8836*LN(BE69)+0.284)</f>
        <v>62.609282502673501</v>
      </c>
      <c r="BG69" s="20">
        <f t="shared" si="61"/>
        <v>560.95387255882349</v>
      </c>
      <c r="BH69" s="59">
        <f t="shared" si="62"/>
        <v>825.40693167601057</v>
      </c>
      <c r="BI69" s="59">
        <f ca="1">AVERAGE(OFFSET($BH$3,0,0,'Données projet'!$E$11+1,1))-AVERAGE(OFFSET($H$3,0,0,'Données projet'!$E$11+1,1))</f>
        <v>681.47578137804555</v>
      </c>
      <c r="BJ69" s="59">
        <f t="shared" ref="BJ69:BJ132" si="92">$BJ$3</f>
        <v>300.88511065995885</v>
      </c>
      <c r="BK69" s="15">
        <f>IF(ISNA(VLOOKUP(A69,'Données projet'!$A$87:$I$107,3,0)),0,VLOOKUP(A69,'Données projet'!$A$87:$I$107,3,0))</f>
        <v>4</v>
      </c>
      <c r="BL69" s="15">
        <f>IF(ISNA(VLOOKUP(A69,'Données projet'!$A$87:$I$107,4,0)),0,VLOOKUP(A69,'Données projet'!$A$87:$I$107,4,0))</f>
        <v>53.679999999999978</v>
      </c>
      <c r="BM69" s="16">
        <f>IF(ISNA(VLOOKUP(A69,'Données projet'!$A$87:$I$107,5,0)),0%,VLOOKUP(A69,'Données projet'!$A$87:$I$107,5,0)*VLOOKUP('Données projet'!$B$11,Paramètres!$A$1:$I$89,7,0))</f>
        <v>0.15049999999999999</v>
      </c>
      <c r="BN69" s="16">
        <f>IF(ISNA(VLOOKUP(A69,'Données projet'!$A$87:$I$107,6,0)),0%,VLOOKUP(A69,'Données projet'!$A$87:$I$107,6,0)*VLOOKUP('Données projet'!$B$11,Paramètres!$A$1:$I$89,7,0))</f>
        <v>8.6000000000000007E-2</v>
      </c>
      <c r="BO69" s="16">
        <f>IF(ISNA(VLOOKUP(A69,'Données projet'!$A$87:$I$107,7,0)),0%,VLOOKUP(A69,'Données projet'!$A$87:$I$107,7,0))</f>
        <v>0.1</v>
      </c>
      <c r="BP69" s="21">
        <f>EXP(-LN(2)/35)*BP68+(1-EXP(-LN(2)/35))/(LN(2)/35)*BL69*BM69*VLOOKUP('Données projet'!$B$11,Paramètres!$A$1:$I$89,3,0)*0.475*44/12</f>
        <v>8.0806948968281098</v>
      </c>
      <c r="BQ69" s="21">
        <f>EXP(-LN(2)/25)*BQ68+(1-EXP(-LN(2)/25))/(LN(2)/25)*Calculateur!BL69*Calculateur!BN69*VLOOKUP('Données projet'!$B$11,Paramètres!$A$1:$I$89,3,0)*0.475*44/12</f>
        <v>33.817868407767122</v>
      </c>
      <c r="BR69" s="21">
        <f>EXP(-LN(2)/2)*BR68+(1-EXP(-LN(2)/2))/(LN(2)/2)*BL69*BO69*VLOOKUP('Données projet'!$B$11,Paramètres!$A$1:$I$89,3,0)*0.475*44/12</f>
        <v>5.1195523422004099</v>
      </c>
      <c r="BS69" s="22">
        <f t="shared" si="63"/>
        <v>47.018115646795636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4.9999999999999947</v>
      </c>
      <c r="BY69" s="12">
        <f>IF('Données projet'!$A$114&gt;35,BY68+BX69-CG68,IF(A69&lt;'Données projet'!$A$114,$BV$205^A69,IF(A69='Données projet'!$A$114,'Données projet'!$B$114,BY68+BX69-CG68)))</f>
        <v>231.92307692307699</v>
      </c>
      <c r="BZ69" s="13">
        <f>BY69*VLOOKUP('Données projet'!$B$12,Paramètres!$A$1:$I$89,3,0)*VLOOKUP('Données projet'!$B$12,Paramètres!$A$1:$I$89,5,0)</f>
        <v>155.57400000000004</v>
      </c>
      <c r="CA69" s="13">
        <f t="shared" ref="CA69:CA132" si="93">EXP(-1.0587+0.8836*LN(BZ69)+0.284)</f>
        <v>39.842594745761524</v>
      </c>
      <c r="CB69" s="20">
        <f t="shared" si="64"/>
        <v>340.35056918220135</v>
      </c>
      <c r="CC69" s="59">
        <f t="shared" si="65"/>
        <v>604.80362829938849</v>
      </c>
      <c r="CD69" s="59">
        <f ca="1">AVERAGE(OFFSET($CC$3,0,0,'Données projet'!$E$12+1,1))-AVERAGE(OFFSET($H$3,0,0,'Données projet'!$E$12+1,1))</f>
        <v>335.73816489539837</v>
      </c>
      <c r="CE69" s="59">
        <f t="shared" ref="CE69:CE132" si="94">$CE$3</f>
        <v>254.09787950201044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2.5830661188538571</v>
      </c>
      <c r="CL69" s="21">
        <f>EXP(-LN(2)/25)*CL68+(1-EXP(-LN(2)/25))/(LN(2)/25)*Calculateur!CG69*Calculateur!CI69*VLOOKUP('Données projet'!$B$12,Paramètres!$A$1:$I$89,3,0)*0.475*44/12</f>
        <v>8.805741343096587</v>
      </c>
      <c r="CM69" s="21">
        <f>EXP(-LN(2)/2)*CM68+(1-EXP(-LN(2)/2))/(LN(2)/2)*CG69*CJ69*VLOOKUP('Données projet'!$B$12,Paramètres!$A$1:$I$89,3,0)*0.475*44/12</f>
        <v>1.8636773529433119</v>
      </c>
      <c r="CN69" s="22">
        <f t="shared" si="66"/>
        <v>13.252484814893755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1.1368683772161603E-13</v>
      </c>
      <c r="CU69" s="17">
        <f>CT69*VLOOKUP('Données projet'!$B$13,Paramètres!$A$1:$I$89,3,0)*VLOOKUP('Données projet'!$B$13,Paramètres!$A$1:$I$89,5,0)</f>
        <v>6.7984728957526396E-14</v>
      </c>
      <c r="CV69" s="13">
        <f t="shared" ref="CV69:CV132" si="95">EXP(-1.0587+0.8836*LN(CU69)+0.284)</f>
        <v>1.0682447123141398E-12</v>
      </c>
      <c r="CW69" s="20">
        <f t="shared" si="67"/>
        <v>1.978932943548152E-12</v>
      </c>
      <c r="CX69" s="59">
        <f t="shared" si="68"/>
        <v>264.45305911718907</v>
      </c>
      <c r="CY69" s="59">
        <f ca="1">AVERAGE(OFFSET($CX$3,0,0,'Données projet'!$E$13+1,1))-AVERAGE(OFFSET($H$3,0,0,'Données projet'!$E$13+1,1))</f>
        <v>318.50474972254085</v>
      </c>
      <c r="CZ69" s="59">
        <f t="shared" ref="CZ69:CZ132" si="96">$CZ$3</f>
        <v>326.45858332753562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123.31062718123894</v>
      </c>
      <c r="DG69" s="21">
        <f>EXP(-LN(2)/25)*DG68+(1-EXP(-LN(2)/25))/(LN(2)/25)*Calculateur!DB69*Calculateur!DD69*VLOOKUP('Données projet'!$B$13,Paramètres!$A$1:$I$89,3,0)*0.475*44/12</f>
        <v>41.016781344955575</v>
      </c>
      <c r="DH69" s="21">
        <f>EXP(-LN(2)/2)*DH68+(1-EXP(-LN(2)/2))/(LN(2)/2)*DB69*DE69*VLOOKUP('Données projet'!$B$13,Paramètres!$A$1:$I$89,3,0)*0.475*44/12</f>
        <v>7.4951803529191734</v>
      </c>
      <c r="DI69" s="22">
        <f t="shared" si="69"/>
        <v>171.82258887911368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3">
        <f>'Scénario référence'!$B$16*5+'Scénario référence'!$B$17*0+'Scénario référence'!$B$18*5</f>
        <v>5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67">
        <f t="shared" si="56"/>
        <v>183.33333333333334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5.6843418860808015E-14</v>
      </c>
      <c r="O70" s="13">
        <f>N70*VLOOKUP('Données projet'!$B$9,Paramètres!$A$1:$I$89,3,0)*VLOOKUP('Données projet'!$B$9,Paramètres!$A$1:$I$89,5,0)</f>
        <v>5.1431925385259088E-14</v>
      </c>
      <c r="P70" s="13">
        <f t="shared" si="87"/>
        <v>8.3482866290946129E-13</v>
      </c>
      <c r="Q70" s="20">
        <f t="shared" si="54"/>
        <v>1.5435705246133045E-12</v>
      </c>
      <c r="R70" s="59">
        <f t="shared" si="55"/>
        <v>264.95406730821844</v>
      </c>
      <c r="S70" s="59">
        <f ca="1">AVERAGE(OFFSET($R$3,0,0,'Données projet'!$E$9+1,1))-AVERAGE(OFFSET($H$3,0,0,'Données projet'!$E$9+1,1))</f>
        <v>214.60547318405733</v>
      </c>
      <c r="T70" s="59">
        <f t="shared" si="88"/>
        <v>306.35874106546646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10.096330917288487</v>
      </c>
      <c r="AA70" s="21">
        <f>EXP(-LN(2)/25)*AA69+(1-EXP(-LN(2)/25))/(LN(2)/25)*Calculateur!V70*Calculateur!X70*VLOOKUP('Données projet'!$B$9,Paramètres!$A$1:$I$89,3,0)*0.475*44/12</f>
        <v>7.181688814241717</v>
      </c>
      <c r="AB70" s="21">
        <f>EXP(-LN(2)/2)*AB69+(1-EXP(-LN(2)/2))/(LN(2)/2)*V70*Y70*VLOOKUP('Données projet'!$B$9,Paramètres!$A$1:$I$89,3,0)*0.475*44/12</f>
        <v>6.7336862225939294E-3</v>
      </c>
      <c r="AC70" s="22">
        <f t="shared" si="57"/>
        <v>17.284753417752796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9.733749999999997</v>
      </c>
      <c r="AI70" s="13">
        <f>IF('Données projet'!$A$62&gt;35,AI69+AH70-AQ69,IF(A70&lt;'Données projet'!$A$62,$AF$205^A70,IF(A70='Données projet'!$A$62,'Données projet'!$B$62,AI69+AH70-AQ69)))</f>
        <v>242.82375000000033</v>
      </c>
      <c r="AJ70" s="13">
        <f>AI70*VLOOKUP('Données projet'!$B$10,Paramètres!$A$1:$I$89,3,0)*VLOOKUP('Données projet'!$B$10,Paramètres!$A$1:$I$89,5,0)</f>
        <v>246.22328250000032</v>
      </c>
      <c r="AK70" s="13">
        <f t="shared" si="89"/>
        <v>59.776498563165894</v>
      </c>
      <c r="AL70" s="20">
        <f t="shared" si="58"/>
        <v>532.94961868501457</v>
      </c>
      <c r="AM70" s="59">
        <f t="shared" si="59"/>
        <v>797.90368599323142</v>
      </c>
      <c r="AN70" s="59">
        <f ca="1">AVERAGE(OFFSET($AM$3,0,0,'Données projet'!$E$10+1,1))-AVERAGE(OFFSET($H$3,0,0,'Données projet'!$E$10+1,1))</f>
        <v>752.45542076695506</v>
      </c>
      <c r="AO70" s="59">
        <f t="shared" si="90"/>
        <v>329.70629768420724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8.8783694984742105</v>
      </c>
      <c r="AV70" s="21">
        <f>EXP(-LN(2)/25)*AV69+(1-EXP(-LN(2)/25))/(LN(2)/25)*Calculateur!AQ70*Calculateur!AS70*VLOOKUP('Données projet'!$B$10,Paramètres!$A$1:$I$89,3,0)*0.475*44/12</f>
        <v>36.862975968170709</v>
      </c>
      <c r="AW70" s="21">
        <f>EXP(-LN(2)/2)*AW69+(1-EXP(-LN(2)/2))/(LN(2)/2)*AQ70*AT70*VLOOKUP('Données projet'!$B$10,Paramètres!$A$1:$I$89,3,0)*0.475*44/12</f>
        <v>4.0569751992691359</v>
      </c>
      <c r="AX70" s="21">
        <f t="shared" si="60"/>
        <v>49.798320665914048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9.733749999999997</v>
      </c>
      <c r="BD70" s="12">
        <f>IF('Données projet'!$A$88&gt;35,BD69+BC70-BL69,IF(A70&lt;'Données projet'!$A$88,$BA$205^A70,IF(A70='Données projet'!$A$88,'Données projet'!$B$88,BD69+BC70-BL69)))</f>
        <v>242.82375000000033</v>
      </c>
      <c r="BE70" s="13">
        <f>BD70*VLOOKUP('Données projet'!$B$11,Paramètres!$A$1:$I$89,3,0)*VLOOKUP('Données projet'!$B$11,Paramètres!$A$1:$I$89,5,0)</f>
        <v>219.70692900000031</v>
      </c>
      <c r="BF70" s="13">
        <f t="shared" si="91"/>
        <v>54.051183245794981</v>
      </c>
      <c r="BG70" s="20">
        <f t="shared" si="61"/>
        <v>476.79537882809342</v>
      </c>
      <c r="BH70" s="59">
        <f t="shared" si="62"/>
        <v>741.74944613631033</v>
      </c>
      <c r="BI70" s="59">
        <f ca="1">AVERAGE(OFFSET($BH$3,0,0,'Données projet'!$E$11+1,1))-AVERAGE(OFFSET($H$3,0,0,'Données projet'!$E$11+1,1))</f>
        <v>681.47578137804555</v>
      </c>
      <c r="BJ70" s="59">
        <f t="shared" si="92"/>
        <v>300.88511065995885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7.9222373986385248</v>
      </c>
      <c r="BQ70" s="21">
        <f>EXP(-LN(2)/25)*BQ69+(1-EXP(-LN(2)/25))/(LN(2)/25)*Calculateur!BL70*Calculateur!BN70*VLOOKUP('Données projet'!$B$11,Paramètres!$A$1:$I$89,3,0)*0.475*44/12</f>
        <v>32.893117017752324</v>
      </c>
      <c r="BR70" s="21">
        <f>EXP(-LN(2)/2)*BR69+(1-EXP(-LN(2)/2))/(LN(2)/2)*BL70*BO70*VLOOKUP('Données projet'!$B$11,Paramètres!$A$1:$I$89,3,0)*0.475*44/12</f>
        <v>3.6200701778093825</v>
      </c>
      <c r="BS70" s="22">
        <f t="shared" si="63"/>
        <v>44.435424594200228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4.9999999999999947</v>
      </c>
      <c r="BY70" s="12">
        <f>IF('Données projet'!$A$114&gt;35,BY69+BX70-CG69,IF(A70&lt;'Données projet'!$A$114,$BV$205^A70,IF(A70='Données projet'!$A$114,'Données projet'!$B$114,BY69+BX70-CG69)))</f>
        <v>236.92307692307699</v>
      </c>
      <c r="BZ70" s="13">
        <f>BY70*VLOOKUP('Données projet'!$B$12,Paramètres!$A$1:$I$89,3,0)*VLOOKUP('Données projet'!$B$12,Paramètres!$A$1:$I$89,5,0)</f>
        <v>158.92800000000005</v>
      </c>
      <c r="CA70" s="13">
        <f t="shared" si="93"/>
        <v>40.60062829386689</v>
      </c>
      <c r="CB70" s="20">
        <f t="shared" si="64"/>
        <v>347.51236094515156</v>
      </c>
      <c r="CC70" s="59">
        <f t="shared" si="65"/>
        <v>612.46642825336846</v>
      </c>
      <c r="CD70" s="59">
        <f ca="1">AVERAGE(OFFSET($CC$3,0,0,'Données projet'!$E$12+1,1))-AVERAGE(OFFSET($H$3,0,0,'Données projet'!$E$12+1,1))</f>
        <v>335.73816489539837</v>
      </c>
      <c r="CE70" s="59">
        <f t="shared" si="94"/>
        <v>254.09787950201044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2.5324137677778964</v>
      </c>
      <c r="CL70" s="21">
        <f>EXP(-LN(2)/25)*CL69+(1-EXP(-LN(2)/25))/(LN(2)/25)*Calculateur!CG70*Calculateur!CI70*VLOOKUP('Données projet'!$B$12,Paramètres!$A$1:$I$89,3,0)*0.475*44/12</f>
        <v>8.5649478829957992</v>
      </c>
      <c r="CM70" s="21">
        <f>EXP(-LN(2)/2)*CM69+(1-EXP(-LN(2)/2))/(LN(2)/2)*CG70*CJ70*VLOOKUP('Données projet'!$B$12,Paramètres!$A$1:$I$89,3,0)*0.475*44/12</f>
        <v>1.3178188942100106</v>
      </c>
      <c r="CN70" s="22">
        <f t="shared" si="66"/>
        <v>12.415180544983706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1.1368683772161603E-13</v>
      </c>
      <c r="CU70" s="17">
        <f>CT70*VLOOKUP('Données projet'!$B$13,Paramètres!$A$1:$I$89,3,0)*VLOOKUP('Données projet'!$B$13,Paramètres!$A$1:$I$89,5,0)</f>
        <v>6.7984728957526396E-14</v>
      </c>
      <c r="CV70" s="13">
        <f t="shared" si="95"/>
        <v>1.0682447123141398E-12</v>
      </c>
      <c r="CW70" s="20">
        <f t="shared" si="67"/>
        <v>1.978932943548152E-12</v>
      </c>
      <c r="CX70" s="59">
        <f t="shared" si="68"/>
        <v>264.9540673082189</v>
      </c>
      <c r="CY70" s="59">
        <f ca="1">AVERAGE(OFFSET($CX$3,0,0,'Données projet'!$E$13+1,1))-AVERAGE(OFFSET($H$3,0,0,'Données projet'!$E$13+1,1))</f>
        <v>318.50474972254085</v>
      </c>
      <c r="CZ70" s="59">
        <f t="shared" si="96"/>
        <v>326.45858332753562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120.89258099427086</v>
      </c>
      <c r="DG70" s="21">
        <f>EXP(-LN(2)/25)*DG69+(1-EXP(-LN(2)/25))/(LN(2)/25)*Calculateur!DB70*Calculateur!DD70*VLOOKUP('Données projet'!$B$13,Paramètres!$A$1:$I$89,3,0)*0.475*44/12</f>
        <v>39.895175302098977</v>
      </c>
      <c r="DH70" s="21">
        <f>EXP(-LN(2)/2)*DH69+(1-EXP(-LN(2)/2))/(LN(2)/2)*DB70*DE70*VLOOKUP('Données projet'!$B$13,Paramètres!$A$1:$I$89,3,0)*0.475*44/12</f>
        <v>5.2998928537653285</v>
      </c>
      <c r="DI70" s="22">
        <f t="shared" si="69"/>
        <v>166.08764915013515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3">
        <f>'Scénario référence'!$B$16*5+'Scénario référence'!$B$17*0+'Scénario référence'!$B$18*5</f>
        <v>5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67">
        <f t="shared" si="56"/>
        <v>183.33333333333334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5.6843418860808015E-14</v>
      </c>
      <c r="O71" s="13">
        <f>N71*VLOOKUP('Données projet'!$B$9,Paramètres!$A$1:$I$89,3,0)*VLOOKUP('Données projet'!$B$9,Paramètres!$A$1:$I$89,5,0)</f>
        <v>5.1431925385259088E-14</v>
      </c>
      <c r="P71" s="13">
        <f t="shared" si="87"/>
        <v>8.3482866290946129E-13</v>
      </c>
      <c r="Q71" s="20">
        <f t="shared" si="54"/>
        <v>1.5435705246133045E-12</v>
      </c>
      <c r="R71" s="59">
        <f t="shared" si="55"/>
        <v>265.44638412722037</v>
      </c>
      <c r="S71" s="59">
        <f ca="1">AVERAGE(OFFSET($R$3,0,0,'Données projet'!$E$9+1,1))-AVERAGE(OFFSET($H$3,0,0,'Données projet'!$E$9+1,1))</f>
        <v>214.60547318405733</v>
      </c>
      <c r="T71" s="59">
        <f t="shared" si="88"/>
        <v>306.35874106546646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9.8983480261542525</v>
      </c>
      <c r="AA71" s="21">
        <f>EXP(-LN(2)/25)*AA70+(1-EXP(-LN(2)/25))/(LN(2)/25)*Calculateur!V71*Calculateur!X71*VLOOKUP('Données projet'!$B$9,Paramètres!$A$1:$I$89,3,0)*0.475*44/12</f>
        <v>6.9853051559476764</v>
      </c>
      <c r="AB71" s="21">
        <f>EXP(-LN(2)/2)*AB70+(1-EXP(-LN(2)/2))/(LN(2)/2)*V71*Y71*VLOOKUP('Données projet'!$B$9,Paramètres!$A$1:$I$89,3,0)*0.475*44/12</f>
        <v>4.7614351903785953E-3</v>
      </c>
      <c r="AC71" s="22">
        <f t="shared" si="57"/>
        <v>16.888414617292309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9.733749999999997</v>
      </c>
      <c r="AI71" s="13">
        <f>IF('Données projet'!$A$62&gt;35,AI70+AH71-AQ70,IF(A71&lt;'Données projet'!$A$62,$AF$205^A71,IF(A71='Données projet'!$A$62,'Données projet'!$B$62,AI70+AH71-AQ70)))</f>
        <v>252.55750000000032</v>
      </c>
      <c r="AJ71" s="13">
        <f>AI71*VLOOKUP('Données projet'!$B$10,Paramètres!$A$1:$I$89,3,0)*VLOOKUP('Données projet'!$B$10,Paramètres!$A$1:$I$89,5,0)</f>
        <v>256.09330500000038</v>
      </c>
      <c r="AK71" s="13">
        <f t="shared" si="89"/>
        <v>61.888896112284726</v>
      </c>
      <c r="AL71" s="20">
        <f t="shared" si="58"/>
        <v>553.81900027056327</v>
      </c>
      <c r="AM71" s="59">
        <f t="shared" si="59"/>
        <v>819.2653843977821</v>
      </c>
      <c r="AN71" s="59">
        <f ca="1">AVERAGE(OFFSET($AM$3,0,0,'Données projet'!$E$10+1,1))-AVERAGE(OFFSET($H$3,0,0,'Données projet'!$E$10+1,1))</f>
        <v>752.45542076695506</v>
      </c>
      <c r="AO71" s="59">
        <f t="shared" si="90"/>
        <v>329.70629768420724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8.7042700878798112</v>
      </c>
      <c r="AV71" s="21">
        <f>EXP(-LN(2)/25)*AV70+(1-EXP(-LN(2)/25))/(LN(2)/25)*Calculateur!AQ71*Calculateur!AS71*VLOOKUP('Données projet'!$B$10,Paramètres!$A$1:$I$89,3,0)*0.475*44/12</f>
        <v>35.854955951781427</v>
      </c>
      <c r="AW71" s="21">
        <f>EXP(-LN(2)/2)*AW70+(1-EXP(-LN(2)/2))/(LN(2)/2)*AQ71*AT71*VLOOKUP('Données projet'!$B$10,Paramètres!$A$1:$I$89,3,0)*0.475*44/12</f>
        <v>2.8687146745088512</v>
      </c>
      <c r="AX71" s="21">
        <f t="shared" si="60"/>
        <v>47.427940714170091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9.733749999999997</v>
      </c>
      <c r="BD71" s="12">
        <f>IF('Données projet'!$A$88&gt;35,BD70+BC71-BL70,IF(A71&lt;'Données projet'!$A$88,$BA$205^A71,IF(A71='Données projet'!$A$88,'Données projet'!$B$88,BD70+BC71-BL70)))</f>
        <v>252.55750000000032</v>
      </c>
      <c r="BE71" s="13">
        <f>BD71*VLOOKUP('Données projet'!$B$11,Paramètres!$A$1:$I$89,3,0)*VLOOKUP('Données projet'!$B$11,Paramètres!$A$1:$I$89,5,0)</f>
        <v>228.51402600000029</v>
      </c>
      <c r="BF71" s="13">
        <f t="shared" si="91"/>
        <v>55.96125810397254</v>
      </c>
      <c r="BG71" s="20">
        <f t="shared" si="61"/>
        <v>495.46111981441936</v>
      </c>
      <c r="BH71" s="59">
        <f t="shared" si="62"/>
        <v>760.9075039416382</v>
      </c>
      <c r="BI71" s="59">
        <f ca="1">AVERAGE(OFFSET($BH$3,0,0,'Données projet'!$E$11+1,1))-AVERAGE(OFFSET($H$3,0,0,'Données projet'!$E$11+1,1))</f>
        <v>681.47578137804555</v>
      </c>
      <c r="BJ71" s="59">
        <f t="shared" si="92"/>
        <v>300.88511065995885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7.7668871553389076</v>
      </c>
      <c r="BQ71" s="21">
        <f>EXP(-LN(2)/25)*BQ70+(1-EXP(-LN(2)/25))/(LN(2)/25)*Calculateur!BL71*Calculateur!BN71*VLOOKUP('Données projet'!$B$11,Paramètres!$A$1:$I$89,3,0)*0.475*44/12</f>
        <v>31.993653003128042</v>
      </c>
      <c r="BR71" s="21">
        <f>EXP(-LN(2)/2)*BR70+(1-EXP(-LN(2)/2))/(LN(2)/2)*BL71*BO71*VLOOKUP('Données projet'!$B$11,Paramètres!$A$1:$I$89,3,0)*0.475*44/12</f>
        <v>2.5597761711002054</v>
      </c>
      <c r="BS71" s="22">
        <f t="shared" si="63"/>
        <v>42.320316329567156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4.9999999999999947</v>
      </c>
      <c r="BY71" s="12">
        <f>IF('Données projet'!$A$114&gt;35,BY70+BX71-CG70,IF(A71&lt;'Données projet'!$A$114,$BV$205^A71,IF(A71='Données projet'!$A$114,'Données projet'!$B$114,BY70+BX71-CG70)))</f>
        <v>241.92307692307699</v>
      </c>
      <c r="BZ71" s="13">
        <f>BY71*VLOOKUP('Données projet'!$B$12,Paramètres!$A$1:$I$89,3,0)*VLOOKUP('Données projet'!$B$12,Paramètres!$A$1:$I$89,5,0)</f>
        <v>162.28200000000007</v>
      </c>
      <c r="CA71" s="13">
        <f t="shared" si="93"/>
        <v>41.35680187680066</v>
      </c>
      <c r="CB71" s="20">
        <f t="shared" si="64"/>
        <v>354.67091326876124</v>
      </c>
      <c r="CC71" s="59">
        <f t="shared" si="65"/>
        <v>620.11729739598013</v>
      </c>
      <c r="CD71" s="59">
        <f ca="1">AVERAGE(OFFSET($CC$3,0,0,'Données projet'!$E$12+1,1))-AVERAGE(OFFSET($H$3,0,0,'Données projet'!$E$12+1,1))</f>
        <v>335.73816489539837</v>
      </c>
      <c r="CE71" s="59">
        <f t="shared" si="94"/>
        <v>254.09787950201044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2.4827546784116516</v>
      </c>
      <c r="CL71" s="21">
        <f>EXP(-LN(2)/25)*CL70+(1-EXP(-LN(2)/25))/(LN(2)/25)*Calculateur!CG71*Calculateur!CI71*VLOOKUP('Données projet'!$B$12,Paramètres!$A$1:$I$89,3,0)*0.475*44/12</f>
        <v>8.3307389327242447</v>
      </c>
      <c r="CM71" s="21">
        <f>EXP(-LN(2)/2)*CM70+(1-EXP(-LN(2)/2))/(LN(2)/2)*CG71*CJ71*VLOOKUP('Données projet'!$B$12,Paramètres!$A$1:$I$89,3,0)*0.475*44/12</f>
        <v>0.93183867647165608</v>
      </c>
      <c r="CN71" s="22">
        <f t="shared" si="66"/>
        <v>11.745332287607553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1.1368683772161603E-13</v>
      </c>
      <c r="CU71" s="17">
        <f>CT71*VLOOKUP('Données projet'!$B$13,Paramètres!$A$1:$I$89,3,0)*VLOOKUP('Données projet'!$B$13,Paramètres!$A$1:$I$89,5,0)</f>
        <v>6.7984728957526396E-14</v>
      </c>
      <c r="CV71" s="13">
        <f t="shared" si="95"/>
        <v>1.0682447123141398E-12</v>
      </c>
      <c r="CW71" s="20">
        <f t="shared" si="67"/>
        <v>1.978932943548152E-12</v>
      </c>
      <c r="CX71" s="59">
        <f t="shared" si="68"/>
        <v>265.44638412722082</v>
      </c>
      <c r="CY71" s="59">
        <f ca="1">AVERAGE(OFFSET($CX$3,0,0,'Données projet'!$E$13+1,1))-AVERAGE(OFFSET($H$3,0,0,'Données projet'!$E$13+1,1))</f>
        <v>318.50474972254085</v>
      </c>
      <c r="CZ71" s="59">
        <f t="shared" si="96"/>
        <v>326.45858332753562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118.52195121816666</v>
      </c>
      <c r="DG71" s="21">
        <f>EXP(-LN(2)/25)*DG70+(1-EXP(-LN(2)/25))/(LN(2)/25)*Calculateur!DB71*Calculateur!DD71*VLOOKUP('Données projet'!$B$13,Paramètres!$A$1:$I$89,3,0)*0.475*44/12</f>
        <v>38.804239635466992</v>
      </c>
      <c r="DH71" s="21">
        <f>EXP(-LN(2)/2)*DH70+(1-EXP(-LN(2)/2))/(LN(2)/2)*DB71*DE71*VLOOKUP('Données projet'!$B$13,Paramètres!$A$1:$I$89,3,0)*0.475*44/12</f>
        <v>3.7475901764595871</v>
      </c>
      <c r="DI71" s="22">
        <f t="shared" si="69"/>
        <v>161.07378103009324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3">
        <f>'Scénario référence'!$B$16*5+'Scénario référence'!$B$17*0+'Scénario référence'!$B$18*5</f>
        <v>5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67">
        <f t="shared" si="56"/>
        <v>183.33333333333334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5.6843418860808015E-14</v>
      </c>
      <c r="O72" s="13">
        <f>N72*VLOOKUP('Données projet'!$B$9,Paramètres!$A$1:$I$89,3,0)*VLOOKUP('Données projet'!$B$9,Paramètres!$A$1:$I$89,5,0)</f>
        <v>5.1431925385259088E-14</v>
      </c>
      <c r="P72" s="13">
        <f t="shared" si="87"/>
        <v>8.3482866290946129E-13</v>
      </c>
      <c r="Q72" s="20">
        <f t="shared" si="54"/>
        <v>1.5435705246133045E-12</v>
      </c>
      <c r="R72" s="59">
        <f t="shared" si="55"/>
        <v>265.93016035006809</v>
      </c>
      <c r="S72" s="59">
        <f ca="1">AVERAGE(OFFSET($R$3,0,0,'Données projet'!$E$9+1,1))-AVERAGE(OFFSET($H$3,0,0,'Données projet'!$E$9+1,1))</f>
        <v>214.60547318405733</v>
      </c>
      <c r="T72" s="59">
        <f t="shared" si="88"/>
        <v>306.35874106546646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9.7042474587575196</v>
      </c>
      <c r="AA72" s="21">
        <f>EXP(-LN(2)/25)*AA71+(1-EXP(-LN(2)/25))/(LN(2)/25)*Calculateur!V72*Calculateur!X72*VLOOKUP('Données projet'!$B$9,Paramètres!$A$1:$I$89,3,0)*0.475*44/12</f>
        <v>6.7942916191170539</v>
      </c>
      <c r="AB72" s="21">
        <f>EXP(-LN(2)/2)*AB71+(1-EXP(-LN(2)/2))/(LN(2)/2)*V72*Y72*VLOOKUP('Données projet'!$B$9,Paramètres!$A$1:$I$89,3,0)*0.475*44/12</f>
        <v>3.3668431112969647E-3</v>
      </c>
      <c r="AC72" s="22">
        <f t="shared" si="57"/>
        <v>16.501905920985873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9.733749999999997</v>
      </c>
      <c r="AI72" s="13">
        <f>IF('Données projet'!$A$62&gt;35,AI71+AH72-AQ71,IF(A72&lt;'Données projet'!$A$62,$AF$205^A72,IF(A72='Données projet'!$A$62,'Données projet'!$B$62,AI71+AH72-AQ71)))</f>
        <v>262.29125000000033</v>
      </c>
      <c r="AJ72" s="13">
        <f>AI72*VLOOKUP('Données projet'!$B$10,Paramètres!$A$1:$I$89,3,0)*VLOOKUP('Données projet'!$B$10,Paramètres!$A$1:$I$89,5,0)</f>
        <v>265.96332750000033</v>
      </c>
      <c r="AK72" s="13">
        <f t="shared" si="89"/>
        <v>63.991835900335317</v>
      </c>
      <c r="AL72" s="20">
        <f t="shared" si="58"/>
        <v>574.67190958891786</v>
      </c>
      <c r="AM72" s="59">
        <f t="shared" si="59"/>
        <v>840.60206993898441</v>
      </c>
      <c r="AN72" s="59">
        <f ca="1">AVERAGE(OFFSET($AM$3,0,0,'Données projet'!$E$10+1,1))-AVERAGE(OFFSET($H$3,0,0,'Données projet'!$E$10+1,1))</f>
        <v>752.45542076695506</v>
      </c>
      <c r="AO72" s="59">
        <f t="shared" si="90"/>
        <v>329.70629768420724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8.5335846605370129</v>
      </c>
      <c r="AV72" s="21">
        <f>EXP(-LN(2)/25)*AV71+(1-EXP(-LN(2)/25))/(LN(2)/25)*Calculateur!AQ72*Calculateur!AS72*VLOOKUP('Données projet'!$B$10,Paramètres!$A$1:$I$89,3,0)*0.475*44/12</f>
        <v>34.874500295749776</v>
      </c>
      <c r="AW72" s="21">
        <f>EXP(-LN(2)/2)*AW71+(1-EXP(-LN(2)/2))/(LN(2)/2)*AQ72*AT72*VLOOKUP('Données projet'!$B$10,Paramètres!$A$1:$I$89,3,0)*0.475*44/12</f>
        <v>2.0284875996345684</v>
      </c>
      <c r="AX72" s="21">
        <f t="shared" si="60"/>
        <v>45.436572555921352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9.733749999999997</v>
      </c>
      <c r="BD72" s="12">
        <f>IF('Données projet'!$A$88&gt;35,BD71+BC72-BL71,IF(A72&lt;'Données projet'!$A$88,$BA$205^A72,IF(A72='Données projet'!$A$88,'Données projet'!$B$88,BD71+BC72-BL71)))</f>
        <v>262.29125000000033</v>
      </c>
      <c r="BE72" s="13">
        <f>BD72*VLOOKUP('Données projet'!$B$11,Paramètres!$A$1:$I$89,3,0)*VLOOKUP('Données projet'!$B$11,Paramètres!$A$1:$I$89,5,0)</f>
        <v>237.32112300000028</v>
      </c>
      <c r="BF72" s="13">
        <f t="shared" si="91"/>
        <v>57.862781053141006</v>
      </c>
      <c r="BG72" s="20">
        <f t="shared" si="61"/>
        <v>514.11196622588784</v>
      </c>
      <c r="BH72" s="59">
        <f t="shared" si="62"/>
        <v>780.0421265759544</v>
      </c>
      <c r="BI72" s="59">
        <f ca="1">AVERAGE(OFFSET($BH$3,0,0,'Données projet'!$E$11+1,1))-AVERAGE(OFFSET($H$3,0,0,'Données projet'!$E$11+1,1))</f>
        <v>681.47578137804555</v>
      </c>
      <c r="BJ72" s="59">
        <f t="shared" si="92"/>
        <v>300.88511065995885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7.6145832355561032</v>
      </c>
      <c r="BQ72" s="21">
        <f>EXP(-LN(2)/25)*BQ71+(1-EXP(-LN(2)/25))/(LN(2)/25)*Calculateur!BL72*Calculateur!BN72*VLOOKUP('Données projet'!$B$11,Paramètres!$A$1:$I$89,3,0)*0.475*44/12</f>
        <v>31.118784879284416</v>
      </c>
      <c r="BR72" s="21">
        <f>EXP(-LN(2)/2)*BR71+(1-EXP(-LN(2)/2))/(LN(2)/2)*BL72*BO72*VLOOKUP('Données projet'!$B$11,Paramètres!$A$1:$I$89,3,0)*0.475*44/12</f>
        <v>1.8100350889046914</v>
      </c>
      <c r="BS72" s="22">
        <f t="shared" si="63"/>
        <v>40.543403203745207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4.9999999999999947</v>
      </c>
      <c r="BY72" s="12">
        <f>IF('Données projet'!$A$114&gt;35,BY71+BX72-CG71,IF(A72&lt;'Données projet'!$A$114,$BV$205^A72,IF(A72='Données projet'!$A$114,'Données projet'!$B$114,BY71+BX72-CG71)))</f>
        <v>246.92307692307699</v>
      </c>
      <c r="BZ72" s="13">
        <f>BY72*VLOOKUP('Données projet'!$B$12,Paramètres!$A$1:$I$89,3,0)*VLOOKUP('Données projet'!$B$12,Paramètres!$A$1:$I$89,5,0)</f>
        <v>165.63600000000005</v>
      </c>
      <c r="CA72" s="13">
        <f t="shared" si="93"/>
        <v>42.111158364957326</v>
      </c>
      <c r="CB72" s="20">
        <f t="shared" si="64"/>
        <v>361.82630081896741</v>
      </c>
      <c r="CC72" s="59">
        <f t="shared" si="65"/>
        <v>627.75646116903397</v>
      </c>
      <c r="CD72" s="59">
        <f ca="1">AVERAGE(OFFSET($CC$3,0,0,'Données projet'!$E$12+1,1))-AVERAGE(OFFSET($H$3,0,0,'Données projet'!$E$12+1,1))</f>
        <v>335.73816489539837</v>
      </c>
      <c r="CE72" s="59">
        <f t="shared" si="94"/>
        <v>254.09787950201044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2.4340693734988252</v>
      </c>
      <c r="CL72" s="21">
        <f>EXP(-LN(2)/25)*CL71+(1-EXP(-LN(2)/25))/(LN(2)/25)*Calculateur!CG72*Calculateur!CI72*VLOOKUP('Données projet'!$B$12,Paramètres!$A$1:$I$89,3,0)*0.475*44/12</f>
        <v>8.1029344385143798</v>
      </c>
      <c r="CM72" s="21">
        <f>EXP(-LN(2)/2)*CM71+(1-EXP(-LN(2)/2))/(LN(2)/2)*CG72*CJ72*VLOOKUP('Données projet'!$B$12,Paramètres!$A$1:$I$89,3,0)*0.475*44/12</f>
        <v>0.65890944710500543</v>
      </c>
      <c r="CN72" s="22">
        <f t="shared" si="66"/>
        <v>11.19591325911821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1.1368683772161603E-13</v>
      </c>
      <c r="CU72" s="17">
        <f>CT72*VLOOKUP('Données projet'!$B$13,Paramètres!$A$1:$I$89,3,0)*VLOOKUP('Données projet'!$B$13,Paramètres!$A$1:$I$89,5,0)</f>
        <v>6.7984728957526396E-14</v>
      </c>
      <c r="CV72" s="13">
        <f t="shared" si="95"/>
        <v>1.0682447123141398E-12</v>
      </c>
      <c r="CW72" s="20">
        <f t="shared" si="67"/>
        <v>1.978932943548152E-12</v>
      </c>
      <c r="CX72" s="59">
        <f t="shared" si="68"/>
        <v>265.93016035006855</v>
      </c>
      <c r="CY72" s="59">
        <f ca="1">AVERAGE(OFFSET($CX$3,0,0,'Données projet'!$E$13+1,1))-AVERAGE(OFFSET($H$3,0,0,'Données projet'!$E$13+1,1))</f>
        <v>318.50474972254085</v>
      </c>
      <c r="CZ72" s="59">
        <f t="shared" si="96"/>
        <v>326.45858332753562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116.19780804603049</v>
      </c>
      <c r="DG72" s="21">
        <f>EXP(-LN(2)/25)*DG71+(1-EXP(-LN(2)/25))/(LN(2)/25)*Calculateur!DB72*Calculateur!DD72*VLOOKUP('Données projet'!$B$13,Paramètres!$A$1:$I$89,3,0)*0.475*44/12</f>
        <v>37.743135662008875</v>
      </c>
      <c r="DH72" s="21">
        <f>EXP(-LN(2)/2)*DH71+(1-EXP(-LN(2)/2))/(LN(2)/2)*DB72*DE72*VLOOKUP('Données projet'!$B$13,Paramètres!$A$1:$I$89,3,0)*0.475*44/12</f>
        <v>2.6499464268826647</v>
      </c>
      <c r="DI72" s="22">
        <f t="shared" si="69"/>
        <v>156.59089013492203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3">
        <f>'Scénario référence'!$B$16*5+'Scénario référence'!$B$17*0+'Scénario référence'!$B$18*5</f>
        <v>5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67">
        <f t="shared" si="56"/>
        <v>183.33333333333334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5.6843418860808015E-14</v>
      </c>
      <c r="O73" s="13">
        <f>N73*VLOOKUP('Données projet'!$B$9,Paramètres!$A$1:$I$89,3,0)*VLOOKUP('Données projet'!$B$9,Paramètres!$A$1:$I$89,5,0)</f>
        <v>5.1431925385259088E-14</v>
      </c>
      <c r="P73" s="13">
        <f t="shared" si="87"/>
        <v>8.3482866290946129E-13</v>
      </c>
      <c r="Q73" s="20">
        <f t="shared" si="54"/>
        <v>1.5435705246133045E-12</v>
      </c>
      <c r="R73" s="59">
        <f t="shared" si="55"/>
        <v>266.40554413701102</v>
      </c>
      <c r="S73" s="59">
        <f ca="1">AVERAGE(OFFSET($R$3,0,0,'Données projet'!$E$9+1,1))-AVERAGE(OFFSET($H$3,0,0,'Données projet'!$E$9+1,1))</f>
        <v>214.60547318405733</v>
      </c>
      <c r="T73" s="59">
        <f t="shared" si="88"/>
        <v>306.35874106546646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9.5139530850977803</v>
      </c>
      <c r="AA73" s="21">
        <f>EXP(-LN(2)/25)*AA72+(1-EXP(-LN(2)/25))/(LN(2)/25)*Calculateur!V73*Calculateur!X73*VLOOKUP('Données projet'!$B$9,Paramètres!$A$1:$I$89,3,0)*0.475*44/12</f>
        <v>6.6085013574960305</v>
      </c>
      <c r="AB73" s="21">
        <f>EXP(-LN(2)/2)*AB72+(1-EXP(-LN(2)/2))/(LN(2)/2)*V73*Y73*VLOOKUP('Données projet'!$B$9,Paramètres!$A$1:$I$89,3,0)*0.475*44/12</f>
        <v>2.3807175951892977E-3</v>
      </c>
      <c r="AC73" s="22">
        <f t="shared" si="57"/>
        <v>16.124835160189001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9.733749999999997</v>
      </c>
      <c r="AI73" s="13">
        <f>IF('Données projet'!$A$62&gt;35,AI72+AH73-AQ72,IF(A73&lt;'Données projet'!$A$62,$AF$205^A73,IF(A73='Données projet'!$A$62,'Données projet'!$B$62,AI72+AH73-AQ72)))</f>
        <v>272.02500000000032</v>
      </c>
      <c r="AJ73" s="13">
        <f>AI73*VLOOKUP('Données projet'!$B$10,Paramètres!$A$1:$I$89,3,0)*VLOOKUP('Données projet'!$B$10,Paramètres!$A$1:$I$89,5,0)</f>
        <v>275.83335000000034</v>
      </c>
      <c r="AK73" s="13">
        <f t="shared" si="89"/>
        <v>66.085709101140665</v>
      </c>
      <c r="AL73" s="20">
        <f t="shared" si="58"/>
        <v>595.50902793448722</v>
      </c>
      <c r="AM73" s="59">
        <f t="shared" si="59"/>
        <v>861.91457207149665</v>
      </c>
      <c r="AN73" s="59">
        <f ca="1">AVERAGE(OFFSET($AM$3,0,0,'Données projet'!$E$10+1,1))-AVERAGE(OFFSET($H$3,0,0,'Données projet'!$E$10+1,1))</f>
        <v>752.45542076695506</v>
      </c>
      <c r="AO73" s="59">
        <f t="shared" si="90"/>
        <v>329.70629768420724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8.3662462703165765</v>
      </c>
      <c r="AV73" s="21">
        <f>EXP(-LN(2)/25)*AV72+(1-EXP(-LN(2)/25))/(LN(2)/25)*Calculateur!AQ73*Calculateur!AS73*VLOOKUP('Données projet'!$B$10,Paramètres!$A$1:$I$89,3,0)*0.475*44/12</f>
        <v>33.920855251192236</v>
      </c>
      <c r="AW73" s="21">
        <f>EXP(-LN(2)/2)*AW72+(1-EXP(-LN(2)/2))/(LN(2)/2)*AQ73*AT73*VLOOKUP('Données projet'!$B$10,Paramètres!$A$1:$I$89,3,0)*0.475*44/12</f>
        <v>1.4343573372544258</v>
      </c>
      <c r="AX73" s="21">
        <f t="shared" si="60"/>
        <v>43.721458858763242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9.733749999999997</v>
      </c>
      <c r="BD73" s="12">
        <f>IF('Données projet'!$A$88&gt;35,BD72+BC73-BL72,IF(A73&lt;'Données projet'!$A$88,$BA$205^A73,IF(A73='Données projet'!$A$88,'Données projet'!$B$88,BD72+BC73-BL72)))</f>
        <v>272.02500000000032</v>
      </c>
      <c r="BE73" s="13">
        <f>BD73*VLOOKUP('Données projet'!$B$11,Paramètres!$A$1:$I$89,3,0)*VLOOKUP('Données projet'!$B$11,Paramètres!$A$1:$I$89,5,0)</f>
        <v>246.12822000000025</v>
      </c>
      <c r="BF73" s="13">
        <f t="shared" si="91"/>
        <v>59.756105801003123</v>
      </c>
      <c r="BG73" s="20">
        <f t="shared" si="61"/>
        <v>532.74853410341427</v>
      </c>
      <c r="BH73" s="59">
        <f t="shared" si="62"/>
        <v>799.15407824042381</v>
      </c>
      <c r="BI73" s="59">
        <f ca="1">AVERAGE(OFFSET($BH$3,0,0,'Données projet'!$E$11+1,1))-AVERAGE(OFFSET($H$3,0,0,'Données projet'!$E$11+1,1))</f>
        <v>681.47578137804555</v>
      </c>
      <c r="BJ73" s="59">
        <f t="shared" si="92"/>
        <v>300.88511065995885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7.4652659027440214</v>
      </c>
      <c r="BQ73" s="21">
        <f>EXP(-LN(2)/25)*BQ72+(1-EXP(-LN(2)/25))/(LN(2)/25)*Calculateur!BL73*Calculateur!BN73*VLOOKUP('Données projet'!$B$11,Paramètres!$A$1:$I$89,3,0)*0.475*44/12</f>
        <v>30.267840070294611</v>
      </c>
      <c r="BR73" s="21">
        <f>EXP(-LN(2)/2)*BR72+(1-EXP(-LN(2)/2))/(LN(2)/2)*BL73*BO73*VLOOKUP('Données projet'!$B$11,Paramètres!$A$1:$I$89,3,0)*0.475*44/12</f>
        <v>1.2798880855501029</v>
      </c>
      <c r="BS73" s="22">
        <f t="shared" si="63"/>
        <v>39.012994058588738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251.92307692307691</v>
      </c>
      <c r="BW73" s="12">
        <f>VLOOKUP(A73,'Données projet'!$A$113:$I$133,9,0)</f>
        <v>4.9999999999999947</v>
      </c>
      <c r="BX73" s="12">
        <f t="array" ref="BX73">INDEX(BW:BW,MIN(IF(ISNUMBER(BW73:BW269),ROW(BW73:BW269),"")))</f>
        <v>4.9999999999999947</v>
      </c>
      <c r="BY73" s="12">
        <f>IF('Données projet'!$A$114&gt;35,BY72+BX73-CG72,IF(A73&lt;'Données projet'!$A$114,$BV$205^A73,IF(A73='Données projet'!$A$114,'Données projet'!$B$114,BY72+BX73-CG72)))</f>
        <v>251.92307692307699</v>
      </c>
      <c r="BZ73" s="13">
        <f>BY73*VLOOKUP('Données projet'!$B$12,Paramètres!$A$1:$I$89,3,0)*VLOOKUP('Données projet'!$B$12,Paramètres!$A$1:$I$89,5,0)</f>
        <v>168.99000000000007</v>
      </c>
      <c r="CA73" s="13">
        <f t="shared" si="93"/>
        <v>42.863738793288569</v>
      </c>
      <c r="CB73" s="20">
        <f t="shared" si="64"/>
        <v>368.9785950649777</v>
      </c>
      <c r="CC73" s="59">
        <f t="shared" si="65"/>
        <v>635.38413920198718</v>
      </c>
      <c r="CD73" s="59">
        <f ca="1">AVERAGE(OFFSET($CC$3,0,0,'Données projet'!$E$12+1,1))-AVERAGE(OFFSET($H$3,0,0,'Données projet'!$E$12+1,1))</f>
        <v>335.73816489539837</v>
      </c>
      <c r="CE73" s="59">
        <f t="shared" si="94"/>
        <v>254.09787950201044</v>
      </c>
      <c r="CF73" s="15">
        <f>IF(ISNA(VLOOKUP(A73,'Données projet'!$A$113:$I$133,3,0)),0,VLOOKUP(A73,'Données projet'!$A$113:$I$133,3,0))</f>
        <v>12</v>
      </c>
      <c r="CG73" s="15">
        <f>IF(ISNA(VLOOKUP(A73,'Données projet'!$A$113:$I$133,4,0)),0,VLOOKUP(A73,'Données projet'!$A$113:$I$133,4,0))</f>
        <v>14.102564102564102</v>
      </c>
      <c r="CH73" s="16">
        <f>IF(ISNA(VLOOKUP(A73,'Données projet'!$A$113:$I$133,5,0)),0%,VLOOKUP(A73,'Données projet'!$A$113:$I$133,5,0)*VLOOKUP('Données projet'!$B$12,Paramètres!$A$1:$I$89,7,0))</f>
        <v>0.13250000000000001</v>
      </c>
      <c r="CI73" s="16">
        <f>IF(ISNA(VLOOKUP(A73,'Données projet'!$A$113:$I$133,6,0)),0%,VLOOKUP(A73,'Données projet'!$A$113:$I$133,6,0)*VLOOKUP('Données projet'!$B$12,Paramètres!$A$1:$I$89,7,0))</f>
        <v>0.13250000000000001</v>
      </c>
      <c r="CJ73" s="16">
        <f>IF(ISNA(VLOOKUP(A73,'Données projet'!$A$113:$I$133,7,0)),0%,VLOOKUP(A73,'Données projet'!$A$113:$I$133,7,0))</f>
        <v>0.25</v>
      </c>
      <c r="CK73" s="21">
        <f>EXP(-LN(2)/35)*CK72+(1-EXP(-LN(2)/35))/(LN(2)/35)*CG73*CH73*VLOOKUP('Données projet'!$B$12,Paramètres!$A$1:$I$89,3,0)*0.475*44/12</f>
        <v>3.7719906049458114</v>
      </c>
      <c r="CL73" s="21">
        <f>EXP(-LN(2)/25)*CL72+(1-EXP(-LN(2)/25))/(LN(2)/25)*Calculateur!CG73*Calculateur!CI73*VLOOKUP('Données projet'!$B$12,Paramètres!$A$1:$I$89,3,0)*0.475*44/12</f>
        <v>9.2615552781067034</v>
      </c>
      <c r="CM73" s="21">
        <f>EXP(-LN(2)/2)*CM72+(1-EXP(-LN(2)/2))/(LN(2)/2)*CG73*CJ73*VLOOKUP('Données projet'!$B$12,Paramètres!$A$1:$I$89,3,0)*0.475*44/12</f>
        <v>2.6973604912775717</v>
      </c>
      <c r="CN73" s="22">
        <f t="shared" si="66"/>
        <v>15.730906374330086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1.1368683772161603E-13</v>
      </c>
      <c r="CU73" s="17">
        <f>CT73*VLOOKUP('Données projet'!$B$13,Paramètres!$A$1:$I$89,3,0)*VLOOKUP('Données projet'!$B$13,Paramètres!$A$1:$I$89,5,0)</f>
        <v>6.7984728957526396E-14</v>
      </c>
      <c r="CV73" s="13">
        <f t="shared" si="95"/>
        <v>1.0682447123141398E-12</v>
      </c>
      <c r="CW73" s="20">
        <f t="shared" si="67"/>
        <v>1.978932943548152E-12</v>
      </c>
      <c r="CX73" s="59">
        <f t="shared" si="68"/>
        <v>266.40554413701147</v>
      </c>
      <c r="CY73" s="59">
        <f ca="1">AVERAGE(OFFSET($CX$3,0,0,'Données projet'!$E$13+1,1))-AVERAGE(OFFSET($H$3,0,0,'Données projet'!$E$13+1,1))</f>
        <v>318.50474972254085</v>
      </c>
      <c r="CZ73" s="59">
        <f t="shared" si="96"/>
        <v>326.45858332753562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113.91923990391254</v>
      </c>
      <c r="DG73" s="21">
        <f>EXP(-LN(2)/25)*DG72+(1-EXP(-LN(2)/25))/(LN(2)/25)*Calculateur!DB73*Calculateur!DD73*VLOOKUP('Données projet'!$B$13,Paramètres!$A$1:$I$89,3,0)*0.475*44/12</f>
        <v>36.711047632506002</v>
      </c>
      <c r="DH73" s="21">
        <f>EXP(-LN(2)/2)*DH72+(1-EXP(-LN(2)/2))/(LN(2)/2)*DB73*DE73*VLOOKUP('Données projet'!$B$13,Paramètres!$A$1:$I$89,3,0)*0.475*44/12</f>
        <v>1.873795088229794</v>
      </c>
      <c r="DI73" s="22">
        <f t="shared" si="69"/>
        <v>152.50408262464833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3">
        <f>'Scénario référence'!$B$16*5+'Scénario référence'!$B$17*0+'Scénario référence'!$B$18*5</f>
        <v>5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67">
        <f t="shared" si="56"/>
        <v>183.33333333333334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5.6843418860808015E-14</v>
      </c>
      <c r="O74" s="13">
        <f>N74*VLOOKUP('Données projet'!$B$9,Paramètres!$A$1:$I$89,3,0)*VLOOKUP('Données projet'!$B$9,Paramètres!$A$1:$I$89,5,0)</f>
        <v>5.1431925385259088E-14</v>
      </c>
      <c r="P74" s="13">
        <f t="shared" si="87"/>
        <v>8.3482866290946129E-13</v>
      </c>
      <c r="Q74" s="20">
        <f t="shared" si="54"/>
        <v>1.5435705246133045E-12</v>
      </c>
      <c r="R74" s="59">
        <f t="shared" si="55"/>
        <v>266.87268107804948</v>
      </c>
      <c r="S74" s="59">
        <f ca="1">AVERAGE(OFFSET($R$3,0,0,'Données projet'!$E$9+1,1))-AVERAGE(OFFSET($H$3,0,0,'Données projet'!$E$9+1,1))</f>
        <v>214.60547318405733</v>
      </c>
      <c r="T74" s="59">
        <f t="shared" si="88"/>
        <v>306.35874106546646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9.3273902680374015</v>
      </c>
      <c r="AA74" s="21">
        <f>EXP(-LN(2)/25)*AA73+(1-EXP(-LN(2)/25))/(LN(2)/25)*Calculateur!V74*Calculateur!X74*VLOOKUP('Données projet'!$B$9,Paramètres!$A$1:$I$89,3,0)*0.475*44/12</f>
        <v>6.4277915403493191</v>
      </c>
      <c r="AB74" s="21">
        <f>EXP(-LN(2)/2)*AB73+(1-EXP(-LN(2)/2))/(LN(2)/2)*V74*Y74*VLOOKUP('Données projet'!$B$9,Paramètres!$A$1:$I$89,3,0)*0.475*44/12</f>
        <v>1.6834215556484824E-3</v>
      </c>
      <c r="AC74" s="22">
        <f t="shared" si="57"/>
        <v>15.756865229942369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9.733749999999997</v>
      </c>
      <c r="AI74" s="13">
        <f>IF('Données projet'!$A$62&gt;35,AI73+AH74-AQ73,IF(A74&lt;'Données projet'!$A$62,$AF$205^A74,IF(A74='Données projet'!$A$62,'Données projet'!$B$62,AI73+AH74-AQ73)))</f>
        <v>281.7587500000003</v>
      </c>
      <c r="AJ74" s="13">
        <f>AI74*VLOOKUP('Données projet'!$B$10,Paramètres!$A$1:$I$89,3,0)*VLOOKUP('Données projet'!$B$10,Paramètres!$A$1:$I$89,5,0)</f>
        <v>285.70337250000034</v>
      </c>
      <c r="AK74" s="13">
        <f t="shared" si="89"/>
        <v>68.170877307212365</v>
      </c>
      <c r="AL74" s="20">
        <f t="shared" si="58"/>
        <v>616.3309850808954</v>
      </c>
      <c r="AM74" s="59">
        <f t="shared" si="59"/>
        <v>883.20366615894341</v>
      </c>
      <c r="AN74" s="59">
        <f ca="1">AVERAGE(OFFSET($AM$3,0,0,'Données projet'!$E$10+1,1))-AVERAGE(OFFSET($H$3,0,0,'Données projet'!$E$10+1,1))</f>
        <v>752.45542076695506</v>
      </c>
      <c r="AO74" s="59">
        <f t="shared" si="90"/>
        <v>329.70629768420724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8.2021892838620225</v>
      </c>
      <c r="AV74" s="21">
        <f>EXP(-LN(2)/25)*AV73+(1-EXP(-LN(2)/25))/(LN(2)/25)*Calculateur!AQ74*Calculateur!AS74*VLOOKUP('Données projet'!$B$10,Paramètres!$A$1:$I$89,3,0)*0.475*44/12</f>
        <v>32.993287680528134</v>
      </c>
      <c r="AW74" s="21">
        <f>EXP(-LN(2)/2)*AW73+(1-EXP(-LN(2)/2))/(LN(2)/2)*AQ74*AT74*VLOOKUP('Données projet'!$B$10,Paramètres!$A$1:$I$89,3,0)*0.475*44/12</f>
        <v>1.0142437998172844</v>
      </c>
      <c r="AX74" s="21">
        <f t="shared" si="60"/>
        <v>42.209720764207439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9.733749999999997</v>
      </c>
      <c r="BD74" s="12">
        <f>IF('Données projet'!$A$88&gt;35,BD73+BC74-BL73,IF(A74&lt;'Données projet'!$A$88,$BA$205^A74,IF(A74='Données projet'!$A$88,'Données projet'!$B$88,BD73+BC74-BL73)))</f>
        <v>281.7587500000003</v>
      </c>
      <c r="BE74" s="13">
        <f>BD74*VLOOKUP('Données projet'!$B$11,Paramètres!$A$1:$I$89,3,0)*VLOOKUP('Données projet'!$B$11,Paramètres!$A$1:$I$89,5,0)</f>
        <v>254.93531700000028</v>
      </c>
      <c r="BF74" s="13">
        <f t="shared" si="91"/>
        <v>61.641559307209917</v>
      </c>
      <c r="BG74" s="20">
        <f t="shared" si="61"/>
        <v>551.37139290172445</v>
      </c>
      <c r="BH74" s="59">
        <f t="shared" si="62"/>
        <v>818.24407397977234</v>
      </c>
      <c r="BI74" s="59">
        <f ca="1">AVERAGE(OFFSET($BH$3,0,0,'Données projet'!$E$11+1,1))-AVERAGE(OFFSET($H$3,0,0,'Données projet'!$E$11+1,1))</f>
        <v>681.47578137804555</v>
      </c>
      <c r="BJ74" s="59">
        <f t="shared" si="92"/>
        <v>300.88511065995885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7.3188765917538046</v>
      </c>
      <c r="BQ74" s="21">
        <f>EXP(-LN(2)/25)*BQ73+(1-EXP(-LN(2)/25))/(LN(2)/25)*Calculateur!BL74*Calculateur!BN74*VLOOKUP('Données projet'!$B$11,Paramètres!$A$1:$I$89,3,0)*0.475*44/12</f>
        <v>29.440164391855873</v>
      </c>
      <c r="BR74" s="21">
        <f>EXP(-LN(2)/2)*BR73+(1-EXP(-LN(2)/2))/(LN(2)/2)*BL74*BO74*VLOOKUP('Données projet'!$B$11,Paramètres!$A$1:$I$89,3,0)*0.475*44/12</f>
        <v>0.90501754445234595</v>
      </c>
      <c r="BS74" s="22">
        <f t="shared" si="63"/>
        <v>37.664058528062029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4.6153846153846185</v>
      </c>
      <c r="BY74" s="12">
        <f>IF('Données projet'!$A$114&gt;35,BY73+BX74-CG73,IF(A74&lt;'Données projet'!$A$114,$BV$205^A74,IF(A74='Données projet'!$A$114,'Données projet'!$B$114,BY73+BX74-CG73)))</f>
        <v>242.43589743589752</v>
      </c>
      <c r="BZ74" s="13">
        <f>BY74*VLOOKUP('Données projet'!$B$12,Paramètres!$A$1:$I$89,3,0)*VLOOKUP('Données projet'!$B$12,Paramètres!$A$1:$I$89,5,0)</f>
        <v>162.62600000000006</v>
      </c>
      <c r="CA74" s="13">
        <f t="shared" si="93"/>
        <v>41.43425469159893</v>
      </c>
      <c r="CB74" s="20">
        <f t="shared" si="64"/>
        <v>355.40494358786822</v>
      </c>
      <c r="CC74" s="59">
        <f t="shared" si="65"/>
        <v>622.27762466591616</v>
      </c>
      <c r="CD74" s="59">
        <f ca="1">AVERAGE(OFFSET($CC$3,0,0,'Données projet'!$E$12+1,1))-AVERAGE(OFFSET($H$3,0,0,'Données projet'!$E$12+1,1))</f>
        <v>335.73816489539837</v>
      </c>
      <c r="CE74" s="59">
        <f t="shared" si="94"/>
        <v>254.09787950201044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3.6980241698699192</v>
      </c>
      <c r="CL74" s="21">
        <f>EXP(-LN(2)/25)*CL73+(1-EXP(-LN(2)/25))/(LN(2)/25)*Calculateur!CG74*Calculateur!CI74*VLOOKUP('Données projet'!$B$12,Paramètres!$A$1:$I$89,3,0)*0.475*44/12</f>
        <v>9.0082975619828503</v>
      </c>
      <c r="CM74" s="21">
        <f>EXP(-LN(2)/2)*CM73+(1-EXP(-LN(2)/2))/(LN(2)/2)*CG74*CJ74*VLOOKUP('Données projet'!$B$12,Paramètres!$A$1:$I$89,3,0)*0.475*44/12</f>
        <v>1.9073218946870483</v>
      </c>
      <c r="CN74" s="22">
        <f t="shared" si="66"/>
        <v>14.613643626539817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1.1368683772161603E-13</v>
      </c>
      <c r="CU74" s="17">
        <f>CT74*VLOOKUP('Données projet'!$B$13,Paramètres!$A$1:$I$89,3,0)*VLOOKUP('Données projet'!$B$13,Paramètres!$A$1:$I$89,5,0)</f>
        <v>6.7984728957526396E-14</v>
      </c>
      <c r="CV74" s="13">
        <f t="shared" si="95"/>
        <v>1.0682447123141398E-12</v>
      </c>
      <c r="CW74" s="20">
        <f t="shared" si="67"/>
        <v>1.978932943548152E-12</v>
      </c>
      <c r="CX74" s="59">
        <f t="shared" si="68"/>
        <v>266.87268107804994</v>
      </c>
      <c r="CY74" s="59">
        <f ca="1">AVERAGE(OFFSET($CX$3,0,0,'Données projet'!$E$13+1,1))-AVERAGE(OFFSET($H$3,0,0,'Données projet'!$E$13+1,1))</f>
        <v>318.50474972254085</v>
      </c>
      <c r="CZ74" s="59">
        <f t="shared" si="96"/>
        <v>326.45858332753562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111.6853530932722</v>
      </c>
      <c r="DG74" s="21">
        <f>EXP(-LN(2)/25)*DG73+(1-EXP(-LN(2)/25))/(LN(2)/25)*Calculateur!DB74*Calculateur!DD74*VLOOKUP('Données projet'!$B$13,Paramètres!$A$1:$I$89,3,0)*0.475*44/12</f>
        <v>35.707182104445032</v>
      </c>
      <c r="DH74" s="21">
        <f>EXP(-LN(2)/2)*DH73+(1-EXP(-LN(2)/2))/(LN(2)/2)*DB74*DE74*VLOOKUP('Données projet'!$B$13,Paramètres!$A$1:$I$89,3,0)*0.475*44/12</f>
        <v>1.3249732134413326</v>
      </c>
      <c r="DI74" s="22">
        <f t="shared" si="69"/>
        <v>148.71750841115855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3">
        <f>'Scénario référence'!$B$16*5+'Scénario référence'!$B$17*0+'Scénario référence'!$B$18*5</f>
        <v>5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67">
        <f t="shared" si="56"/>
        <v>183.33333333333334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5.6843418860808015E-14</v>
      </c>
      <c r="O75" s="13">
        <f>N75*VLOOKUP('Données projet'!$B$9,Paramètres!$A$1:$I$89,3,0)*VLOOKUP('Données projet'!$B$9,Paramètres!$A$1:$I$89,5,0)</f>
        <v>5.1431925385259088E-14</v>
      </c>
      <c r="P75" s="13">
        <f t="shared" si="87"/>
        <v>8.3482866290946129E-13</v>
      </c>
      <c r="Q75" s="20">
        <f t="shared" si="54"/>
        <v>1.5435705246133045E-12</v>
      </c>
      <c r="R75" s="59">
        <f t="shared" si="55"/>
        <v>267.33171423752265</v>
      </c>
      <c r="S75" s="59">
        <f ca="1">AVERAGE(OFFSET($R$3,0,0,'Données projet'!$E$9+1,1))-AVERAGE(OFFSET($H$3,0,0,'Données projet'!$E$9+1,1))</f>
        <v>214.60547318405733</v>
      </c>
      <c r="T75" s="59">
        <f t="shared" si="88"/>
        <v>306.35874106546646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9.1444858340274955</v>
      </c>
      <c r="AA75" s="21">
        <f>EXP(-LN(2)/25)*AA74+(1-EXP(-LN(2)/25))/(LN(2)/25)*Calculateur!V75*Calculateur!X75*VLOOKUP('Données projet'!$B$9,Paramètres!$A$1:$I$89,3,0)*0.475*44/12</f>
        <v>6.2520232426556008</v>
      </c>
      <c r="AB75" s="21">
        <f>EXP(-LN(2)/2)*AB74+(1-EXP(-LN(2)/2))/(LN(2)/2)*V75*Y75*VLOOKUP('Données projet'!$B$9,Paramètres!$A$1:$I$89,3,0)*0.475*44/12</f>
        <v>1.1903587975946488E-3</v>
      </c>
      <c r="AC75" s="22">
        <f t="shared" si="57"/>
        <v>15.397699435480691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9.733749999999997</v>
      </c>
      <c r="AI75" s="13">
        <f>IF('Données projet'!$A$62&gt;35,AI74+AH75-AQ74,IF(A75&lt;'Données projet'!$A$62,$AF$205^A75,IF(A75='Données projet'!$A$62,'Données projet'!$B$62,AI74+AH75-AQ74)))</f>
        <v>291.49250000000029</v>
      </c>
      <c r="AJ75" s="13">
        <f>AI75*VLOOKUP('Données projet'!$B$10,Paramètres!$A$1:$I$89,3,0)*VLOOKUP('Données projet'!$B$10,Paramètres!$A$1:$I$89,5,0)</f>
        <v>295.57339500000029</v>
      </c>
      <c r="AK75" s="13">
        <f t="shared" si="89"/>
        <v>70.247675710683964</v>
      </c>
      <c r="AL75" s="20">
        <f t="shared" si="58"/>
        <v>637.13836482110844</v>
      </c>
      <c r="AM75" s="59">
        <f t="shared" si="59"/>
        <v>904.47007905862961</v>
      </c>
      <c r="AN75" s="59">
        <f ca="1">AVERAGE(OFFSET($AM$3,0,0,'Données projet'!$E$10+1,1))-AVERAGE(OFFSET($H$3,0,0,'Données projet'!$E$10+1,1))</f>
        <v>752.45542076695506</v>
      </c>
      <c r="AO75" s="59">
        <f t="shared" si="90"/>
        <v>329.70629768420724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8.041349354846961</v>
      </c>
      <c r="AV75" s="21">
        <f>EXP(-LN(2)/25)*AV74+(1-EXP(-LN(2)/25))/(LN(2)/25)*Calculateur!AQ75*Calculateur!AS75*VLOOKUP('Données projet'!$B$10,Paramètres!$A$1:$I$89,3,0)*0.475*44/12</f>
        <v>32.091084493862503</v>
      </c>
      <c r="AW75" s="21">
        <f>EXP(-LN(2)/2)*AW74+(1-EXP(-LN(2)/2))/(LN(2)/2)*AQ75*AT75*VLOOKUP('Données projet'!$B$10,Paramètres!$A$1:$I$89,3,0)*0.475*44/12</f>
        <v>0.71717866862721313</v>
      </c>
      <c r="AX75" s="21">
        <f t="shared" si="60"/>
        <v>40.849612517336681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9.733749999999997</v>
      </c>
      <c r="BD75" s="12">
        <f>IF('Données projet'!$A$88&gt;35,BD74+BC75-BL74,IF(A75&lt;'Données projet'!$A$88,$BA$205^A75,IF(A75='Données projet'!$A$88,'Données projet'!$B$88,BD74+BC75-BL74)))</f>
        <v>291.49250000000029</v>
      </c>
      <c r="BE75" s="13">
        <f>BD75*VLOOKUP('Données projet'!$B$11,Paramètres!$A$1:$I$89,3,0)*VLOOKUP('Données projet'!$B$11,Paramètres!$A$1:$I$89,5,0)</f>
        <v>263.74241400000022</v>
      </c>
      <c r="BF75" s="13">
        <f t="shared" si="91"/>
        <v>63.519444659628142</v>
      </c>
      <c r="BG75" s="20">
        <f t="shared" si="61"/>
        <v>569.98107049885277</v>
      </c>
      <c r="BH75" s="59">
        <f t="shared" si="62"/>
        <v>837.31278473637394</v>
      </c>
      <c r="BI75" s="59">
        <f ca="1">AVERAGE(OFFSET($BH$3,0,0,'Données projet'!$E$11+1,1))-AVERAGE(OFFSET($H$3,0,0,'Données projet'!$E$11+1,1))</f>
        <v>681.47578137804555</v>
      </c>
      <c r="BJ75" s="59">
        <f t="shared" si="92"/>
        <v>300.88511065995885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7.175357885863443</v>
      </c>
      <c r="BQ75" s="21">
        <f>EXP(-LN(2)/25)*BQ74+(1-EXP(-LN(2)/25))/(LN(2)/25)*Calculateur!BL75*Calculateur!BN75*VLOOKUP('Données projet'!$B$11,Paramètres!$A$1:$I$89,3,0)*0.475*44/12</f>
        <v>28.635121548369614</v>
      </c>
      <c r="BR75" s="21">
        <f>EXP(-LN(2)/2)*BR74+(1-EXP(-LN(2)/2))/(LN(2)/2)*BL75*BO75*VLOOKUP('Données projet'!$B$11,Paramètres!$A$1:$I$89,3,0)*0.475*44/12</f>
        <v>0.63994404277505157</v>
      </c>
      <c r="BS75" s="22">
        <f t="shared" si="63"/>
        <v>36.450423477008108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4.6153846153846185</v>
      </c>
      <c r="BY75" s="12">
        <f>IF('Données projet'!$A$114&gt;35,BY74+BX75-CG74,IF(A75&lt;'Données projet'!$A$114,$BV$205^A75,IF(A75='Données projet'!$A$114,'Données projet'!$B$114,BY74+BX75-CG74)))</f>
        <v>247.05128205128213</v>
      </c>
      <c r="BZ75" s="13">
        <f>BY75*VLOOKUP('Données projet'!$B$12,Paramètres!$A$1:$I$89,3,0)*VLOOKUP('Données projet'!$B$12,Paramètres!$A$1:$I$89,5,0)</f>
        <v>165.72200000000007</v>
      </c>
      <c r="CA75" s="13">
        <f t="shared" si="93"/>
        <v>42.130477313738076</v>
      </c>
      <c r="CB75" s="20">
        <f t="shared" si="64"/>
        <v>362.0097313214273</v>
      </c>
      <c r="CC75" s="59">
        <f t="shared" si="65"/>
        <v>629.34144555894841</v>
      </c>
      <c r="CD75" s="59">
        <f ca="1">AVERAGE(OFFSET($CC$3,0,0,'Données projet'!$E$12+1,1))-AVERAGE(OFFSET($H$3,0,0,'Données projet'!$E$12+1,1))</f>
        <v>335.73816489539837</v>
      </c>
      <c r="CE75" s="59">
        <f t="shared" si="94"/>
        <v>254.09787950201044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3.6255081714707944</v>
      </c>
      <c r="CL75" s="21">
        <f>EXP(-LN(2)/25)*CL74+(1-EXP(-LN(2)/25))/(LN(2)/25)*Calculateur!CG75*Calculateur!CI75*VLOOKUP('Données projet'!$B$12,Paramètres!$A$1:$I$89,3,0)*0.475*44/12</f>
        <v>8.7619651914246486</v>
      </c>
      <c r="CM75" s="21">
        <f>EXP(-LN(2)/2)*CM74+(1-EXP(-LN(2)/2))/(LN(2)/2)*CG75*CJ75*VLOOKUP('Données projet'!$B$12,Paramètres!$A$1:$I$89,3,0)*0.475*44/12</f>
        <v>1.3486802456387861</v>
      </c>
      <c r="CN75" s="22">
        <f t="shared" si="66"/>
        <v>13.736153608534229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1.1368683772161603E-13</v>
      </c>
      <c r="CU75" s="17">
        <f>CT75*VLOOKUP('Données projet'!$B$13,Paramètres!$A$1:$I$89,3,0)*VLOOKUP('Données projet'!$B$13,Paramètres!$A$1:$I$89,5,0)</f>
        <v>6.7984728957526396E-14</v>
      </c>
      <c r="CV75" s="13">
        <f t="shared" si="95"/>
        <v>1.0682447123141398E-12</v>
      </c>
      <c r="CW75" s="20">
        <f t="shared" si="67"/>
        <v>1.978932943548152E-12</v>
      </c>
      <c r="CX75" s="59">
        <f t="shared" si="68"/>
        <v>267.3317142375231</v>
      </c>
      <c r="CY75" s="59">
        <f ca="1">AVERAGE(OFFSET($CX$3,0,0,'Données projet'!$E$13+1,1))-AVERAGE(OFFSET($H$3,0,0,'Données projet'!$E$13+1,1))</f>
        <v>318.50474972254085</v>
      </c>
      <c r="CZ75" s="59">
        <f t="shared" si="96"/>
        <v>326.45858332753562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109.4952714404521</v>
      </c>
      <c r="DG75" s="21">
        <f>EXP(-LN(2)/25)*DG74+(1-EXP(-LN(2)/25))/(LN(2)/25)*Calculateur!DB75*Calculateur!DD75*VLOOKUP('Données projet'!$B$13,Paramètres!$A$1:$I$89,3,0)*0.475*44/12</f>
        <v>34.730767332039882</v>
      </c>
      <c r="DH75" s="21">
        <f>EXP(-LN(2)/2)*DH74+(1-EXP(-LN(2)/2))/(LN(2)/2)*DB75*DE75*VLOOKUP('Données projet'!$B$13,Paramètres!$A$1:$I$89,3,0)*0.475*44/12</f>
        <v>0.93689754411489712</v>
      </c>
      <c r="DI75" s="22">
        <f t="shared" si="69"/>
        <v>145.16293631660687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3">
        <f>'Scénario référence'!$B$16*5+'Scénario référence'!$B$17*0+'Scénario référence'!$B$18*5</f>
        <v>5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67">
        <f t="shared" si="56"/>
        <v>183.33333333333334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5.6843418860808015E-14</v>
      </c>
      <c r="O76" s="13">
        <f>N76*VLOOKUP('Données projet'!$B$9,Paramètres!$A$1:$I$89,3,0)*VLOOKUP('Données projet'!$B$9,Paramètres!$A$1:$I$89,5,0)</f>
        <v>5.1431925385259088E-14</v>
      </c>
      <c r="P76" s="13">
        <f t="shared" si="87"/>
        <v>8.3482866290946129E-13</v>
      </c>
      <c r="Q76" s="20">
        <f t="shared" si="54"/>
        <v>1.5435705246133045E-12</v>
      </c>
      <c r="R76" s="59">
        <f t="shared" si="55"/>
        <v>267.78278419792332</v>
      </c>
      <c r="S76" s="59">
        <f ca="1">AVERAGE(OFFSET($R$3,0,0,'Données projet'!$E$9+1,1))-AVERAGE(OFFSET($H$3,0,0,'Données projet'!$E$9+1,1))</f>
        <v>214.60547318405733</v>
      </c>
      <c r="T76" s="59">
        <f t="shared" si="88"/>
        <v>306.35874106546646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8.9651680444078341</v>
      </c>
      <c r="AA76" s="21">
        <f>EXP(-LN(2)/25)*AA75+(1-EXP(-LN(2)/25))/(LN(2)/25)*Calculateur!V76*Calculateur!X76*VLOOKUP('Données projet'!$B$9,Paramètres!$A$1:$I$89,3,0)*0.475*44/12</f>
        <v>6.0810613383055703</v>
      </c>
      <c r="AB76" s="21">
        <f>EXP(-LN(2)/2)*AB75+(1-EXP(-LN(2)/2))/(LN(2)/2)*V76*Y76*VLOOKUP('Données projet'!$B$9,Paramètres!$A$1:$I$89,3,0)*0.475*44/12</f>
        <v>8.4171077782424118E-4</v>
      </c>
      <c r="AC76" s="22">
        <f t="shared" si="57"/>
        <v>15.047071093491228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9.733749999999997</v>
      </c>
      <c r="AI76" s="13">
        <f>IF('Données projet'!$A$62&gt;35,AI75+AH76-AQ75,IF(A76&lt;'Données projet'!$A$62,$AF$205^A76,IF(A76='Données projet'!$A$62,'Données projet'!$B$62,AI75+AH76-AQ75)))</f>
        <v>301.22625000000028</v>
      </c>
      <c r="AJ76" s="13">
        <f>AI76*VLOOKUP('Données projet'!$B$10,Paramètres!$A$1:$I$89,3,0)*VLOOKUP('Données projet'!$B$10,Paramètres!$A$1:$I$89,5,0)</f>
        <v>305.44341750000029</v>
      </c>
      <c r="AK76" s="13">
        <f t="shared" si="89"/>
        <v>72.316415847426583</v>
      </c>
      <c r="AL76" s="20">
        <f t="shared" si="58"/>
        <v>657.93170974676843</v>
      </c>
      <c r="AM76" s="59">
        <f t="shared" si="59"/>
        <v>925.71449394469028</v>
      </c>
      <c r="AN76" s="59">
        <f ca="1">AVERAGE(OFFSET($AM$3,0,0,'Données projet'!$E$10+1,1))-AVERAGE(OFFSET($H$3,0,0,'Données projet'!$E$10+1,1))</f>
        <v>752.45542076695506</v>
      </c>
      <c r="AO76" s="59">
        <f t="shared" si="90"/>
        <v>329.70629768420724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7.883663398737216</v>
      </c>
      <c r="AV76" s="21">
        <f>EXP(-LN(2)/25)*AV75+(1-EXP(-LN(2)/25))/(LN(2)/25)*Calculateur!AQ76*Calculateur!AS76*VLOOKUP('Données projet'!$B$10,Paramètres!$A$1:$I$89,3,0)*0.475*44/12</f>
        <v>31.213552100781044</v>
      </c>
      <c r="AW76" s="21">
        <f>EXP(-LN(2)/2)*AW75+(1-EXP(-LN(2)/2))/(LN(2)/2)*AQ76*AT76*VLOOKUP('Données projet'!$B$10,Paramètres!$A$1:$I$89,3,0)*0.475*44/12</f>
        <v>0.50712189990864232</v>
      </c>
      <c r="AX76" s="21">
        <f t="shared" si="60"/>
        <v>39.604337399426896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9.733749999999997</v>
      </c>
      <c r="BD76" s="12">
        <f>IF('Données projet'!$A$88&gt;35,BD75+BC76-BL75,IF(A76&lt;'Données projet'!$A$88,$BA$205^A76,IF(A76='Données projet'!$A$88,'Données projet'!$B$88,BD75+BC76-BL75)))</f>
        <v>301.22625000000028</v>
      </c>
      <c r="BE76" s="13">
        <f>BD76*VLOOKUP('Données projet'!$B$11,Paramètres!$A$1:$I$89,3,0)*VLOOKUP('Données projet'!$B$11,Paramètres!$A$1:$I$89,5,0)</f>
        <v>272.54951100000028</v>
      </c>
      <c r="BF76" s="13">
        <f t="shared" si="91"/>
        <v>65.390043555628168</v>
      </c>
      <c r="BG76" s="20">
        <f t="shared" si="61"/>
        <v>588.57805751771946</v>
      </c>
      <c r="BH76" s="59">
        <f t="shared" si="62"/>
        <v>856.3608417156413</v>
      </c>
      <c r="BI76" s="59">
        <f ca="1">AVERAGE(OFFSET($BH$3,0,0,'Données projet'!$E$11+1,1))-AVERAGE(OFFSET($H$3,0,0,'Données projet'!$E$11+1,1))</f>
        <v>681.47578137804555</v>
      </c>
      <c r="BJ76" s="59">
        <f t="shared" si="92"/>
        <v>300.88511065995885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7.0346534942578245</v>
      </c>
      <c r="BQ76" s="21">
        <f>EXP(-LN(2)/25)*BQ75+(1-EXP(-LN(2)/25))/(LN(2)/25)*Calculateur!BL76*Calculateur!BN76*VLOOKUP('Données projet'!$B$11,Paramètres!$A$1:$I$89,3,0)*0.475*44/12</f>
        <v>27.852092643773851</v>
      </c>
      <c r="BR76" s="21">
        <f>EXP(-LN(2)/2)*BR75+(1-EXP(-LN(2)/2))/(LN(2)/2)*BL76*BO76*VLOOKUP('Données projet'!$B$11,Paramètres!$A$1:$I$89,3,0)*0.475*44/12</f>
        <v>0.45250877222617303</v>
      </c>
      <c r="BS76" s="22">
        <f t="shared" si="63"/>
        <v>35.33925491025785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4.6153846153846185</v>
      </c>
      <c r="BY76" s="12">
        <f>IF('Données projet'!$A$114&gt;35,BY75+BX76-CG75,IF(A76&lt;'Données projet'!$A$114,$BV$205^A76,IF(A76='Données projet'!$A$114,'Données projet'!$B$114,BY75+BX76-CG75)))</f>
        <v>251.66666666666674</v>
      </c>
      <c r="BZ76" s="13">
        <f>BY76*VLOOKUP('Données projet'!$B$12,Paramètres!$A$1:$I$89,3,0)*VLOOKUP('Données projet'!$B$12,Paramètres!$A$1:$I$89,5,0)</f>
        <v>168.81800000000004</v>
      </c>
      <c r="CA76" s="13">
        <f t="shared" si="93"/>
        <v>42.825187501685285</v>
      </c>
      <c r="CB76" s="20">
        <f t="shared" si="64"/>
        <v>368.61188489876866</v>
      </c>
      <c r="CC76" s="59">
        <f t="shared" si="65"/>
        <v>636.39466909669045</v>
      </c>
      <c r="CD76" s="59">
        <f ca="1">AVERAGE(OFFSET($CC$3,0,0,'Données projet'!$E$12+1,1))-AVERAGE(OFFSET($H$3,0,0,'Données projet'!$E$12+1,1))</f>
        <v>335.73816489539837</v>
      </c>
      <c r="CE76" s="59">
        <f t="shared" si="94"/>
        <v>254.09787950201044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3.554414167569885</v>
      </c>
      <c r="CL76" s="21">
        <f>EXP(-LN(2)/25)*CL75+(1-EXP(-LN(2)/25))/(LN(2)/25)*Calculateur!CG76*Calculateur!CI76*VLOOKUP('Données projet'!$B$12,Paramètres!$A$1:$I$89,3,0)*0.475*44/12</f>
        <v>8.5223687924934186</v>
      </c>
      <c r="CM76" s="21">
        <f>EXP(-LN(2)/2)*CM75+(1-EXP(-LN(2)/2))/(LN(2)/2)*CG76*CJ76*VLOOKUP('Données projet'!$B$12,Paramètres!$A$1:$I$89,3,0)*0.475*44/12</f>
        <v>0.95366094734352436</v>
      </c>
      <c r="CN76" s="22">
        <f t="shared" si="66"/>
        <v>13.030443907406827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1.1368683772161603E-13</v>
      </c>
      <c r="CU76" s="17">
        <f>CT76*VLOOKUP('Données projet'!$B$13,Paramètres!$A$1:$I$89,3,0)*VLOOKUP('Données projet'!$B$13,Paramètres!$A$1:$I$89,5,0)</f>
        <v>6.7984728957526396E-14</v>
      </c>
      <c r="CV76" s="13">
        <f t="shared" si="95"/>
        <v>1.0682447123141398E-12</v>
      </c>
      <c r="CW76" s="20">
        <f t="shared" si="67"/>
        <v>1.978932943548152E-12</v>
      </c>
      <c r="CX76" s="59">
        <f t="shared" si="68"/>
        <v>267.78278419792377</v>
      </c>
      <c r="CY76" s="59">
        <f ca="1">AVERAGE(OFFSET($CX$3,0,0,'Données projet'!$E$13+1,1))-AVERAGE(OFFSET($H$3,0,0,'Données projet'!$E$13+1,1))</f>
        <v>318.50474972254085</v>
      </c>
      <c r="CZ76" s="59">
        <f t="shared" si="96"/>
        <v>326.45858332753562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107.34813595302589</v>
      </c>
      <c r="DG76" s="21">
        <f>EXP(-LN(2)/25)*DG75+(1-EXP(-LN(2)/25))/(LN(2)/25)*Calculateur!DB76*Calculateur!DD76*VLOOKUP('Données projet'!$B$13,Paramètres!$A$1:$I$89,3,0)*0.475*44/12</f>
        <v>33.781052672933576</v>
      </c>
      <c r="DH76" s="21">
        <f>EXP(-LN(2)/2)*DH75+(1-EXP(-LN(2)/2))/(LN(2)/2)*DB76*DE76*VLOOKUP('Données projet'!$B$13,Paramètres!$A$1:$I$89,3,0)*0.475*44/12</f>
        <v>0.66248660672066639</v>
      </c>
      <c r="DI76" s="22">
        <f t="shared" si="69"/>
        <v>141.79167523268015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3">
        <f>'Scénario référence'!$B$16*5+'Scénario référence'!$B$17*0+'Scénario référence'!$B$18*5</f>
        <v>5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67">
        <f t="shared" si="56"/>
        <v>183.33333333333334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5.6843418860808015E-14</v>
      </c>
      <c r="O77" s="13">
        <f>N77*VLOOKUP('Données projet'!$B$9,Paramètres!$A$1:$I$89,3,0)*VLOOKUP('Données projet'!$B$9,Paramètres!$A$1:$I$89,5,0)</f>
        <v>5.1431925385259088E-14</v>
      </c>
      <c r="P77" s="13">
        <f t="shared" si="87"/>
        <v>8.3482866290946129E-13</v>
      </c>
      <c r="Q77" s="20">
        <f t="shared" si="54"/>
        <v>1.5435705246133045E-12</v>
      </c>
      <c r="R77" s="59">
        <f t="shared" si="55"/>
        <v>268.2260291029524</v>
      </c>
      <c r="S77" s="59">
        <f ca="1">AVERAGE(OFFSET($R$3,0,0,'Données projet'!$E$9+1,1))-AVERAGE(OFFSET($H$3,0,0,'Données projet'!$E$9+1,1))</f>
        <v>214.60547318405733</v>
      </c>
      <c r="T77" s="59">
        <f t="shared" si="88"/>
        <v>306.35874106546646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8.7893665672695622</v>
      </c>
      <c r="AA77" s="21">
        <f>EXP(-LN(2)/25)*AA76+(1-EXP(-LN(2)/25))/(LN(2)/25)*Calculateur!V77*Calculateur!X77*VLOOKUP('Données projet'!$B$9,Paramètres!$A$1:$I$89,3,0)*0.475*44/12</f>
        <v>5.9147743962204871</v>
      </c>
      <c r="AB77" s="21">
        <f>EXP(-LN(2)/2)*AB76+(1-EXP(-LN(2)/2))/(LN(2)/2)*V77*Y77*VLOOKUP('Données projet'!$B$9,Paramètres!$A$1:$I$89,3,0)*0.475*44/12</f>
        <v>5.9517939879732442E-4</v>
      </c>
      <c r="AC77" s="22">
        <f t="shared" si="57"/>
        <v>14.704736142888846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>
        <f>VLOOKUP(A77,'Données projet'!$A$61:$I$81,2,0)</f>
        <v>310.95999999999998</v>
      </c>
      <c r="AG77" s="12">
        <f>VLOOKUP(A77,'Données projet'!$A$61:$I$81,9,0)</f>
        <v>9.733749999999997</v>
      </c>
      <c r="AH77" s="12">
        <f t="array" ref="AH77">INDEX(AG:AG,MIN(IF(ISNUMBER(AG77:AG273),ROW(AG77:AG273),"")))</f>
        <v>9.733749999999997</v>
      </c>
      <c r="AI77" s="13">
        <f>IF('Données projet'!$A$62&gt;35,AI76+AH77-AQ76,IF(A77&lt;'Données projet'!$A$62,$AF$205^A77,IF(A77='Données projet'!$A$62,'Données projet'!$B$62,AI76+AH77-AQ76)))</f>
        <v>310.96000000000026</v>
      </c>
      <c r="AJ77" s="13">
        <f>AI77*VLOOKUP('Données projet'!$B$10,Paramètres!$A$1:$I$89,3,0)*VLOOKUP('Données projet'!$B$10,Paramètres!$A$1:$I$89,5,0)</f>
        <v>315.31344000000024</v>
      </c>
      <c r="AK77" s="13">
        <f t="shared" si="89"/>
        <v>74.377387976510789</v>
      </c>
      <c r="AL77" s="20">
        <f t="shared" si="58"/>
        <v>678.71152539242337</v>
      </c>
      <c r="AM77" s="59">
        <f t="shared" si="59"/>
        <v>946.93755449537423</v>
      </c>
      <c r="AN77" s="59">
        <f ca="1">AVERAGE(OFFSET($AM$3,0,0,'Données projet'!$E$10+1,1))-AVERAGE(OFFSET($H$3,0,0,'Données projet'!$E$10+1,1))</f>
        <v>752.45542076695506</v>
      </c>
      <c r="AO77" s="59">
        <f t="shared" si="90"/>
        <v>329.70629768420724</v>
      </c>
      <c r="AP77" s="15">
        <f>IF(ISNA(VLOOKUP(A77,'Données projet'!$A$61:$I$81,3,0)),0,VLOOKUP(A77,'Données projet'!$A$61:$I$81,3,0))</f>
        <v>5</v>
      </c>
      <c r="AQ77" s="15">
        <f>IF(ISNA(VLOOKUP(A77,'Données projet'!$A$61:$I$81,4,0)),0,VLOOKUP(A77,'Données projet'!$A$61:$I$81,4,0))</f>
        <v>51.339999999999975</v>
      </c>
      <c r="AR77" s="16">
        <f>IF(ISNA(VLOOKUP(A77,'Données projet'!$A$61:$I$81,5,0)),0%,VLOOKUP(A77,'Données projet'!$A$61:$I$81,5,0)*VLOOKUP('Données projet'!$B$10,Paramètres!$A$1:$I$89,7,0))</f>
        <v>0.15049999999999999</v>
      </c>
      <c r="AS77" s="16">
        <f>IF(ISNA(VLOOKUP(A77,'Données projet'!$A$61:$I$81,6,0)),0%,VLOOKUP(A77,'Données projet'!$A$61:$I$81,6,0)*VLOOKUP('Données projet'!$B$10,Paramètres!$A$1:$I$89,7,0))</f>
        <v>8.6000000000000007E-2</v>
      </c>
      <c r="AT77" s="16">
        <f>IF(ISNA(VLOOKUP(A77,'Données projet'!$A$61:$I$81,7,0)),0%,VLOOKUP(A77,'Données projet'!$A$61:$I$81,7,0))</f>
        <v>0.1</v>
      </c>
      <c r="AU77" s="21">
        <f>EXP(-LN(2)/35)*AU76+(1-EXP(-LN(2)/35))/(LN(2)/35)*AQ77*AR77*VLOOKUP('Données projet'!$B$10,Paramètres!$A$1:$I$89,3,0)*0.475*44/12</f>
        <v>16.390256852917666</v>
      </c>
      <c r="AV77" s="21">
        <f>EXP(-LN(2)/25)*AV76+(1-EXP(-LN(2)/25))/(LN(2)/25)*Calculateur!AQ77*Calculateur!AS77*VLOOKUP('Données projet'!$B$10,Paramètres!$A$1:$I$89,3,0)*0.475*44/12</f>
        <v>35.289778671626223</v>
      </c>
      <c r="AW77" s="21">
        <f>EXP(-LN(2)/2)*AW76+(1-EXP(-LN(2)/2))/(LN(2)/2)*AQ77*AT77*VLOOKUP('Données projet'!$B$10,Paramètres!$A$1:$I$89,3,0)*0.475*44/12</f>
        <v>5.2704734544118432</v>
      </c>
      <c r="AX77" s="21">
        <f t="shared" si="60"/>
        <v>56.950508978955732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>
        <f>VLOOKUP(A77,'Données projet'!$A$87:$I$107,2,0)</f>
        <v>310.95999999999998</v>
      </c>
      <c r="BB77" s="12">
        <f>VLOOKUP(A77,'Données projet'!$A$87:$I$107,9,0)</f>
        <v>9.733749999999997</v>
      </c>
      <c r="BC77" s="12">
        <f t="array" ref="BC77">INDEX(BB:BB,MIN(IF(ISNUMBER(BB77:BB273),ROW(BB77:BB273),"")))</f>
        <v>9.733749999999997</v>
      </c>
      <c r="BD77" s="12">
        <f>IF('Données projet'!$A$88&gt;35,BD76+BC77-BL76,IF(A77&lt;'Données projet'!$A$88,$BA$205^A77,IF(A77='Données projet'!$A$88,'Données projet'!$B$88,BD76+BC77-BL76)))</f>
        <v>310.96000000000026</v>
      </c>
      <c r="BE77" s="13">
        <f>BD77*VLOOKUP('Données projet'!$B$11,Paramètres!$A$1:$I$89,3,0)*VLOOKUP('Données projet'!$B$11,Paramètres!$A$1:$I$89,5,0)</f>
        <v>281.35660800000022</v>
      </c>
      <c r="BF77" s="13">
        <f t="shared" si="91"/>
        <v>67.253618453644265</v>
      </c>
      <c r="BG77" s="20">
        <f t="shared" si="61"/>
        <v>607.16281107343082</v>
      </c>
      <c r="BH77" s="59">
        <f t="shared" si="62"/>
        <v>875.38884017638168</v>
      </c>
      <c r="BI77" s="59">
        <f ca="1">AVERAGE(OFFSET($BH$3,0,0,'Données projet'!$E$11+1,1))-AVERAGE(OFFSET($H$3,0,0,'Données projet'!$E$11+1,1))</f>
        <v>681.47578137804555</v>
      </c>
      <c r="BJ77" s="59">
        <f t="shared" si="92"/>
        <v>300.88511065995885</v>
      </c>
      <c r="BK77" s="15">
        <f>IF(ISNA(VLOOKUP(A77,'Données projet'!$A$87:$I$107,3,0)),0,VLOOKUP(A77,'Données projet'!$A$87:$I$107,3,0))</f>
        <v>5</v>
      </c>
      <c r="BL77" s="15">
        <f>IF(ISNA(VLOOKUP(A77,'Données projet'!$A$87:$I$107,4,0)),0,VLOOKUP(A77,'Données projet'!$A$87:$I$107,4,0))</f>
        <v>51.339999999999975</v>
      </c>
      <c r="BM77" s="16">
        <f>IF(ISNA(VLOOKUP(A77,'Données projet'!$A$87:$I$107,5,0)),0%,VLOOKUP(A77,'Données projet'!$A$87:$I$107,5,0)*VLOOKUP('Données projet'!$B$11,Paramètres!$A$1:$I$89,7,0))</f>
        <v>0.15049999999999999</v>
      </c>
      <c r="BN77" s="16">
        <f>IF(ISNA(VLOOKUP(A77,'Données projet'!$A$87:$I$107,6,0)),0%,VLOOKUP(A77,'Données projet'!$A$87:$I$107,6,0)*VLOOKUP('Données projet'!$B$11,Paramètres!$A$1:$I$89,7,0))</f>
        <v>8.6000000000000007E-2</v>
      </c>
      <c r="BO77" s="16">
        <f>IF(ISNA(VLOOKUP(A77,'Données projet'!$A$87:$I$107,7,0)),0%,VLOOKUP(A77,'Données projet'!$A$87:$I$107,7,0))</f>
        <v>0.1</v>
      </c>
      <c r="BP77" s="21">
        <f>EXP(-LN(2)/35)*BP76+(1-EXP(-LN(2)/35))/(LN(2)/35)*BL77*BM77*VLOOKUP('Données projet'!$B$11,Paramètres!$A$1:$I$89,3,0)*0.475*44/12</f>
        <v>14.625152268757301</v>
      </c>
      <c r="BQ77" s="21">
        <f>EXP(-LN(2)/25)*BQ76+(1-EXP(-LN(2)/25))/(LN(2)/25)*Calculateur!BL77*Calculateur!BN77*VLOOKUP('Données projet'!$B$11,Paramètres!$A$1:$I$89,3,0)*0.475*44/12</f>
        <v>31.489340968528012</v>
      </c>
      <c r="BR77" s="21">
        <f>EXP(-LN(2)/2)*BR76+(1-EXP(-LN(2)/2))/(LN(2)/2)*BL77*BO77*VLOOKUP('Données projet'!$B$11,Paramètres!$A$1:$I$89,3,0)*0.475*44/12</f>
        <v>4.7028840054751821</v>
      </c>
      <c r="BS77" s="22">
        <f t="shared" si="63"/>
        <v>50.8173772427605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4.6153846153846185</v>
      </c>
      <c r="BY77" s="12">
        <f>IF('Données projet'!$A$114&gt;35,BY76+BX77-CG76,IF(A77&lt;'Données projet'!$A$114,$BV$205^A77,IF(A77='Données projet'!$A$114,'Données projet'!$B$114,BY76+BX77-CG76)))</f>
        <v>256.28205128205138</v>
      </c>
      <c r="BZ77" s="13">
        <f>BY77*VLOOKUP('Données projet'!$B$12,Paramètres!$A$1:$I$89,3,0)*VLOOKUP('Données projet'!$B$12,Paramètres!$A$1:$I$89,5,0)</f>
        <v>171.91400000000007</v>
      </c>
      <c r="CA77" s="13">
        <f t="shared" si="93"/>
        <v>43.518416191440224</v>
      </c>
      <c r="CB77" s="20">
        <f t="shared" si="64"/>
        <v>375.21145820009184</v>
      </c>
      <c r="CC77" s="59">
        <f t="shared" si="65"/>
        <v>643.43748730304264</v>
      </c>
      <c r="CD77" s="59">
        <f ca="1">AVERAGE(OFFSET($CC$3,0,0,'Données projet'!$E$12+1,1))-AVERAGE(OFFSET($H$3,0,0,'Données projet'!$E$12+1,1))</f>
        <v>335.73816489539837</v>
      </c>
      <c r="CE77" s="59">
        <f t="shared" si="94"/>
        <v>254.09787950201044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3.4847142737224117</v>
      </c>
      <c r="CL77" s="21">
        <f>EXP(-LN(2)/25)*CL76+(1-EXP(-LN(2)/25))/(LN(2)/25)*Calculateur!CG77*Calculateur!CI77*VLOOKUP('Données projet'!$B$12,Paramètres!$A$1:$I$89,3,0)*0.475*44/12</f>
        <v>8.28932416969079</v>
      </c>
      <c r="CM77" s="21">
        <f>EXP(-LN(2)/2)*CM76+(1-EXP(-LN(2)/2))/(LN(2)/2)*CG77*CJ77*VLOOKUP('Données projet'!$B$12,Paramètres!$A$1:$I$89,3,0)*0.475*44/12</f>
        <v>0.67434012281939315</v>
      </c>
      <c r="CN77" s="22">
        <f t="shared" si="66"/>
        <v>12.448378566232595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1.1368683772161603E-13</v>
      </c>
      <c r="CU77" s="17">
        <f>CT77*VLOOKUP('Données projet'!$B$13,Paramètres!$A$1:$I$89,3,0)*VLOOKUP('Données projet'!$B$13,Paramètres!$A$1:$I$89,5,0)</f>
        <v>6.7984728957526396E-14</v>
      </c>
      <c r="CV77" s="13">
        <f t="shared" si="95"/>
        <v>1.0682447123141398E-12</v>
      </c>
      <c r="CW77" s="20">
        <f t="shared" si="67"/>
        <v>1.978932943548152E-12</v>
      </c>
      <c r="CX77" s="59">
        <f t="shared" si="68"/>
        <v>268.22602910295285</v>
      </c>
      <c r="CY77" s="59">
        <f ca="1">AVERAGE(OFFSET($CX$3,0,0,'Données projet'!$E$13+1,1))-AVERAGE(OFFSET($H$3,0,0,'Données projet'!$E$13+1,1))</f>
        <v>318.50474972254085</v>
      </c>
      <c r="CZ77" s="59">
        <f t="shared" si="96"/>
        <v>326.45858332753562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105.24310448288477</v>
      </c>
      <c r="DG77" s="21">
        <f>EXP(-LN(2)/25)*DG76+(1-EXP(-LN(2)/25))/(LN(2)/25)*Calculateur!DB77*Calculateur!DD77*VLOOKUP('Données projet'!$B$13,Paramètres!$A$1:$I$89,3,0)*0.475*44/12</f>
        <v>32.857308011123855</v>
      </c>
      <c r="DH77" s="21">
        <f>EXP(-LN(2)/2)*DH76+(1-EXP(-LN(2)/2))/(LN(2)/2)*DB77*DE77*VLOOKUP('Données projet'!$B$13,Paramètres!$A$1:$I$89,3,0)*0.475*44/12</f>
        <v>0.46844877205744867</v>
      </c>
      <c r="DI77" s="22">
        <f t="shared" si="69"/>
        <v>138.56886126606608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3">
        <f>'Scénario référence'!$B$16*5+'Scénario référence'!$B$17*0+'Scénario référence'!$B$18*5</f>
        <v>5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67">
        <f t="shared" si="56"/>
        <v>183.33333333333334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5.6843418860808015E-14</v>
      </c>
      <c r="O78" s="13">
        <f>N78*VLOOKUP('Données projet'!$B$9,Paramètres!$A$1:$I$89,3,0)*VLOOKUP('Données projet'!$B$9,Paramètres!$A$1:$I$89,5,0)</f>
        <v>5.1431925385259088E-14</v>
      </c>
      <c r="P78" s="13">
        <f t="shared" si="87"/>
        <v>8.3482866290946129E-13</v>
      </c>
      <c r="Q78" s="20">
        <f t="shared" si="54"/>
        <v>1.5435705246133045E-12</v>
      </c>
      <c r="R78" s="59">
        <f t="shared" si="55"/>
        <v>268.66158469982634</v>
      </c>
      <c r="S78" s="59">
        <f ca="1">AVERAGE(OFFSET($R$3,0,0,'Données projet'!$E$9+1,1))-AVERAGE(OFFSET($H$3,0,0,'Données projet'!$E$9+1,1))</f>
        <v>214.60547318405733</v>
      </c>
      <c r="T78" s="59">
        <f t="shared" si="88"/>
        <v>306.35874106546646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8.6170124498696588</v>
      </c>
      <c r="AA78" s="21">
        <f>EXP(-LN(2)/25)*AA77+(1-EXP(-LN(2)/25))/(LN(2)/25)*Calculateur!V78*Calculateur!X78*VLOOKUP('Données projet'!$B$9,Paramètres!$A$1:$I$89,3,0)*0.475*44/12</f>
        <v>5.7530345793113709</v>
      </c>
      <c r="AB78" s="21">
        <f>EXP(-LN(2)/2)*AB77+(1-EXP(-LN(2)/2))/(LN(2)/2)*V78*Y78*VLOOKUP('Données projet'!$B$9,Paramètres!$A$1:$I$89,3,0)*0.475*44/12</f>
        <v>4.2085538891212059E-4</v>
      </c>
      <c r="AC78" s="22">
        <f t="shared" si="57"/>
        <v>14.370467884569942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9.546999999999997</v>
      </c>
      <c r="AI78" s="13">
        <f>IF('Données projet'!$A$62&gt;35,AI77+AH78-AQ77,IF(A78&lt;'Données projet'!$A$62,$AF$205^A78,IF(A78='Données projet'!$A$62,'Données projet'!$B$62,AI77+AH78-AQ77)))</f>
        <v>269.16700000000031</v>
      </c>
      <c r="AJ78" s="13">
        <f>AI78*VLOOKUP('Données projet'!$B$10,Paramètres!$A$1:$I$89,3,0)*VLOOKUP('Données projet'!$B$10,Paramètres!$A$1:$I$89,5,0)</f>
        <v>272.93533800000034</v>
      </c>
      <c r="AK78" s="13">
        <f t="shared" si="89"/>
        <v>65.471829519996945</v>
      </c>
      <c r="AL78" s="20">
        <f t="shared" si="58"/>
        <v>589.39248343066197</v>
      </c>
      <c r="AM78" s="59">
        <f t="shared" si="59"/>
        <v>858.05406813048671</v>
      </c>
      <c r="AN78" s="59">
        <f ca="1">AVERAGE(OFFSET($AM$3,0,0,'Données projet'!$E$10+1,1))-AVERAGE(OFFSET($H$3,0,0,'Données projet'!$E$10+1,1))</f>
        <v>752.45542076695506</v>
      </c>
      <c r="AO78" s="59">
        <f t="shared" si="90"/>
        <v>329.70629768420724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16.068853913101503</v>
      </c>
      <c r="AV78" s="21">
        <f>EXP(-LN(2)/25)*AV77+(1-EXP(-LN(2)/25))/(LN(2)/25)*Calculateur!AQ78*Calculateur!AS78*VLOOKUP('Données projet'!$B$10,Paramètres!$A$1:$I$89,3,0)*0.475*44/12</f>
        <v>34.324777818041802</v>
      </c>
      <c r="AW78" s="21">
        <f>EXP(-LN(2)/2)*AW77+(1-EXP(-LN(2)/2))/(LN(2)/2)*AQ78*AT78*VLOOKUP('Données projet'!$B$10,Paramètres!$A$1:$I$89,3,0)*0.475*44/12</f>
        <v>3.7267875196783029</v>
      </c>
      <c r="AX78" s="21">
        <f t="shared" si="60"/>
        <v>54.120419250821605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9.546999999999997</v>
      </c>
      <c r="BD78" s="12">
        <f>IF('Données projet'!$A$88&gt;35,BD77+BC78-BL77,IF(A78&lt;'Données projet'!$A$88,$BA$205^A78,IF(A78='Données projet'!$A$88,'Données projet'!$B$88,BD77+BC78-BL77)))</f>
        <v>269.16700000000031</v>
      </c>
      <c r="BE78" s="13">
        <f>BD78*VLOOKUP('Données projet'!$B$11,Paramètres!$A$1:$I$89,3,0)*VLOOKUP('Données projet'!$B$11,Paramètres!$A$1:$I$89,5,0)</f>
        <v>243.54230160000029</v>
      </c>
      <c r="BF78" s="13">
        <f t="shared" si="91"/>
        <v>59.201022808040776</v>
      </c>
      <c r="BG78" s="20">
        <f t="shared" si="61"/>
        <v>527.27795667733812</v>
      </c>
      <c r="BH78" s="59">
        <f t="shared" si="62"/>
        <v>795.93954137716287</v>
      </c>
      <c r="BI78" s="59">
        <f ca="1">AVERAGE(OFFSET($BH$3,0,0,'Données projet'!$E$11+1,1))-AVERAGE(OFFSET($H$3,0,0,'Données projet'!$E$11+1,1))</f>
        <v>681.47578137804555</v>
      </c>
      <c r="BJ78" s="59">
        <f t="shared" si="92"/>
        <v>300.88511065995885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14.338361953229031</v>
      </c>
      <c r="BQ78" s="21">
        <f>EXP(-LN(2)/25)*BQ77+(1-EXP(-LN(2)/25))/(LN(2)/25)*Calculateur!BL78*Calculateur!BN78*VLOOKUP('Données projet'!$B$11,Paramètres!$A$1:$I$89,3,0)*0.475*44/12</f>
        <v>30.628263283791142</v>
      </c>
      <c r="BR78" s="21">
        <f>EXP(-LN(2)/2)*BR77+(1-EXP(-LN(2)/2))/(LN(2)/2)*BL78*BO78*VLOOKUP('Données projet'!$B$11,Paramètres!$A$1:$I$89,3,0)*0.475*44/12</f>
        <v>3.3254411714052541</v>
      </c>
      <c r="BS78" s="22">
        <f t="shared" si="63"/>
        <v>48.292066408425427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>
        <f>VLOOKUP(A78,'Données projet'!$A$113:$I$133,2,0)</f>
        <v>260.89743589743591</v>
      </c>
      <c r="BW78" s="12">
        <f>VLOOKUP(A78,'Données projet'!$A$113:$I$133,9,0)</f>
        <v>4.6153846153846185</v>
      </c>
      <c r="BX78" s="12">
        <f t="array" ref="BX78">INDEX(BW:BW,MIN(IF(ISNUMBER(BW78:BW274),ROW(BW78:BW274),"")))</f>
        <v>4.6153846153846185</v>
      </c>
      <c r="BY78" s="12">
        <f>IF('Données projet'!$A$114&gt;35,BY77+BX78-CG77,IF(A78&lt;'Données projet'!$A$114,$BV$205^A78,IF(A78='Données projet'!$A$114,'Données projet'!$B$114,BY77+BX78-CG77)))</f>
        <v>260.89743589743603</v>
      </c>
      <c r="BZ78" s="13">
        <f>BY78*VLOOKUP('Données projet'!$B$12,Paramètres!$A$1:$I$89,3,0)*VLOOKUP('Données projet'!$B$12,Paramètres!$A$1:$I$89,5,0)</f>
        <v>175.01000000000008</v>
      </c>
      <c r="CA78" s="13">
        <f t="shared" si="93"/>
        <v>44.210193140944192</v>
      </c>
      <c r="CB78" s="20">
        <f t="shared" si="64"/>
        <v>381.80850305381131</v>
      </c>
      <c r="CC78" s="59">
        <f t="shared" si="65"/>
        <v>650.47008775363611</v>
      </c>
      <c r="CD78" s="59">
        <f ca="1">AVERAGE(OFFSET($CC$3,0,0,'Données projet'!$E$12+1,1))-AVERAGE(OFFSET($H$3,0,0,'Données projet'!$E$12+1,1))</f>
        <v>335.73816489539837</v>
      </c>
      <c r="CE78" s="59">
        <f t="shared" si="94"/>
        <v>254.09787950201044</v>
      </c>
      <c r="CF78" s="15">
        <f>IF(ISNA(VLOOKUP(A78,'Données projet'!$A$113:$I$133,3,0)),0,VLOOKUP(A78,'Données projet'!$A$113:$I$133,3,0))</f>
        <v>13</v>
      </c>
      <c r="CG78" s="15">
        <f>IF(ISNA(VLOOKUP(A78,'Données projet'!$A$113:$I$133,4,0)),0,VLOOKUP(A78,'Données projet'!$A$113:$I$133,4,0))</f>
        <v>13.461538461538462</v>
      </c>
      <c r="CH78" s="16">
        <f>IF(ISNA(VLOOKUP(A78,'Données projet'!$A$113:$I$133,5,0)),0%,VLOOKUP(A78,'Données projet'!$A$113:$I$133,5,0)*VLOOKUP('Données projet'!$B$12,Paramètres!$A$1:$I$89,7,0))</f>
        <v>0.13250000000000001</v>
      </c>
      <c r="CI78" s="16">
        <f>IF(ISNA(VLOOKUP(A78,'Données projet'!$A$113:$I$133,6,0)),0%,VLOOKUP(A78,'Données projet'!$A$113:$I$133,6,0)*VLOOKUP('Données projet'!$B$12,Paramètres!$A$1:$I$89,7,0))</f>
        <v>0.13250000000000001</v>
      </c>
      <c r="CJ78" s="16">
        <f>IF(ISNA(VLOOKUP(A78,'Données projet'!$A$113:$I$133,7,0)),0%,VLOOKUP(A78,'Données projet'!$A$113:$I$133,7,0))</f>
        <v>0.25</v>
      </c>
      <c r="CK78" s="21">
        <f>EXP(-LN(2)/35)*CK77+(1-EXP(-LN(2)/35))/(LN(2)/35)*CG78*CH78*VLOOKUP('Données projet'!$B$12,Paramètres!$A$1:$I$89,3,0)*0.475*44/12</f>
        <v>4.7390488246322366</v>
      </c>
      <c r="CL78" s="21">
        <f>EXP(-LN(2)/25)*CL77+(1-EXP(-LN(2)/25))/(LN(2)/25)*Calculateur!CG78*Calculateur!CI78*VLOOKUP('Données projet'!$B$12,Paramètres!$A$1:$I$89,3,0)*0.475*44/12</f>
        <v>9.3801119901037264</v>
      </c>
      <c r="CM78" s="21">
        <f>EXP(-LN(2)/2)*CM77+(1-EXP(-LN(2)/2))/(LN(2)/2)*CG78*CJ78*VLOOKUP('Données projet'!$B$12,Paramètres!$A$1:$I$89,3,0)*0.475*44/12</f>
        <v>2.6068424833934265</v>
      </c>
      <c r="CN78" s="22">
        <f t="shared" si="66"/>
        <v>16.726003298129388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1.1368683772161603E-13</v>
      </c>
      <c r="CU78" s="17">
        <f>CT78*VLOOKUP('Données projet'!$B$13,Paramètres!$A$1:$I$89,3,0)*VLOOKUP('Données projet'!$B$13,Paramètres!$A$1:$I$89,5,0)</f>
        <v>6.7984728957526396E-14</v>
      </c>
      <c r="CV78" s="13">
        <f t="shared" si="95"/>
        <v>1.0682447123141398E-12</v>
      </c>
      <c r="CW78" s="20">
        <f t="shared" si="67"/>
        <v>1.978932943548152E-12</v>
      </c>
      <c r="CX78" s="59">
        <f t="shared" si="68"/>
        <v>268.66158469982679</v>
      </c>
      <c r="CY78" s="59">
        <f ca="1">AVERAGE(OFFSET($CX$3,0,0,'Données projet'!$E$13+1,1))-AVERAGE(OFFSET($H$3,0,0,'Données projet'!$E$13+1,1))</f>
        <v>318.50474972254085</v>
      </c>
      <c r="CZ78" s="59">
        <f t="shared" si="96"/>
        <v>326.45858332753562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103.17935139593071</v>
      </c>
      <c r="DG78" s="21">
        <f>EXP(-LN(2)/25)*DG77+(1-EXP(-LN(2)/25))/(LN(2)/25)*Calculateur!DB78*Calculateur!DD78*VLOOKUP('Données projet'!$B$13,Paramètres!$A$1:$I$89,3,0)*0.475*44/12</f>
        <v>31.958823195668941</v>
      </c>
      <c r="DH78" s="21">
        <f>EXP(-LN(2)/2)*DH77+(1-EXP(-LN(2)/2))/(LN(2)/2)*DB78*DE78*VLOOKUP('Données projet'!$B$13,Paramètres!$A$1:$I$89,3,0)*0.475*44/12</f>
        <v>0.33124330336033325</v>
      </c>
      <c r="DI78" s="22">
        <f t="shared" si="69"/>
        <v>135.46941789495997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3">
        <f>'Scénario référence'!$B$16*5+'Scénario référence'!$B$17*0+'Scénario référence'!$B$18*5</f>
        <v>5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67">
        <f t="shared" si="56"/>
        <v>183.33333333333334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5.6843418860808015E-14</v>
      </c>
      <c r="O79" s="13">
        <f>N79*VLOOKUP('Données projet'!$B$9,Paramètres!$A$1:$I$89,3,0)*VLOOKUP('Données projet'!$B$9,Paramètres!$A$1:$I$89,5,0)</f>
        <v>5.1431925385259088E-14</v>
      </c>
      <c r="P79" s="13">
        <f t="shared" si="87"/>
        <v>8.3482866290946129E-13</v>
      </c>
      <c r="Q79" s="20">
        <f t="shared" si="54"/>
        <v>1.5435705246133045E-12</v>
      </c>
      <c r="R79" s="59">
        <f t="shared" si="55"/>
        <v>269.08958438085097</v>
      </c>
      <c r="S79" s="59">
        <f ca="1">AVERAGE(OFFSET($R$3,0,0,'Données projet'!$E$9+1,1))-AVERAGE(OFFSET($H$3,0,0,'Données projet'!$E$9+1,1))</f>
        <v>214.60547318405733</v>
      </c>
      <c r="T79" s="59">
        <f t="shared" si="88"/>
        <v>306.35874106546646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8.4480380915863371</v>
      </c>
      <c r="AA79" s="21">
        <f>EXP(-LN(2)/25)*AA78+(1-EXP(-LN(2)/25))/(LN(2)/25)*Calculateur!V79*Calculateur!X79*VLOOKUP('Données projet'!$B$9,Paramètres!$A$1:$I$89,3,0)*0.475*44/12</f>
        <v>5.5957175462011612</v>
      </c>
      <c r="AB79" s="21">
        <f>EXP(-LN(2)/2)*AB78+(1-EXP(-LN(2)/2))/(LN(2)/2)*V79*Y79*VLOOKUP('Données projet'!$B$9,Paramètres!$A$1:$I$89,3,0)*0.475*44/12</f>
        <v>2.9758969939866221E-4</v>
      </c>
      <c r="AC79" s="22">
        <f t="shared" si="57"/>
        <v>14.044053227486897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9.546999999999997</v>
      </c>
      <c r="AI79" s="13">
        <f>IF('Données projet'!$A$62&gt;35,AI78+AH79-AQ78,IF(A79&lt;'Données projet'!$A$62,$AF$205^A79,IF(A79='Données projet'!$A$62,'Données projet'!$B$62,AI78+AH79-AQ78)))</f>
        <v>278.71400000000028</v>
      </c>
      <c r="AJ79" s="13">
        <f>AI79*VLOOKUP('Données projet'!$B$10,Paramètres!$A$1:$I$89,3,0)*VLOOKUP('Données projet'!$B$10,Paramètres!$A$1:$I$89,5,0)</f>
        <v>282.61599600000028</v>
      </c>
      <c r="AK79" s="13">
        <f t="shared" si="89"/>
        <v>67.519544470872418</v>
      </c>
      <c r="AL79" s="20">
        <f t="shared" si="58"/>
        <v>609.81939965343656</v>
      </c>
      <c r="AM79" s="59">
        <f t="shared" si="59"/>
        <v>878.90898403428605</v>
      </c>
      <c r="AN79" s="59">
        <f ca="1">AVERAGE(OFFSET($AM$3,0,0,'Données projet'!$E$10+1,1))-AVERAGE(OFFSET($H$3,0,0,'Données projet'!$E$10+1,1))</f>
        <v>752.45542076695506</v>
      </c>
      <c r="AO79" s="59">
        <f t="shared" si="90"/>
        <v>329.70629768420724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15.753753488898697</v>
      </c>
      <c r="AV79" s="21">
        <f>EXP(-LN(2)/25)*AV78+(1-EXP(-LN(2)/25))/(LN(2)/25)*Calculateur!AQ79*Calculateur!AS79*VLOOKUP('Données projet'!$B$10,Paramètres!$A$1:$I$89,3,0)*0.475*44/12</f>
        <v>33.386164963545838</v>
      </c>
      <c r="AW79" s="21">
        <f>EXP(-LN(2)/2)*AW78+(1-EXP(-LN(2)/2))/(LN(2)/2)*AQ79*AT79*VLOOKUP('Données projet'!$B$10,Paramètres!$A$1:$I$89,3,0)*0.475*44/12</f>
        <v>2.6352367272059221</v>
      </c>
      <c r="AX79" s="21">
        <f t="shared" si="60"/>
        <v>51.775155179650454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9.546999999999997</v>
      </c>
      <c r="BD79" s="12">
        <f>IF('Données projet'!$A$88&gt;35,BD78+BC79-BL78,IF(A79&lt;'Données projet'!$A$88,$BA$205^A79,IF(A79='Données projet'!$A$88,'Données projet'!$B$88,BD78+BC79-BL78)))</f>
        <v>278.71400000000028</v>
      </c>
      <c r="BE79" s="13">
        <f>BD79*VLOOKUP('Données projet'!$B$11,Paramètres!$A$1:$I$89,3,0)*VLOOKUP('Données projet'!$B$11,Paramètres!$A$1:$I$89,5,0)</f>
        <v>252.18042720000025</v>
      </c>
      <c r="BF79" s="13">
        <f t="shared" si="91"/>
        <v>61.052610283141384</v>
      </c>
      <c r="BG79" s="20">
        <f t="shared" si="61"/>
        <v>545.54754028313835</v>
      </c>
      <c r="BH79" s="59">
        <f t="shared" si="62"/>
        <v>814.63712466398783</v>
      </c>
      <c r="BI79" s="59">
        <f ca="1">AVERAGE(OFFSET($BH$3,0,0,'Données projet'!$E$11+1,1))-AVERAGE(OFFSET($H$3,0,0,'Données projet'!$E$11+1,1))</f>
        <v>681.47578137804555</v>
      </c>
      <c r="BJ79" s="59">
        <f t="shared" si="92"/>
        <v>300.88511065995885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14.057195420863451</v>
      </c>
      <c r="BQ79" s="21">
        <f>EXP(-LN(2)/25)*BQ78+(1-EXP(-LN(2)/25))/(LN(2)/25)*Calculateur!BL79*Calculateur!BN79*VLOOKUP('Données projet'!$B$11,Paramètres!$A$1:$I$89,3,0)*0.475*44/12</f>
        <v>29.790731813625509</v>
      </c>
      <c r="BR79" s="21">
        <f>EXP(-LN(2)/2)*BR78+(1-EXP(-LN(2)/2))/(LN(2)/2)*BL79*BO79*VLOOKUP('Données projet'!$B$11,Paramètres!$A$1:$I$89,3,0)*0.475*44/12</f>
        <v>2.3514420027375915</v>
      </c>
      <c r="BS79" s="22">
        <f t="shared" si="63"/>
        <v>46.199369237226556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4.2307692307692264</v>
      </c>
      <c r="BY79" s="12">
        <f>IF('Données projet'!$A$114&gt;35,BY78+BX79-CG78,IF(A79&lt;'Données projet'!$A$114,$BV$205^A79,IF(A79='Données projet'!$A$114,'Données projet'!$B$114,BY78+BX79-CG78)))</f>
        <v>251.6666666666668</v>
      </c>
      <c r="BZ79" s="13">
        <f>BY79*VLOOKUP('Données projet'!$B$12,Paramètres!$A$1:$I$89,3,0)*VLOOKUP('Données projet'!$B$12,Paramètres!$A$1:$I$89,5,0)</f>
        <v>168.8180000000001</v>
      </c>
      <c r="CA79" s="13">
        <f t="shared" si="93"/>
        <v>42.825187501685285</v>
      </c>
      <c r="CB79" s="20">
        <f t="shared" si="64"/>
        <v>368.61188489876872</v>
      </c>
      <c r="CC79" s="59">
        <f t="shared" si="65"/>
        <v>637.7014692796181</v>
      </c>
      <c r="CD79" s="59">
        <f ca="1">AVERAGE(OFFSET($CC$3,0,0,'Données projet'!$E$12+1,1))-AVERAGE(OFFSET($H$3,0,0,'Données projet'!$E$12+1,1))</f>
        <v>335.73816489539837</v>
      </c>
      <c r="CE79" s="59">
        <f t="shared" si="94"/>
        <v>254.09787950201044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4.646118967715565</v>
      </c>
      <c r="CL79" s="21">
        <f>EXP(-LN(2)/25)*CL78+(1-EXP(-LN(2)/25))/(LN(2)/25)*Calculateur!CG79*Calculateur!CI79*VLOOKUP('Données projet'!$B$12,Paramètres!$A$1:$I$89,3,0)*0.475*44/12</f>
        <v>9.1236123344556894</v>
      </c>
      <c r="CM79" s="21">
        <f>EXP(-LN(2)/2)*CM78+(1-EXP(-LN(2)/2))/(LN(2)/2)*CG79*CJ79*VLOOKUP('Données projet'!$B$12,Paramètres!$A$1:$I$89,3,0)*0.475*44/12</f>
        <v>1.8433159974926718</v>
      </c>
      <c r="CN79" s="22">
        <f t="shared" si="66"/>
        <v>15.613047299663927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1.1368683772161603E-13</v>
      </c>
      <c r="CU79" s="17">
        <f>CT79*VLOOKUP('Données projet'!$B$13,Paramètres!$A$1:$I$89,3,0)*VLOOKUP('Données projet'!$B$13,Paramètres!$A$1:$I$89,5,0)</f>
        <v>6.7984728957526396E-14</v>
      </c>
      <c r="CV79" s="13">
        <f t="shared" si="95"/>
        <v>1.0682447123141398E-12</v>
      </c>
      <c r="CW79" s="20">
        <f t="shared" si="67"/>
        <v>1.978932943548152E-12</v>
      </c>
      <c r="CX79" s="59">
        <f t="shared" si="68"/>
        <v>269.08958438085142</v>
      </c>
      <c r="CY79" s="59">
        <f ca="1">AVERAGE(OFFSET($CX$3,0,0,'Données projet'!$E$13+1,1))-AVERAGE(OFFSET($H$3,0,0,'Données projet'!$E$13+1,1))</f>
        <v>318.50474972254085</v>
      </c>
      <c r="CZ79" s="59">
        <f t="shared" si="96"/>
        <v>326.45858332753562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101.15606724824673</v>
      </c>
      <c r="DG79" s="21">
        <f>EXP(-LN(2)/25)*DG78+(1-EXP(-LN(2)/25))/(LN(2)/25)*Calculateur!DB79*Calculateur!DD79*VLOOKUP('Données projet'!$B$13,Paramètres!$A$1:$I$89,3,0)*0.475*44/12</f>
        <v>31.084907494741906</v>
      </c>
      <c r="DH79" s="21">
        <f>EXP(-LN(2)/2)*DH78+(1-EXP(-LN(2)/2))/(LN(2)/2)*DB79*DE79*VLOOKUP('Données projet'!$B$13,Paramètres!$A$1:$I$89,3,0)*0.475*44/12</f>
        <v>0.23422438602872436</v>
      </c>
      <c r="DI79" s="22">
        <f t="shared" si="69"/>
        <v>132.47519912901737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3">
        <f>'Scénario référence'!$B$16*5+'Scénario référence'!$B$17*0+'Scénario référence'!$B$18*5</f>
        <v>5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67">
        <f t="shared" si="56"/>
        <v>183.33333333333334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5.6843418860808015E-14</v>
      </c>
      <c r="O80" s="13">
        <f>N80*VLOOKUP('Données projet'!$B$9,Paramètres!$A$1:$I$89,3,0)*VLOOKUP('Données projet'!$B$9,Paramètres!$A$1:$I$89,5,0)</f>
        <v>5.1431925385259088E-14</v>
      </c>
      <c r="P80" s="13">
        <f t="shared" si="87"/>
        <v>8.3482866290946129E-13</v>
      </c>
      <c r="Q80" s="20">
        <f t="shared" si="54"/>
        <v>1.5435705246133045E-12</v>
      </c>
      <c r="R80" s="59">
        <f t="shared" si="55"/>
        <v>269.51015922427382</v>
      </c>
      <c r="S80" s="59">
        <f ca="1">AVERAGE(OFFSET($R$3,0,0,'Données projet'!$E$9+1,1))-AVERAGE(OFFSET($H$3,0,0,'Données projet'!$E$9+1,1))</f>
        <v>214.60547318405733</v>
      </c>
      <c r="T80" s="59">
        <f t="shared" si="88"/>
        <v>306.35874106546646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8.2823772174047683</v>
      </c>
      <c r="AA80" s="21">
        <f>EXP(-LN(2)/25)*AA79+(1-EXP(-LN(2)/25))/(LN(2)/25)*Calculateur!V80*Calculateur!X80*VLOOKUP('Données projet'!$B$9,Paramètres!$A$1:$I$89,3,0)*0.475*44/12</f>
        <v>5.4427023556342942</v>
      </c>
      <c r="AB80" s="21">
        <f>EXP(-LN(2)/2)*AB79+(1-EXP(-LN(2)/2))/(LN(2)/2)*V80*Y80*VLOOKUP('Données projet'!$B$9,Paramètres!$A$1:$I$89,3,0)*0.475*44/12</f>
        <v>2.1042769445606029E-4</v>
      </c>
      <c r="AC80" s="22">
        <f t="shared" si="57"/>
        <v>13.725290000733519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9.546999999999997</v>
      </c>
      <c r="AI80" s="13">
        <f>IF('Données projet'!$A$62&gt;35,AI79+AH80-AQ79,IF(A80&lt;'Données projet'!$A$62,$AF$205^A80,IF(A80='Données projet'!$A$62,'Données projet'!$B$62,AI79+AH80-AQ79)))</f>
        <v>288.26100000000031</v>
      </c>
      <c r="AJ80" s="13">
        <f>AI80*VLOOKUP('Données projet'!$B$10,Paramètres!$A$1:$I$89,3,0)*VLOOKUP('Données projet'!$B$10,Paramètres!$A$1:$I$89,5,0)</f>
        <v>292.29665400000033</v>
      </c>
      <c r="AK80" s="13">
        <f t="shared" si="89"/>
        <v>69.559109473742168</v>
      </c>
      <c r="AL80" s="20">
        <f t="shared" si="58"/>
        <v>630.23212138343479</v>
      </c>
      <c r="AM80" s="59">
        <f t="shared" si="59"/>
        <v>899.74228060770702</v>
      </c>
      <c r="AN80" s="59">
        <f ca="1">AVERAGE(OFFSET($AM$3,0,0,'Données projet'!$E$10+1,1))-AVERAGE(OFFSET($H$3,0,0,'Données projet'!$E$10+1,1))</f>
        <v>752.45542076695506</v>
      </c>
      <c r="AO80" s="59">
        <f t="shared" si="90"/>
        <v>329.70629768420724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15.444831991822229</v>
      </c>
      <c r="AV80" s="21">
        <f>EXP(-LN(2)/25)*AV79+(1-EXP(-LN(2)/25))/(LN(2)/25)*Calculateur!AQ80*Calculateur!AS80*VLOOKUP('Données projet'!$B$10,Paramètres!$A$1:$I$89,3,0)*0.475*44/12</f>
        <v>32.473218526915566</v>
      </c>
      <c r="AW80" s="21">
        <f>EXP(-LN(2)/2)*AW79+(1-EXP(-LN(2)/2))/(LN(2)/2)*AQ80*AT80*VLOOKUP('Données projet'!$B$10,Paramètres!$A$1:$I$89,3,0)*0.475*44/12</f>
        <v>1.8633937598391517</v>
      </c>
      <c r="AX80" s="21">
        <f t="shared" si="60"/>
        <v>49.781444278576942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9.546999999999997</v>
      </c>
      <c r="BD80" s="12">
        <f>IF('Données projet'!$A$88&gt;35,BD79+BC80-BL79,IF(A80&lt;'Données projet'!$A$88,$BA$205^A80,IF(A80='Données projet'!$A$88,'Données projet'!$B$88,BD79+BC80-BL79)))</f>
        <v>288.26100000000031</v>
      </c>
      <c r="BE80" s="13">
        <f>BD80*VLOOKUP('Données projet'!$B$11,Paramètres!$A$1:$I$89,3,0)*VLOOKUP('Données projet'!$B$11,Paramètres!$A$1:$I$89,5,0)</f>
        <v>260.8185528000003</v>
      </c>
      <c r="BF80" s="13">
        <f t="shared" si="91"/>
        <v>62.896828401660521</v>
      </c>
      <c r="BG80" s="20">
        <f t="shared" si="61"/>
        <v>563.80428892622592</v>
      </c>
      <c r="BH80" s="59">
        <f t="shared" si="62"/>
        <v>833.31444815049827</v>
      </c>
      <c r="BI80" s="59">
        <f ca="1">AVERAGE(OFFSET($BH$3,0,0,'Données projet'!$E$11+1,1))-AVERAGE(OFFSET($H$3,0,0,'Données projet'!$E$11+1,1))</f>
        <v>681.47578137804555</v>
      </c>
      <c r="BJ80" s="59">
        <f t="shared" si="92"/>
        <v>300.88511065995885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13.781542392702908</v>
      </c>
      <c r="BQ80" s="21">
        <f>EXP(-LN(2)/25)*BQ79+(1-EXP(-LN(2)/25))/(LN(2)/25)*Calculateur!BL80*Calculateur!BN80*VLOOKUP('Données projet'!$B$11,Paramètres!$A$1:$I$89,3,0)*0.475*44/12</f>
        <v>28.976102685555421</v>
      </c>
      <c r="BR80" s="21">
        <f>EXP(-LN(2)/2)*BR79+(1-EXP(-LN(2)/2))/(LN(2)/2)*BL80*BO80*VLOOKUP('Données projet'!$B$11,Paramètres!$A$1:$I$89,3,0)*0.475*44/12</f>
        <v>1.6627205857026273</v>
      </c>
      <c r="BS80" s="22">
        <f t="shared" si="63"/>
        <v>44.420365663960958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4.2307692307692264</v>
      </c>
      <c r="BY80" s="12">
        <f>IF('Données projet'!$A$114&gt;35,BY79+BX80-CG79,IF(A80&lt;'Données projet'!$A$114,$BV$205^A80,IF(A80='Données projet'!$A$114,'Données projet'!$B$114,BY79+BX80-CG79)))</f>
        <v>255.89743589743603</v>
      </c>
      <c r="BZ80" s="13">
        <f>BY80*VLOOKUP('Données projet'!$B$12,Paramètres!$A$1:$I$89,3,0)*VLOOKUP('Données projet'!$B$12,Paramètres!$A$1:$I$89,5,0)</f>
        <v>171.65600000000009</v>
      </c>
      <c r="CA80" s="13">
        <f t="shared" si="93"/>
        <v>43.460702985278566</v>
      </c>
      <c r="CB80" s="20">
        <f t="shared" si="64"/>
        <v>374.66159103269365</v>
      </c>
      <c r="CC80" s="59">
        <f t="shared" si="65"/>
        <v>644.17175025696588</v>
      </c>
      <c r="CD80" s="59">
        <f ca="1">AVERAGE(OFFSET($CC$3,0,0,'Données projet'!$E$12+1,1))-AVERAGE(OFFSET($H$3,0,0,'Données projet'!$E$12+1,1))</f>
        <v>335.73816489539837</v>
      </c>
      <c r="CE80" s="59">
        <f t="shared" si="94"/>
        <v>254.09787950201044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4.5550114086114135</v>
      </c>
      <c r="CL80" s="21">
        <f>EXP(-LN(2)/25)*CL79+(1-EXP(-LN(2)/25))/(LN(2)/25)*Calculateur!CG80*Calculateur!CI80*VLOOKUP('Données projet'!$B$12,Paramètres!$A$1:$I$89,3,0)*0.475*44/12</f>
        <v>8.8741266753800776</v>
      </c>
      <c r="CM80" s="21">
        <f>EXP(-LN(2)/2)*CM79+(1-EXP(-LN(2)/2))/(LN(2)/2)*CG80*CJ80*VLOOKUP('Données projet'!$B$12,Paramètres!$A$1:$I$89,3,0)*0.475*44/12</f>
        <v>1.3034212416967135</v>
      </c>
      <c r="CN80" s="22">
        <f t="shared" si="66"/>
        <v>14.732559325688204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1.1368683772161603E-13</v>
      </c>
      <c r="CU80" s="17">
        <f>CT80*VLOOKUP('Données projet'!$B$13,Paramètres!$A$1:$I$89,3,0)*VLOOKUP('Données projet'!$B$13,Paramètres!$A$1:$I$89,5,0)</f>
        <v>6.7984728957526396E-14</v>
      </c>
      <c r="CV80" s="13">
        <f t="shared" si="95"/>
        <v>1.0682447123141398E-12</v>
      </c>
      <c r="CW80" s="20">
        <f t="shared" si="67"/>
        <v>1.978932943548152E-12</v>
      </c>
      <c r="CX80" s="59">
        <f t="shared" si="68"/>
        <v>269.51015922427428</v>
      </c>
      <c r="CY80" s="59">
        <f ca="1">AVERAGE(OFFSET($CX$3,0,0,'Données projet'!$E$13+1,1))-AVERAGE(OFFSET($H$3,0,0,'Données projet'!$E$13+1,1))</f>
        <v>318.50474972254085</v>
      </c>
      <c r="CZ80" s="59">
        <f t="shared" si="96"/>
        <v>326.45858332753562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99.17245846861735</v>
      </c>
      <c r="DG80" s="21">
        <f>EXP(-LN(2)/25)*DG79+(1-EXP(-LN(2)/25))/(LN(2)/25)*Calculateur!DB80*Calculateur!DD80*VLOOKUP('Données projet'!$B$13,Paramètres!$A$1:$I$89,3,0)*0.475*44/12</f>
        <v>30.234889064613949</v>
      </c>
      <c r="DH80" s="21">
        <f>EXP(-LN(2)/2)*DH79+(1-EXP(-LN(2)/2))/(LN(2)/2)*DB80*DE80*VLOOKUP('Données projet'!$B$13,Paramètres!$A$1:$I$89,3,0)*0.475*44/12</f>
        <v>0.16562165168016665</v>
      </c>
      <c r="DI80" s="22">
        <f t="shared" si="69"/>
        <v>129.57296918491147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3">
        <f>'Scénario référence'!$B$16*5+'Scénario référence'!$B$17*0+'Scénario référence'!$B$18*5</f>
        <v>5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67">
        <f t="shared" si="56"/>
        <v>183.33333333333334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5.6843418860808015E-14</v>
      </c>
      <c r="O81" s="13">
        <f>N81*VLOOKUP('Données projet'!$B$9,Paramètres!$A$1:$I$89,3,0)*VLOOKUP('Données projet'!$B$9,Paramètres!$A$1:$I$89,5,0)</f>
        <v>5.1431925385259088E-14</v>
      </c>
      <c r="P81" s="13">
        <f t="shared" si="87"/>
        <v>8.3482866290946129E-13</v>
      </c>
      <c r="Q81" s="20">
        <f t="shared" si="54"/>
        <v>1.5435705246133045E-12</v>
      </c>
      <c r="R81" s="59">
        <f t="shared" si="55"/>
        <v>269.92343803442776</v>
      </c>
      <c r="S81" s="59">
        <f ca="1">AVERAGE(OFFSET($R$3,0,0,'Données projet'!$E$9+1,1))-AVERAGE(OFFSET($H$3,0,0,'Données projet'!$E$9+1,1))</f>
        <v>214.60547318405733</v>
      </c>
      <c r="T81" s="59">
        <f t="shared" si="88"/>
        <v>306.35874106546646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8.1199648519227452</v>
      </c>
      <c r="AA81" s="21">
        <f>EXP(-LN(2)/25)*AA80+(1-EXP(-LN(2)/25))/(LN(2)/25)*Calculateur!V81*Calculateur!X81*VLOOKUP('Données projet'!$B$9,Paramètres!$A$1:$I$89,3,0)*0.475*44/12</f>
        <v>5.2938713735001972</v>
      </c>
      <c r="AB81" s="21">
        <f>EXP(-LN(2)/2)*AB80+(1-EXP(-LN(2)/2))/(LN(2)/2)*V81*Y81*VLOOKUP('Données projet'!$B$9,Paramètres!$A$1:$I$89,3,0)*0.475*44/12</f>
        <v>1.487948496993311E-4</v>
      </c>
      <c r="AC81" s="22">
        <f t="shared" si="57"/>
        <v>13.413985020272643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9.546999999999997</v>
      </c>
      <c r="AI81" s="13">
        <f>IF('Données projet'!$A$62&gt;35,AI80+AH81-AQ80,IF(A81&lt;'Données projet'!$A$62,$AF$205^A81,IF(A81='Données projet'!$A$62,'Données projet'!$B$62,AI80+AH81-AQ80)))</f>
        <v>297.80800000000033</v>
      </c>
      <c r="AJ81" s="13">
        <f>AI81*VLOOKUP('Données projet'!$B$10,Paramètres!$A$1:$I$89,3,0)*VLOOKUP('Données projet'!$B$10,Paramètres!$A$1:$I$89,5,0)</f>
        <v>301.97731200000038</v>
      </c>
      <c r="AK81" s="13">
        <f t="shared" si="89"/>
        <v>71.590825399464663</v>
      </c>
      <c r="AL81" s="20">
        <f t="shared" si="58"/>
        <v>650.63117263740162</v>
      </c>
      <c r="AM81" s="59">
        <f t="shared" si="59"/>
        <v>920.55461067182785</v>
      </c>
      <c r="AN81" s="59">
        <f ca="1">AVERAGE(OFFSET($AM$3,0,0,'Données projet'!$E$10+1,1))-AVERAGE(OFFSET($H$3,0,0,'Données projet'!$E$10+1,1))</f>
        <v>752.45542076695506</v>
      </c>
      <c r="AO81" s="59">
        <f t="shared" si="90"/>
        <v>329.70629768420724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15.14196825687992</v>
      </c>
      <c r="AV81" s="21">
        <f>EXP(-LN(2)/25)*AV80+(1-EXP(-LN(2)/25))/(LN(2)/25)*Calculateur!AQ81*Calculateur!AS81*VLOOKUP('Données projet'!$B$10,Paramètres!$A$1:$I$89,3,0)*0.475*44/12</f>
        <v>31.585236658604718</v>
      </c>
      <c r="AW81" s="21">
        <f>EXP(-LN(2)/2)*AW80+(1-EXP(-LN(2)/2))/(LN(2)/2)*AQ81*AT81*VLOOKUP('Données projet'!$B$10,Paramètres!$A$1:$I$89,3,0)*0.475*44/12</f>
        <v>1.3176183636029613</v>
      </c>
      <c r="AX81" s="21">
        <f t="shared" si="60"/>
        <v>48.044823279087595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9.546999999999997</v>
      </c>
      <c r="BD81" s="12">
        <f>IF('Données projet'!$A$88&gt;35,BD80+BC81-BL80,IF(A81&lt;'Données projet'!$A$88,$BA$205^A81,IF(A81='Données projet'!$A$88,'Données projet'!$B$88,BD80+BC81-BL80)))</f>
        <v>297.80800000000033</v>
      </c>
      <c r="BE81" s="13">
        <f>BD81*VLOOKUP('Données projet'!$B$11,Paramètres!$A$1:$I$89,3,0)*VLOOKUP('Données projet'!$B$11,Paramètres!$A$1:$I$89,5,0)</f>
        <v>269.45667840000027</v>
      </c>
      <c r="BF81" s="13">
        <f t="shared" si="91"/>
        <v>64.733949217436958</v>
      </c>
      <c r="BG81" s="20">
        <f t="shared" si="61"/>
        <v>582.04867643370324</v>
      </c>
      <c r="BH81" s="59">
        <f t="shared" si="62"/>
        <v>851.97211446812946</v>
      </c>
      <c r="BI81" s="59">
        <f ca="1">AVERAGE(OFFSET($BH$3,0,0,'Données projet'!$E$11+1,1))-AVERAGE(OFFSET($H$3,0,0,'Données projet'!$E$11+1,1))</f>
        <v>681.47578137804555</v>
      </c>
      <c r="BJ81" s="59">
        <f t="shared" si="92"/>
        <v>300.88511065995885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13.51129475229285</v>
      </c>
      <c r="BQ81" s="21">
        <f>EXP(-LN(2)/25)*BQ80+(1-EXP(-LN(2)/25))/(LN(2)/25)*Calculateur!BL81*Calculateur!BN81*VLOOKUP('Données projet'!$B$11,Paramètres!$A$1:$I$89,3,0)*0.475*44/12</f>
        <v>28.183749633831894</v>
      </c>
      <c r="BR81" s="21">
        <f>EXP(-LN(2)/2)*BR80+(1-EXP(-LN(2)/2))/(LN(2)/2)*BL81*BO81*VLOOKUP('Données projet'!$B$11,Paramètres!$A$1:$I$89,3,0)*0.475*44/12</f>
        <v>1.175721001368796</v>
      </c>
      <c r="BS81" s="22">
        <f t="shared" si="63"/>
        <v>42.870765387493535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4.2307692307692264</v>
      </c>
      <c r="BY81" s="12">
        <f>IF('Données projet'!$A$114&gt;35,BY80+BX81-CG80,IF(A81&lt;'Données projet'!$A$114,$BV$205^A81,IF(A81='Données projet'!$A$114,'Données projet'!$B$114,BY80+BX81-CG80)))</f>
        <v>260.12820512820525</v>
      </c>
      <c r="BZ81" s="13">
        <f>BY81*VLOOKUP('Données projet'!$B$12,Paramètres!$A$1:$I$89,3,0)*VLOOKUP('Données projet'!$B$12,Paramètres!$A$1:$I$89,5,0)</f>
        <v>174.49400000000009</v>
      </c>
      <c r="CA81" s="13">
        <f t="shared" si="93"/>
        <v>44.094996569009169</v>
      </c>
      <c r="CB81" s="20">
        <f t="shared" si="64"/>
        <v>380.70916902435778</v>
      </c>
      <c r="CC81" s="59">
        <f t="shared" si="65"/>
        <v>650.63260705878406</v>
      </c>
      <c r="CD81" s="59">
        <f ca="1">AVERAGE(OFFSET($CC$3,0,0,'Données projet'!$E$12+1,1))-AVERAGE(OFFSET($H$3,0,0,'Données projet'!$E$12+1,1))</f>
        <v>335.73816489539837</v>
      </c>
      <c r="CE81" s="59">
        <f t="shared" si="94"/>
        <v>254.09787950201044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4.4656904131711705</v>
      </c>
      <c r="CL81" s="21">
        <f>EXP(-LN(2)/25)*CL80+(1-EXP(-LN(2)/25))/(LN(2)/25)*Calculateur!CG81*Calculateur!CI81*VLOOKUP('Données projet'!$B$12,Paramètres!$A$1:$I$89,3,0)*0.475*44/12</f>
        <v>8.6314632147717703</v>
      </c>
      <c r="CM81" s="21">
        <f>EXP(-LN(2)/2)*CM80+(1-EXP(-LN(2)/2))/(LN(2)/2)*CG81*CJ81*VLOOKUP('Données projet'!$B$12,Paramètres!$A$1:$I$89,3,0)*0.475*44/12</f>
        <v>0.92165799874633614</v>
      </c>
      <c r="CN81" s="22">
        <f t="shared" si="66"/>
        <v>14.018811626689278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1.1368683772161603E-13</v>
      </c>
      <c r="CU81" s="17">
        <f>CT81*VLOOKUP('Données projet'!$B$13,Paramètres!$A$1:$I$89,3,0)*VLOOKUP('Données projet'!$B$13,Paramètres!$A$1:$I$89,5,0)</f>
        <v>6.7984728957526396E-14</v>
      </c>
      <c r="CV81" s="13">
        <f t="shared" si="95"/>
        <v>1.0682447123141398E-12</v>
      </c>
      <c r="CW81" s="20">
        <f t="shared" si="67"/>
        <v>1.978932943548152E-12</v>
      </c>
      <c r="CX81" s="59">
        <f t="shared" si="68"/>
        <v>269.92343803442822</v>
      </c>
      <c r="CY81" s="59">
        <f ca="1">AVERAGE(OFFSET($CX$3,0,0,'Données projet'!$E$13+1,1))-AVERAGE(OFFSET($H$3,0,0,'Données projet'!$E$13+1,1))</f>
        <v>318.50474972254085</v>
      </c>
      <c r="CZ81" s="59">
        <f t="shared" si="96"/>
        <v>326.45858332753562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97.227747047274619</v>
      </c>
      <c r="DG81" s="21">
        <f>EXP(-LN(2)/25)*DG80+(1-EXP(-LN(2)/25))/(LN(2)/25)*Calculateur!DB81*Calculateur!DD81*VLOOKUP('Données projet'!$B$13,Paramètres!$A$1:$I$89,3,0)*0.475*44/12</f>
        <v>29.408114433158367</v>
      </c>
      <c r="DH81" s="21">
        <f>EXP(-LN(2)/2)*DH80+(1-EXP(-LN(2)/2))/(LN(2)/2)*DB81*DE81*VLOOKUP('Données projet'!$B$13,Paramètres!$A$1:$I$89,3,0)*0.475*44/12</f>
        <v>0.1171121930143622</v>
      </c>
      <c r="DI81" s="22">
        <f t="shared" si="69"/>
        <v>126.75297367344736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3">
        <f>'Scénario référence'!$B$16*5+'Scénario référence'!$B$17*0+'Scénario référence'!$B$18*5</f>
        <v>5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67">
        <f t="shared" si="56"/>
        <v>183.33333333333334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5.6843418860808015E-14</v>
      </c>
      <c r="O82" s="13">
        <f>N82*VLOOKUP('Données projet'!$B$9,Paramètres!$A$1:$I$89,3,0)*VLOOKUP('Données projet'!$B$9,Paramètres!$A$1:$I$89,5,0)</f>
        <v>5.1431925385259088E-14</v>
      </c>
      <c r="P82" s="13">
        <f t="shared" si="87"/>
        <v>8.3482866290946129E-13</v>
      </c>
      <c r="Q82" s="20">
        <f t="shared" si="54"/>
        <v>1.5435705246133045E-12</v>
      </c>
      <c r="R82" s="59">
        <f t="shared" si="55"/>
        <v>270.32954738117849</v>
      </c>
      <c r="S82" s="59">
        <f ca="1">AVERAGE(OFFSET($R$3,0,0,'Données projet'!$E$9+1,1))-AVERAGE(OFFSET($H$3,0,0,'Données projet'!$E$9+1,1))</f>
        <v>214.60547318405733</v>
      </c>
      <c r="T82" s="59">
        <f t="shared" si="88"/>
        <v>306.35874106546646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7.9607372938660621</v>
      </c>
      <c r="AA82" s="21">
        <f>EXP(-LN(2)/25)*AA81+(1-EXP(-LN(2)/25))/(LN(2)/25)*Calculateur!V82*Calculateur!X82*VLOOKUP('Données projet'!$B$9,Paramètres!$A$1:$I$89,3,0)*0.475*44/12</f>
        <v>5.1491101823992382</v>
      </c>
      <c r="AB82" s="21">
        <f>EXP(-LN(2)/2)*AB81+(1-EXP(-LN(2)/2))/(LN(2)/2)*V82*Y82*VLOOKUP('Données projet'!$B$9,Paramètres!$A$1:$I$89,3,0)*0.475*44/12</f>
        <v>1.0521384722803015E-4</v>
      </c>
      <c r="AC82" s="22">
        <f t="shared" si="57"/>
        <v>13.109952690112529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9.546999999999997</v>
      </c>
      <c r="AI82" s="13">
        <f>IF('Données projet'!$A$62&gt;35,AI81+AH82-AQ81,IF(A82&lt;'Données projet'!$A$62,$AF$205^A82,IF(A82='Données projet'!$A$62,'Données projet'!$B$62,AI81+AH82-AQ81)))</f>
        <v>307.35500000000036</v>
      </c>
      <c r="AJ82" s="13">
        <f>AI82*VLOOKUP('Données projet'!$B$10,Paramètres!$A$1:$I$89,3,0)*VLOOKUP('Données projet'!$B$10,Paramètres!$A$1:$I$89,5,0)</f>
        <v>311.65797000000038</v>
      </c>
      <c r="AK82" s="13">
        <f t="shared" si="89"/>
        <v>73.614972733257659</v>
      </c>
      <c r="AL82" s="20">
        <f t="shared" si="58"/>
        <v>671.0170419270911</v>
      </c>
      <c r="AM82" s="59">
        <f t="shared" si="59"/>
        <v>941.34658930826799</v>
      </c>
      <c r="AN82" s="59">
        <f ca="1">AVERAGE(OFFSET($AM$3,0,0,'Données projet'!$E$10+1,1))-AVERAGE(OFFSET($H$3,0,0,'Données projet'!$E$10+1,1))</f>
        <v>752.45542076695506</v>
      </c>
      <c r="AO82" s="59">
        <f t="shared" si="90"/>
        <v>329.70629768420724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14.845043495051193</v>
      </c>
      <c r="AV82" s="21">
        <f>EXP(-LN(2)/25)*AV81+(1-EXP(-LN(2)/25))/(LN(2)/25)*Calculateur!AQ82*Calculateur!AS82*VLOOKUP('Données projet'!$B$10,Paramètres!$A$1:$I$89,3,0)*0.475*44/12</f>
        <v>30.721536701179765</v>
      </c>
      <c r="AW82" s="21">
        <f>EXP(-LN(2)/2)*AW81+(1-EXP(-LN(2)/2))/(LN(2)/2)*AQ82*AT82*VLOOKUP('Données projet'!$B$10,Paramètres!$A$1:$I$89,3,0)*0.475*44/12</f>
        <v>0.93169687991957595</v>
      </c>
      <c r="AX82" s="21">
        <f t="shared" si="60"/>
        <v>46.498277076150536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9.546999999999997</v>
      </c>
      <c r="BD82" s="12">
        <f>IF('Données projet'!$A$88&gt;35,BD81+BC82-BL81,IF(A82&lt;'Données projet'!$A$88,$BA$205^A82,IF(A82='Données projet'!$A$88,'Données projet'!$B$88,BD81+BC82-BL81)))</f>
        <v>307.35500000000036</v>
      </c>
      <c r="BE82" s="13">
        <f>BD82*VLOOKUP('Données projet'!$B$11,Paramètres!$A$1:$I$89,3,0)*VLOOKUP('Données projet'!$B$11,Paramètres!$A$1:$I$89,5,0)</f>
        <v>278.09480400000029</v>
      </c>
      <c r="BF82" s="13">
        <f t="shared" si="91"/>
        <v>66.564226351179173</v>
      </c>
      <c r="BG82" s="20">
        <f t="shared" si="61"/>
        <v>600.28114452830425</v>
      </c>
      <c r="BH82" s="59">
        <f t="shared" si="62"/>
        <v>870.61069190948115</v>
      </c>
      <c r="BI82" s="59">
        <f ca="1">AVERAGE(OFFSET($BH$3,0,0,'Données projet'!$E$11+1,1))-AVERAGE(OFFSET($H$3,0,0,'Données projet'!$E$11+1,1))</f>
        <v>681.47578137804555</v>
      </c>
      <c r="BJ82" s="59">
        <f t="shared" si="92"/>
        <v>300.88511065995885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13.246346503276447</v>
      </c>
      <c r="BQ82" s="21">
        <f>EXP(-LN(2)/25)*BQ81+(1-EXP(-LN(2)/25))/(LN(2)/25)*Calculateur!BL82*Calculateur!BN82*VLOOKUP('Données projet'!$B$11,Paramètres!$A$1:$I$89,3,0)*0.475*44/12</f>
        <v>27.413063517975782</v>
      </c>
      <c r="BR82" s="21">
        <f>EXP(-LN(2)/2)*BR81+(1-EXP(-LN(2)/2))/(LN(2)/2)*BL82*BO82*VLOOKUP('Données projet'!$B$11,Paramètres!$A$1:$I$89,3,0)*0.475*44/12</f>
        <v>0.83136029285131385</v>
      </c>
      <c r="BS82" s="22">
        <f t="shared" si="63"/>
        <v>41.490770314103543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4.2307692307692264</v>
      </c>
      <c r="BY82" s="12">
        <f>IF('Données projet'!$A$114&gt;35,BY81+BX82-CG81,IF(A82&lt;'Données projet'!$A$114,$BV$205^A82,IF(A82='Données projet'!$A$114,'Données projet'!$B$114,BY81+BX82-CG81)))</f>
        <v>264.35897435897448</v>
      </c>
      <c r="BZ82" s="13">
        <f>BY82*VLOOKUP('Données projet'!$B$12,Paramètres!$A$1:$I$89,3,0)*VLOOKUP('Données projet'!$B$12,Paramètres!$A$1:$I$89,5,0)</f>
        <v>177.33200000000008</v>
      </c>
      <c r="CA82" s="13">
        <f t="shared" si="93"/>
        <v>44.728090420283614</v>
      </c>
      <c r="CB82" s="20">
        <f t="shared" si="64"/>
        <v>386.75465748199412</v>
      </c>
      <c r="CC82" s="59">
        <f t="shared" si="65"/>
        <v>657.08420486317107</v>
      </c>
      <c r="CD82" s="59">
        <f ca="1">AVERAGE(OFFSET($CC$3,0,0,'Données projet'!$E$12+1,1))-AVERAGE(OFFSET($H$3,0,0,'Données projet'!$E$12+1,1))</f>
        <v>335.73816489539837</v>
      </c>
      <c r="CE82" s="59">
        <f t="shared" si="94"/>
        <v>254.09787950201044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4.378120947971083</v>
      </c>
      <c r="CL82" s="21">
        <f>EXP(-LN(2)/25)*CL81+(1-EXP(-LN(2)/25))/(LN(2)/25)*Calculateur!CG82*Calculateur!CI82*VLOOKUP('Données projet'!$B$12,Paramètres!$A$1:$I$89,3,0)*0.475*44/12</f>
        <v>8.3954353992549127</v>
      </c>
      <c r="CM82" s="21">
        <f>EXP(-LN(2)/2)*CM81+(1-EXP(-LN(2)/2))/(LN(2)/2)*CG82*CJ82*VLOOKUP('Données projet'!$B$12,Paramètres!$A$1:$I$89,3,0)*0.475*44/12</f>
        <v>0.65171062084835685</v>
      </c>
      <c r="CN82" s="22">
        <f t="shared" si="66"/>
        <v>13.425266968074352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1.1368683772161603E-13</v>
      </c>
      <c r="CU82" s="17">
        <f>CT82*VLOOKUP('Données projet'!$B$13,Paramètres!$A$1:$I$89,3,0)*VLOOKUP('Données projet'!$B$13,Paramètres!$A$1:$I$89,5,0)</f>
        <v>6.7984728957526396E-14</v>
      </c>
      <c r="CV82" s="13">
        <f t="shared" si="95"/>
        <v>1.0682447123141398E-12</v>
      </c>
      <c r="CW82" s="20">
        <f t="shared" si="67"/>
        <v>1.978932943548152E-12</v>
      </c>
      <c r="CX82" s="59">
        <f t="shared" si="68"/>
        <v>270.32954738117894</v>
      </c>
      <c r="CY82" s="59">
        <f ca="1">AVERAGE(OFFSET($CX$3,0,0,'Données projet'!$E$13+1,1))-AVERAGE(OFFSET($H$3,0,0,'Données projet'!$E$13+1,1))</f>
        <v>318.50474972254085</v>
      </c>
      <c r="CZ82" s="59">
        <f t="shared" si="96"/>
        <v>326.45858332753562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95.321170230747569</v>
      </c>
      <c r="DG82" s="21">
        <f>EXP(-LN(2)/25)*DG81+(1-EXP(-LN(2)/25))/(LN(2)/25)*Calculateur!DB82*Calculateur!DD82*VLOOKUP('Données projet'!$B$13,Paramètres!$A$1:$I$89,3,0)*0.475*44/12</f>
        <v>28.603947997478127</v>
      </c>
      <c r="DH82" s="21">
        <f>EXP(-LN(2)/2)*DH81+(1-EXP(-LN(2)/2))/(LN(2)/2)*DB82*DE82*VLOOKUP('Données projet'!$B$13,Paramètres!$A$1:$I$89,3,0)*0.475*44/12</f>
        <v>8.2810825840083341E-2</v>
      </c>
      <c r="DI82" s="22">
        <f t="shared" si="69"/>
        <v>124.00792905406578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3">
        <f>'Scénario référence'!$B$16*5+'Scénario référence'!$B$17*0+'Scénario référence'!$B$18*5</f>
        <v>5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67">
        <f t="shared" si="56"/>
        <v>183.33333333333334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5.6843418860808015E-14</v>
      </c>
      <c r="O83" s="13">
        <f>N83*VLOOKUP('Données projet'!$B$9,Paramètres!$A$1:$I$89,3,0)*VLOOKUP('Données projet'!$B$9,Paramètres!$A$1:$I$89,5,0)</f>
        <v>5.1431925385259088E-14</v>
      </c>
      <c r="P83" s="13">
        <f t="shared" si="87"/>
        <v>8.3482866290946129E-13</v>
      </c>
      <c r="Q83" s="20">
        <f t="shared" si="54"/>
        <v>1.5435705246133045E-12</v>
      </c>
      <c r="R83" s="59">
        <f t="shared" si="55"/>
        <v>270.72861163868765</v>
      </c>
      <c r="S83" s="59">
        <f ca="1">AVERAGE(OFFSET($R$3,0,0,'Données projet'!$E$9+1,1))-AVERAGE(OFFSET($H$3,0,0,'Données projet'!$E$9+1,1))</f>
        <v>214.60547318405733</v>
      </c>
      <c r="T83" s="59">
        <f t="shared" si="88"/>
        <v>306.35874106546646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7.8046320911036497</v>
      </c>
      <c r="AA83" s="21">
        <f>EXP(-LN(2)/25)*AA82+(1-EXP(-LN(2)/25))/(LN(2)/25)*Calculateur!V83*Calculateur!X83*VLOOKUP('Données projet'!$B$9,Paramètres!$A$1:$I$89,3,0)*0.475*44/12</f>
        <v>5.0083074936815954</v>
      </c>
      <c r="AB83" s="21">
        <f>EXP(-LN(2)/2)*AB82+(1-EXP(-LN(2)/2))/(LN(2)/2)*V83*Y83*VLOOKUP('Données projet'!$B$9,Paramètres!$A$1:$I$89,3,0)*0.475*44/12</f>
        <v>7.4397424849665552E-5</v>
      </c>
      <c r="AC83" s="22">
        <f t="shared" si="57"/>
        <v>12.813013982210094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9.546999999999997</v>
      </c>
      <c r="AI83" s="13">
        <f>IF('Données projet'!$A$62&gt;35,AI82+AH83-AQ82,IF(A83&lt;'Données projet'!$A$62,$AF$205^A83,IF(A83='Données projet'!$A$62,'Données projet'!$B$62,AI82+AH83-AQ82)))</f>
        <v>316.90200000000038</v>
      </c>
      <c r="AJ83" s="13">
        <f>AI83*VLOOKUP('Données projet'!$B$10,Paramètres!$A$1:$I$89,3,0)*VLOOKUP('Données projet'!$B$10,Paramètres!$A$1:$I$89,5,0)</f>
        <v>321.33862800000043</v>
      </c>
      <c r="AK83" s="13">
        <f t="shared" si="89"/>
        <v>75.631813545776993</v>
      </c>
      <c r="AL83" s="20">
        <f t="shared" si="58"/>
        <v>691.39018569222901</v>
      </c>
      <c r="AM83" s="59">
        <f t="shared" si="59"/>
        <v>962.11879733091519</v>
      </c>
      <c r="AN83" s="59">
        <f ca="1">AVERAGE(OFFSET($AM$3,0,0,'Données projet'!$E$10+1,1))-AVERAGE(OFFSET($H$3,0,0,'Données projet'!$E$10+1,1))</f>
        <v>752.45542076695506</v>
      </c>
      <c r="AO83" s="59">
        <f t="shared" si="90"/>
        <v>329.70629768420724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14.553941246695706</v>
      </c>
      <c r="AV83" s="21">
        <f>EXP(-LN(2)/25)*AV82+(1-EXP(-LN(2)/25))/(LN(2)/25)*Calculateur!AQ83*Calculateur!AS83*VLOOKUP('Données projet'!$B$10,Paramètres!$A$1:$I$89,3,0)*0.475*44/12</f>
        <v>29.881454664510606</v>
      </c>
      <c r="AW83" s="21">
        <f>EXP(-LN(2)/2)*AW82+(1-EXP(-LN(2)/2))/(LN(2)/2)*AQ83*AT83*VLOOKUP('Données projet'!$B$10,Paramètres!$A$1:$I$89,3,0)*0.475*44/12</f>
        <v>0.65880918180148063</v>
      </c>
      <c r="AX83" s="21">
        <f t="shared" si="60"/>
        <v>45.094205093007794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9.546999999999997</v>
      </c>
      <c r="BD83" s="12">
        <f>IF('Données projet'!$A$88&gt;35,BD82+BC83-BL82,IF(A83&lt;'Données projet'!$A$88,$BA$205^A83,IF(A83='Données projet'!$A$88,'Données projet'!$B$88,BD82+BC83-BL82)))</f>
        <v>316.90200000000038</v>
      </c>
      <c r="BE83" s="13">
        <f>BD83*VLOOKUP('Données projet'!$B$11,Paramètres!$A$1:$I$89,3,0)*VLOOKUP('Données projet'!$B$11,Paramètres!$A$1:$I$89,5,0)</f>
        <v>286.73292960000038</v>
      </c>
      <c r="BF83" s="13">
        <f t="shared" si="91"/>
        <v>68.387896772756079</v>
      </c>
      <c r="BG83" s="20">
        <f t="shared" si="61"/>
        <v>618.50210593255088</v>
      </c>
      <c r="BH83" s="59">
        <f t="shared" si="62"/>
        <v>889.23071757123694</v>
      </c>
      <c r="BI83" s="59">
        <f ca="1">AVERAGE(OFFSET($BH$3,0,0,'Données projet'!$E$11+1,1))-AVERAGE(OFFSET($H$3,0,0,'Données projet'!$E$11+1,1))</f>
        <v>681.47578137804555</v>
      </c>
      <c r="BJ83" s="59">
        <f t="shared" si="92"/>
        <v>300.88511065995885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12.986593727820781</v>
      </c>
      <c r="BQ83" s="21">
        <f>EXP(-LN(2)/25)*BQ82+(1-EXP(-LN(2)/25))/(LN(2)/25)*Calculateur!BL83*Calculateur!BN83*VLOOKUP('Données projet'!$B$11,Paramètres!$A$1:$I$89,3,0)*0.475*44/12</f>
        <v>26.663451854486379</v>
      </c>
      <c r="BR83" s="21">
        <f>EXP(-LN(2)/2)*BR82+(1-EXP(-LN(2)/2))/(LN(2)/2)*BL83*BO83*VLOOKUP('Données projet'!$B$11,Paramètres!$A$1:$I$89,3,0)*0.475*44/12</f>
        <v>0.5878605006843981</v>
      </c>
      <c r="BS83" s="22">
        <f t="shared" si="63"/>
        <v>40.237906082991557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268.58974358974359</v>
      </c>
      <c r="BW83" s="12">
        <f>VLOOKUP(A83,'Données projet'!$A$113:$I$133,9,0)</f>
        <v>4.2307692307692264</v>
      </c>
      <c r="BX83" s="12">
        <f t="array" ref="BX83">INDEX(BW:BW,MIN(IF(ISNUMBER(BW83:BW279),ROW(BW83:BW279),"")))</f>
        <v>4.2307692307692264</v>
      </c>
      <c r="BY83" s="12">
        <f>IF('Données projet'!$A$114&gt;35,BY82+BX83-CG82,IF(A83&lt;'Données projet'!$A$114,$BV$205^A83,IF(A83='Données projet'!$A$114,'Données projet'!$B$114,BY82+BX83-CG82)))</f>
        <v>268.5897435897437</v>
      </c>
      <c r="BZ83" s="13">
        <f>BY83*VLOOKUP('Données projet'!$B$12,Paramètres!$A$1:$I$89,3,0)*VLOOKUP('Données projet'!$B$12,Paramètres!$A$1:$I$89,5,0)</f>
        <v>180.17000000000007</v>
      </c>
      <c r="CA83" s="13">
        <f t="shared" si="93"/>
        <v>45.36000595628817</v>
      </c>
      <c r="CB83" s="20">
        <f t="shared" si="64"/>
        <v>392.79809370720199</v>
      </c>
      <c r="CC83" s="59">
        <f t="shared" si="65"/>
        <v>663.5267053458881</v>
      </c>
      <c r="CD83" s="59">
        <f ca="1">AVERAGE(OFFSET($CC$3,0,0,'Données projet'!$E$12+1,1))-AVERAGE(OFFSET($H$3,0,0,'Données projet'!$E$12+1,1))</f>
        <v>335.73816489539837</v>
      </c>
      <c r="CE83" s="59">
        <f t="shared" si="94"/>
        <v>254.09787950201044</v>
      </c>
      <c r="CF83" s="15">
        <f>IF(ISNA(VLOOKUP(A83,'Données projet'!$A$113:$I$133,3,0)),0,VLOOKUP(A83,'Données projet'!$A$113:$I$133,3,0))</f>
        <v>14</v>
      </c>
      <c r="CG83" s="15">
        <f>IF(ISNA(VLOOKUP(A83,'Données projet'!$A$113:$I$133,4,0)),0,VLOOKUP(A83,'Données projet'!$A$113:$I$133,4,0))</f>
        <v>12.820512820512819</v>
      </c>
      <c r="CH83" s="16">
        <f>IF(ISNA(VLOOKUP(A83,'Données projet'!$A$113:$I$133,5,0)),0%,VLOOKUP(A83,'Données projet'!$A$113:$I$133,5,0)*VLOOKUP('Données projet'!$B$12,Paramètres!$A$1:$I$89,7,0))</f>
        <v>0.13250000000000001</v>
      </c>
      <c r="CI83" s="16">
        <f>IF(ISNA(VLOOKUP(A83,'Données projet'!$A$113:$I$133,6,0)),0%,VLOOKUP(A83,'Données projet'!$A$113:$I$133,6,0)*VLOOKUP('Données projet'!$B$12,Paramètres!$A$1:$I$89,7,0))</f>
        <v>0.13250000000000001</v>
      </c>
      <c r="CJ83" s="16">
        <f>IF(ISNA(VLOOKUP(A83,'Données projet'!$A$113:$I$133,7,0)),0%,VLOOKUP(A83,'Données projet'!$A$113:$I$133,7,0))</f>
        <v>0.25</v>
      </c>
      <c r="CK83" s="21">
        <f>EXP(-LN(2)/35)*CK82+(1-EXP(-LN(2)/35))/(LN(2)/35)*CG83*CH83*VLOOKUP('Données projet'!$B$12,Paramètres!$A$1:$I$89,3,0)*0.475*44/12</f>
        <v>5.5519521640492657</v>
      </c>
      <c r="CL83" s="21">
        <f>EXP(-LN(2)/25)*CL82+(1-EXP(-LN(2)/25))/(LN(2)/25)*Calculateur!CG83*Calculateur!CI83*VLOOKUP('Données projet'!$B$12,Paramètres!$A$1:$I$89,3,0)*0.475*44/12</f>
        <v>9.4205854203367121</v>
      </c>
      <c r="CM83" s="21">
        <f>EXP(-LN(2)/2)*CM82+(1-EXP(-LN(2)/2))/(LN(2)/2)*CG83*CJ83*VLOOKUP('Données projet'!$B$12,Paramètres!$A$1:$I$89,3,0)*0.475*44/12</f>
        <v>2.4894118657747528</v>
      </c>
      <c r="CN83" s="22">
        <f t="shared" si="66"/>
        <v>17.461949450160731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1.1368683772161603E-13</v>
      </c>
      <c r="CU83" s="17">
        <f>CT83*VLOOKUP('Données projet'!$B$13,Paramètres!$A$1:$I$89,3,0)*VLOOKUP('Données projet'!$B$13,Paramètres!$A$1:$I$89,5,0)</f>
        <v>6.7984728957526396E-14</v>
      </c>
      <c r="CV83" s="13">
        <f t="shared" si="95"/>
        <v>1.0682447123141398E-12</v>
      </c>
      <c r="CW83" s="20">
        <f t="shared" si="67"/>
        <v>1.978932943548152E-12</v>
      </c>
      <c r="CX83" s="59">
        <f t="shared" si="68"/>
        <v>270.72861163868811</v>
      </c>
      <c r="CY83" s="59">
        <f ca="1">AVERAGE(OFFSET($CX$3,0,0,'Données projet'!$E$13+1,1))-AVERAGE(OFFSET($H$3,0,0,'Données projet'!$E$13+1,1))</f>
        <v>318.50474972254085</v>
      </c>
      <c r="CZ83" s="59">
        <f t="shared" si="96"/>
        <v>326.45858332753562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93.451980222695582</v>
      </c>
      <c r="DG83" s="21">
        <f>EXP(-LN(2)/25)*DG82+(1-EXP(-LN(2)/25))/(LN(2)/25)*Calculateur!DB83*Calculateur!DD83*VLOOKUP('Données projet'!$B$13,Paramètres!$A$1:$I$89,3,0)*0.475*44/12</f>
        <v>27.821771535270837</v>
      </c>
      <c r="DH83" s="21">
        <f>EXP(-LN(2)/2)*DH82+(1-EXP(-LN(2)/2))/(LN(2)/2)*DB83*DE83*VLOOKUP('Données projet'!$B$13,Paramètres!$A$1:$I$89,3,0)*0.475*44/12</f>
        <v>5.8556096507181112E-2</v>
      </c>
      <c r="DI83" s="22">
        <f t="shared" si="69"/>
        <v>121.3323078544736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3">
        <f>'Scénario référence'!$B$16*5+'Scénario référence'!$B$17*0+'Scénario référence'!$B$18*5</f>
        <v>5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67">
        <f t="shared" si="56"/>
        <v>183.33333333333334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5.6843418860808015E-14</v>
      </c>
      <c r="O84" s="13">
        <f>N84*VLOOKUP('Données projet'!$B$9,Paramètres!$A$1:$I$89,3,0)*VLOOKUP('Données projet'!$B$9,Paramètres!$A$1:$I$89,5,0)</f>
        <v>5.1431925385259088E-14</v>
      </c>
      <c r="P84" s="13">
        <f t="shared" si="87"/>
        <v>8.3482866290946129E-13</v>
      </c>
      <c r="Q84" s="20">
        <f t="shared" si="54"/>
        <v>1.5435705246133045E-12</v>
      </c>
      <c r="R84" s="59">
        <f t="shared" si="55"/>
        <v>271.12075302350297</v>
      </c>
      <c r="S84" s="59">
        <f ca="1">AVERAGE(OFFSET($R$3,0,0,'Données projet'!$E$9+1,1))-AVERAGE(OFFSET($H$3,0,0,'Données projet'!$E$9+1,1))</f>
        <v>214.60547318405733</v>
      </c>
      <c r="T84" s="59">
        <f t="shared" si="88"/>
        <v>306.35874106546646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7.6515880161526368</v>
      </c>
      <c r="AA84" s="21">
        <f>EXP(-LN(2)/25)*AA83+(1-EXP(-LN(2)/25))/(LN(2)/25)*Calculateur!V84*Calculateur!X84*VLOOKUP('Données projet'!$B$9,Paramètres!$A$1:$I$89,3,0)*0.475*44/12</f>
        <v>4.8713550618914274</v>
      </c>
      <c r="AB84" s="21">
        <f>EXP(-LN(2)/2)*AB83+(1-EXP(-LN(2)/2))/(LN(2)/2)*V84*Y84*VLOOKUP('Données projet'!$B$9,Paramètres!$A$1:$I$89,3,0)*0.475*44/12</f>
        <v>5.2606923614015074E-5</v>
      </c>
      <c r="AC84" s="22">
        <f t="shared" si="57"/>
        <v>12.522995684967679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9.546999999999997</v>
      </c>
      <c r="AI84" s="13">
        <f>IF('Données projet'!$A$62&gt;35,AI83+AH84-AQ83,IF(A84&lt;'Données projet'!$A$62,$AF$205^A84,IF(A84='Données projet'!$A$62,'Données projet'!$B$62,AI83+AH84-AQ83)))</f>
        <v>326.44900000000041</v>
      </c>
      <c r="AJ84" s="13">
        <f>AI84*VLOOKUP('Données projet'!$B$10,Paramètres!$A$1:$I$89,3,0)*VLOOKUP('Données projet'!$B$10,Paramètres!$A$1:$I$89,5,0)</f>
        <v>331.01928600000042</v>
      </c>
      <c r="AK84" s="13">
        <f t="shared" si="89"/>
        <v>77.641593219997347</v>
      </c>
      <c r="AL84" s="20">
        <f t="shared" si="58"/>
        <v>711.75103130816262</v>
      </c>
      <c r="AM84" s="59">
        <f t="shared" si="59"/>
        <v>982.871784331664</v>
      </c>
      <c r="AN84" s="59">
        <f ca="1">AVERAGE(OFFSET($AM$3,0,0,'Données projet'!$E$10+1,1))-AVERAGE(OFFSET($H$3,0,0,'Données projet'!$E$10+1,1))</f>
        <v>752.45542076695506</v>
      </c>
      <c r="AO84" s="59">
        <f t="shared" si="90"/>
        <v>329.70629768420724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14.268547335875629</v>
      </c>
      <c r="AV84" s="21">
        <f>EXP(-LN(2)/25)*AV83+(1-EXP(-LN(2)/25))/(LN(2)/25)*Calculateur!AQ84*Calculateur!AS84*VLOOKUP('Données projet'!$B$10,Paramètres!$A$1:$I$89,3,0)*0.475*44/12</f>
        <v>29.064344715312156</v>
      </c>
      <c r="AW84" s="21">
        <f>EXP(-LN(2)/2)*AW83+(1-EXP(-LN(2)/2))/(LN(2)/2)*AQ84*AT84*VLOOKUP('Données projet'!$B$10,Paramètres!$A$1:$I$89,3,0)*0.475*44/12</f>
        <v>0.46584843995978797</v>
      </c>
      <c r="AX84" s="21">
        <f t="shared" si="60"/>
        <v>43.798740491147569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9.546999999999997</v>
      </c>
      <c r="BD84" s="12">
        <f>IF('Données projet'!$A$88&gt;35,BD83+BC84-BL83,IF(A84&lt;'Données projet'!$A$88,$BA$205^A84,IF(A84='Données projet'!$A$88,'Données projet'!$B$88,BD83+BC84-BL83)))</f>
        <v>326.44900000000041</v>
      </c>
      <c r="BE84" s="13">
        <f>BD84*VLOOKUP('Données projet'!$B$11,Paramètres!$A$1:$I$89,3,0)*VLOOKUP('Données projet'!$B$11,Paramètres!$A$1:$I$89,5,0)</f>
        <v>295.37105520000034</v>
      </c>
      <c r="BF84" s="13">
        <f t="shared" si="91"/>
        <v>70.205182362680091</v>
      </c>
      <c r="BG84" s="20">
        <f t="shared" si="61"/>
        <v>636.71194708833502</v>
      </c>
      <c r="BH84" s="59">
        <f t="shared" si="62"/>
        <v>907.8327001118364</v>
      </c>
      <c r="BI84" s="59">
        <f ca="1">AVERAGE(OFFSET($BH$3,0,0,'Données projet'!$E$11+1,1))-AVERAGE(OFFSET($H$3,0,0,'Données projet'!$E$11+1,1))</f>
        <v>681.47578137804555</v>
      </c>
      <c r="BJ84" s="59">
        <f t="shared" si="92"/>
        <v>300.88511065995885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12.731934545858252</v>
      </c>
      <c r="BQ84" s="21">
        <f>EXP(-LN(2)/25)*BQ83+(1-EXP(-LN(2)/25))/(LN(2)/25)*Calculateur!BL84*Calculateur!BN84*VLOOKUP('Données projet'!$B$11,Paramètres!$A$1:$I$89,3,0)*0.475*44/12</f>
        <v>25.934338361355454</v>
      </c>
      <c r="BR84" s="21">
        <f>EXP(-LN(2)/2)*BR83+(1-EXP(-LN(2)/2))/(LN(2)/2)*BL84*BO84*VLOOKUP('Données projet'!$B$11,Paramètres!$A$1:$I$89,3,0)*0.475*44/12</f>
        <v>0.41568014642565698</v>
      </c>
      <c r="BS84" s="22">
        <f t="shared" si="63"/>
        <v>39.081953053639367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4.1025641025640995</v>
      </c>
      <c r="BY84" s="12">
        <f>IF('Données projet'!$A$114&gt;35,BY83+BX84-CG83,IF(A84&lt;'Données projet'!$A$114,$BV$205^A84,IF(A84='Données projet'!$A$114,'Données projet'!$B$114,BY83+BX84-CG83)))</f>
        <v>259.87179487179498</v>
      </c>
      <c r="BZ84" s="13">
        <f>BY84*VLOOKUP('Données projet'!$B$12,Paramètres!$A$1:$I$89,3,0)*VLOOKUP('Données projet'!$B$12,Paramètres!$A$1:$I$89,5,0)</f>
        <v>174.32200000000009</v>
      </c>
      <c r="CA84" s="13">
        <f t="shared" si="93"/>
        <v>44.056588905148665</v>
      </c>
      <c r="CB84" s="20">
        <f t="shared" si="64"/>
        <v>380.34270900980073</v>
      </c>
      <c r="CC84" s="59">
        <f t="shared" si="65"/>
        <v>651.46346203330222</v>
      </c>
      <c r="CD84" s="59">
        <f ca="1">AVERAGE(OFFSET($CC$3,0,0,'Données projet'!$E$12+1,1))-AVERAGE(OFFSET($H$3,0,0,'Données projet'!$E$12+1,1))</f>
        <v>335.73816489539837</v>
      </c>
      <c r="CE84" s="59">
        <f t="shared" si="94"/>
        <v>254.09787950201044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5.443081768468705</v>
      </c>
      <c r="CL84" s="21">
        <f>EXP(-LN(2)/25)*CL83+(1-EXP(-LN(2)/25))/(LN(2)/25)*Calculateur!CG84*Calculateur!CI84*VLOOKUP('Données projet'!$B$12,Paramètres!$A$1:$I$89,3,0)*0.475*44/12</f>
        <v>9.1629790166105494</v>
      </c>
      <c r="CM84" s="21">
        <f>EXP(-LN(2)/2)*CM83+(1-EXP(-LN(2)/2))/(LN(2)/2)*CG84*CJ84*VLOOKUP('Données projet'!$B$12,Paramètres!$A$1:$I$89,3,0)*0.475*44/12</f>
        <v>1.7602800114555832</v>
      </c>
      <c r="CN84" s="22">
        <f t="shared" si="66"/>
        <v>16.366340796534839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1.1368683772161603E-13</v>
      </c>
      <c r="CU84" s="17">
        <f>CT84*VLOOKUP('Données projet'!$B$13,Paramètres!$A$1:$I$89,3,0)*VLOOKUP('Données projet'!$B$13,Paramètres!$A$1:$I$89,5,0)</f>
        <v>6.7984728957526396E-14</v>
      </c>
      <c r="CV84" s="13">
        <f t="shared" si="95"/>
        <v>1.0682447123141398E-12</v>
      </c>
      <c r="CW84" s="20">
        <f t="shared" si="67"/>
        <v>1.978932943548152E-12</v>
      </c>
      <c r="CX84" s="59">
        <f t="shared" si="68"/>
        <v>271.12075302350343</v>
      </c>
      <c r="CY84" s="59">
        <f ca="1">AVERAGE(OFFSET($CX$3,0,0,'Données projet'!$E$13+1,1))-AVERAGE(OFFSET($H$3,0,0,'Données projet'!$E$13+1,1))</f>
        <v>318.50474972254085</v>
      </c>
      <c r="CZ84" s="59">
        <f t="shared" si="96"/>
        <v>326.45858332753562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91.619443890608167</v>
      </c>
      <c r="DG84" s="21">
        <f>EXP(-LN(2)/25)*DG83+(1-EXP(-LN(2)/25))/(LN(2)/25)*Calculateur!DB84*Calculateur!DD84*VLOOKUP('Données projet'!$B$13,Paramètres!$A$1:$I$89,3,0)*0.475*44/12</f>
        <v>27.060983729555478</v>
      </c>
      <c r="DH84" s="21">
        <f>EXP(-LN(2)/2)*DH83+(1-EXP(-LN(2)/2))/(LN(2)/2)*DB84*DE84*VLOOKUP('Données projet'!$B$13,Paramètres!$A$1:$I$89,3,0)*0.475*44/12</f>
        <v>4.1405412920041677E-2</v>
      </c>
      <c r="DI84" s="22">
        <f t="shared" si="69"/>
        <v>118.72183303308368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3">
        <f>'Scénario référence'!$B$16*5+'Scénario référence'!$B$17*0+'Scénario référence'!$B$18*5</f>
        <v>5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67">
        <f t="shared" si="56"/>
        <v>183.33333333333334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5.6843418860808015E-14</v>
      </c>
      <c r="O85" s="13">
        <f>N85*VLOOKUP('Données projet'!$B$9,Paramètres!$A$1:$I$89,3,0)*VLOOKUP('Données projet'!$B$9,Paramètres!$A$1:$I$89,5,0)</f>
        <v>5.1431925385259088E-14</v>
      </c>
      <c r="P85" s="13">
        <f t="shared" si="87"/>
        <v>8.3482866290946129E-13</v>
      </c>
      <c r="Q85" s="20">
        <f t="shared" si="54"/>
        <v>1.5435705246133045E-12</v>
      </c>
      <c r="R85" s="59">
        <f t="shared" si="55"/>
        <v>271.50609163198857</v>
      </c>
      <c r="S85" s="59">
        <f ca="1">AVERAGE(OFFSET($R$3,0,0,'Données projet'!$E$9+1,1))-AVERAGE(OFFSET($H$3,0,0,'Données projet'!$E$9+1,1))</f>
        <v>214.60547318405733</v>
      </c>
      <c r="T85" s="59">
        <f t="shared" si="88"/>
        <v>306.35874106546646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7.5015450421637446</v>
      </c>
      <c r="AA85" s="21">
        <f>EXP(-LN(2)/25)*AA84+(1-EXP(-LN(2)/25))/(LN(2)/25)*Calculateur!V85*Calculateur!X85*VLOOKUP('Données projet'!$B$9,Paramètres!$A$1:$I$89,3,0)*0.475*44/12</f>
        <v>4.738147601550577</v>
      </c>
      <c r="AB85" s="21">
        <f>EXP(-LN(2)/2)*AB84+(1-EXP(-LN(2)/2))/(LN(2)/2)*V85*Y85*VLOOKUP('Données projet'!$B$9,Paramètres!$A$1:$I$89,3,0)*0.475*44/12</f>
        <v>3.7198712424832776E-5</v>
      </c>
      <c r="AC85" s="22">
        <f t="shared" si="57"/>
        <v>12.239729842426746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9.546999999999997</v>
      </c>
      <c r="AI85" s="13">
        <f>IF('Données projet'!$A$62&gt;35,AI84+AH85-AQ84,IF(A85&lt;'Données projet'!$A$62,$AF$205^A85,IF(A85='Données projet'!$A$62,'Données projet'!$B$62,AI84+AH85-AQ84)))</f>
        <v>335.99600000000044</v>
      </c>
      <c r="AJ85" s="13">
        <f>AI85*VLOOKUP('Données projet'!$B$10,Paramètres!$A$1:$I$89,3,0)*VLOOKUP('Données projet'!$B$10,Paramètres!$A$1:$I$89,5,0)</f>
        <v>340.69994400000047</v>
      </c>
      <c r="AK85" s="13">
        <f t="shared" si="89"/>
        <v>79.644541970406692</v>
      </c>
      <c r="AL85" s="20">
        <f t="shared" si="58"/>
        <v>732.09997973179236</v>
      </c>
      <c r="AM85" s="59">
        <f t="shared" si="59"/>
        <v>1003.6060713637794</v>
      </c>
      <c r="AN85" s="59">
        <f ca="1">AVERAGE(OFFSET($AM$3,0,0,'Données projet'!$E$10+1,1))-AVERAGE(OFFSET($H$3,0,0,'Données projet'!$E$10+1,1))</f>
        <v>752.45542076695506</v>
      </c>
      <c r="AO85" s="59">
        <f t="shared" si="90"/>
        <v>329.70629768420724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13.988749825573638</v>
      </c>
      <c r="AV85" s="21">
        <f>EXP(-LN(2)/25)*AV84+(1-EXP(-LN(2)/25))/(LN(2)/25)*Calculateur!AQ85*Calculateur!AS85*VLOOKUP('Données projet'!$B$10,Paramètres!$A$1:$I$89,3,0)*0.475*44/12</f>
        <v>28.269578680644486</v>
      </c>
      <c r="AW85" s="21">
        <f>EXP(-LN(2)/2)*AW84+(1-EXP(-LN(2)/2))/(LN(2)/2)*AQ85*AT85*VLOOKUP('Données projet'!$B$10,Paramètres!$A$1:$I$89,3,0)*0.475*44/12</f>
        <v>0.32940459090074031</v>
      </c>
      <c r="AX85" s="21">
        <f t="shared" si="60"/>
        <v>42.587733097118864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9.546999999999997</v>
      </c>
      <c r="BD85" s="12">
        <f>IF('Données projet'!$A$88&gt;35,BD84+BC85-BL84,IF(A85&lt;'Données projet'!$A$88,$BA$205^A85,IF(A85='Données projet'!$A$88,'Données projet'!$B$88,BD84+BC85-BL84)))</f>
        <v>335.99600000000044</v>
      </c>
      <c r="BE85" s="13">
        <f>BD85*VLOOKUP('Données projet'!$B$11,Paramètres!$A$1:$I$89,3,0)*VLOOKUP('Données projet'!$B$11,Paramètres!$A$1:$I$89,5,0)</f>
        <v>304.00918080000037</v>
      </c>
      <c r="BF85" s="13">
        <f t="shared" si="91"/>
        <v>72.016291285794935</v>
      </c>
      <c r="BG85" s="20">
        <f t="shared" si="61"/>
        <v>654.91103054942675</v>
      </c>
      <c r="BH85" s="59">
        <f t="shared" si="62"/>
        <v>926.41712218141379</v>
      </c>
      <c r="BI85" s="59">
        <f ca="1">AVERAGE(OFFSET($BH$3,0,0,'Données projet'!$E$11+1,1))-AVERAGE(OFFSET($H$3,0,0,'Données projet'!$E$11+1,1))</f>
        <v>681.47578137804555</v>
      </c>
      <c r="BJ85" s="59">
        <f t="shared" si="92"/>
        <v>300.88511065995885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12.482269075127244</v>
      </c>
      <c r="BQ85" s="21">
        <f>EXP(-LN(2)/25)*BQ84+(1-EXP(-LN(2)/25))/(LN(2)/25)*Calculateur!BL85*Calculateur!BN85*VLOOKUP('Données projet'!$B$11,Paramètres!$A$1:$I$89,3,0)*0.475*44/12</f>
        <v>25.225162515036608</v>
      </c>
      <c r="BR85" s="21">
        <f>EXP(-LN(2)/2)*BR84+(1-EXP(-LN(2)/2))/(LN(2)/2)*BL85*BO85*VLOOKUP('Données projet'!$B$11,Paramètres!$A$1:$I$89,3,0)*0.475*44/12</f>
        <v>0.29393025034219911</v>
      </c>
      <c r="BS85" s="22">
        <f t="shared" si="63"/>
        <v>38.00136184050605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4.1025641025640995</v>
      </c>
      <c r="BY85" s="12">
        <f>IF('Données projet'!$A$114&gt;35,BY84+BX85-CG84,IF(A85&lt;'Données projet'!$A$114,$BV$205^A85,IF(A85='Données projet'!$A$114,'Données projet'!$B$114,BY84+BX85-CG84)))</f>
        <v>263.97435897435906</v>
      </c>
      <c r="BZ85" s="13">
        <f>BY85*VLOOKUP('Données projet'!$B$12,Paramètres!$A$1:$I$89,3,0)*VLOOKUP('Données projet'!$B$12,Paramètres!$A$1:$I$89,5,0)</f>
        <v>177.07400000000007</v>
      </c>
      <c r="CA85" s="13">
        <f t="shared" si="93"/>
        <v>44.670585441115527</v>
      </c>
      <c r="CB85" s="20">
        <f t="shared" si="64"/>
        <v>386.20515297660967</v>
      </c>
      <c r="CC85" s="59">
        <f t="shared" si="65"/>
        <v>657.71124460859664</v>
      </c>
      <c r="CD85" s="59">
        <f ca="1">AVERAGE(OFFSET($CC$3,0,0,'Données projet'!$E$12+1,1))-AVERAGE(OFFSET($H$3,0,0,'Données projet'!$E$12+1,1))</f>
        <v>335.73816489539837</v>
      </c>
      <c r="CE85" s="59">
        <f t="shared" si="94"/>
        <v>254.09787950201044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5.3363462549410947</v>
      </c>
      <c r="CL85" s="21">
        <f>EXP(-LN(2)/25)*CL84+(1-EXP(-LN(2)/25))/(LN(2)/25)*Calculateur!CG85*Calculateur!CI85*VLOOKUP('Données projet'!$B$12,Paramètres!$A$1:$I$89,3,0)*0.475*44/12</f>
        <v>8.9124168735412095</v>
      </c>
      <c r="CM85" s="21">
        <f>EXP(-LN(2)/2)*CM84+(1-EXP(-LN(2)/2))/(LN(2)/2)*CG85*CJ85*VLOOKUP('Données projet'!$B$12,Paramètres!$A$1:$I$89,3,0)*0.475*44/12</f>
        <v>1.2447059328873766</v>
      </c>
      <c r="CN85" s="22">
        <f t="shared" si="66"/>
        <v>15.49346906136968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1.1368683772161603E-13</v>
      </c>
      <c r="CU85" s="17">
        <f>CT85*VLOOKUP('Données projet'!$B$13,Paramètres!$A$1:$I$89,3,0)*VLOOKUP('Données projet'!$B$13,Paramètres!$A$1:$I$89,5,0)</f>
        <v>6.7984728957526396E-14</v>
      </c>
      <c r="CV85" s="13">
        <f t="shared" si="95"/>
        <v>1.0682447123141398E-12</v>
      </c>
      <c r="CW85" s="20">
        <f t="shared" si="67"/>
        <v>1.978932943548152E-12</v>
      </c>
      <c r="CX85" s="59">
        <f t="shared" si="68"/>
        <v>271.50609163198902</v>
      </c>
      <c r="CY85" s="59">
        <f ca="1">AVERAGE(OFFSET($CX$3,0,0,'Données projet'!$E$13+1,1))-AVERAGE(OFFSET($H$3,0,0,'Données projet'!$E$13+1,1))</f>
        <v>318.50474972254085</v>
      </c>
      <c r="CZ85" s="59">
        <f t="shared" si="96"/>
        <v>326.45858332753562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89.822842478256192</v>
      </c>
      <c r="DG85" s="21">
        <f>EXP(-LN(2)/25)*DG84+(1-EXP(-LN(2)/25))/(LN(2)/25)*Calculateur!DB85*Calculateur!DD85*VLOOKUP('Données projet'!$B$13,Paramètres!$A$1:$I$89,3,0)*0.475*44/12</f>
        <v>26.320999706395497</v>
      </c>
      <c r="DH85" s="21">
        <f>EXP(-LN(2)/2)*DH84+(1-EXP(-LN(2)/2))/(LN(2)/2)*DB85*DE85*VLOOKUP('Données projet'!$B$13,Paramètres!$A$1:$I$89,3,0)*0.475*44/12</f>
        <v>2.9278048253590559E-2</v>
      </c>
      <c r="DI85" s="22">
        <f t="shared" si="69"/>
        <v>116.17312023290528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3">
        <f>'Scénario référence'!$B$16*5+'Scénario référence'!$B$17*0+'Scénario référence'!$B$18*5</f>
        <v>5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67">
        <f t="shared" si="56"/>
        <v>183.33333333333334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5.6843418860808015E-14</v>
      </c>
      <c r="O86" s="13">
        <f>N86*VLOOKUP('Données projet'!$B$9,Paramètres!$A$1:$I$89,3,0)*VLOOKUP('Données projet'!$B$9,Paramètres!$A$1:$I$89,5,0)</f>
        <v>5.1431925385259088E-14</v>
      </c>
      <c r="P86" s="13">
        <f t="shared" si="87"/>
        <v>8.3482866290946129E-13</v>
      </c>
      <c r="Q86" s="20">
        <f t="shared" si="54"/>
        <v>1.5435705246133045E-12</v>
      </c>
      <c r="R86" s="59">
        <f t="shared" si="55"/>
        <v>271.88474547710501</v>
      </c>
      <c r="S86" s="59">
        <f ca="1">AVERAGE(OFFSET($R$3,0,0,'Données projet'!$E$9+1,1))-AVERAGE(OFFSET($H$3,0,0,'Données projet'!$E$9+1,1))</f>
        <v>214.60547318405733</v>
      </c>
      <c r="T86" s="59">
        <f t="shared" si="88"/>
        <v>306.35874106546646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7.3544443193775972</v>
      </c>
      <c r="AA86" s="21">
        <f>EXP(-LN(2)/25)*AA85+(1-EXP(-LN(2)/25))/(LN(2)/25)*Calculateur!V86*Calculateur!X86*VLOOKUP('Données projet'!$B$9,Paramètres!$A$1:$I$89,3,0)*0.475*44/12</f>
        <v>4.6085827062178231</v>
      </c>
      <c r="AB86" s="21">
        <f>EXP(-LN(2)/2)*AB85+(1-EXP(-LN(2)/2))/(LN(2)/2)*V86*Y86*VLOOKUP('Données projet'!$B$9,Paramètres!$A$1:$I$89,3,0)*0.475*44/12</f>
        <v>2.6303461807007537E-5</v>
      </c>
      <c r="AC86" s="22">
        <f t="shared" si="57"/>
        <v>11.963053329057226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9.546999999999997</v>
      </c>
      <c r="AI86" s="13">
        <f>IF('Données projet'!$A$62&gt;35,AI85+AH86-AQ85,IF(A86&lt;'Données projet'!$A$62,$AF$205^A86,IF(A86='Données projet'!$A$62,'Données projet'!$B$62,AI85+AH86-AQ85)))</f>
        <v>345.54300000000046</v>
      </c>
      <c r="AJ86" s="13">
        <f>AI86*VLOOKUP('Données projet'!$B$10,Paramètres!$A$1:$I$89,3,0)*VLOOKUP('Données projet'!$B$10,Paramètres!$A$1:$I$89,5,0)</f>
        <v>350.38060200000047</v>
      </c>
      <c r="AK86" s="13">
        <f t="shared" si="89"/>
        <v>81.640876184681076</v>
      </c>
      <c r="AL86" s="20">
        <f t="shared" si="58"/>
        <v>752.43740783832027</v>
      </c>
      <c r="AM86" s="59">
        <f t="shared" si="59"/>
        <v>1024.3221533154237</v>
      </c>
      <c r="AN86" s="59">
        <f ca="1">AVERAGE(OFFSET($AM$3,0,0,'Données projet'!$E$10+1,1))-AVERAGE(OFFSET($H$3,0,0,'Données projet'!$E$10+1,1))</f>
        <v>752.45542076695506</v>
      </c>
      <c r="AO86" s="59">
        <f t="shared" si="90"/>
        <v>329.70629768420724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13.714438973789038</v>
      </c>
      <c r="AV86" s="21">
        <f>EXP(-LN(2)/25)*AV85+(1-EXP(-LN(2)/25))/(LN(2)/25)*Calculateur!AQ86*Calculateur!AS86*VLOOKUP('Données projet'!$B$10,Paramètres!$A$1:$I$89,3,0)*0.475*44/12</f>
        <v>27.496545564989731</v>
      </c>
      <c r="AW86" s="21">
        <f>EXP(-LN(2)/2)*AW85+(1-EXP(-LN(2)/2))/(LN(2)/2)*AQ86*AT86*VLOOKUP('Données projet'!$B$10,Paramètres!$A$1:$I$89,3,0)*0.475*44/12</f>
        <v>0.23292421997989399</v>
      </c>
      <c r="AX86" s="21">
        <f t="shared" si="60"/>
        <v>41.44390875875866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9.546999999999997</v>
      </c>
      <c r="BD86" s="12">
        <f>IF('Données projet'!$A$88&gt;35,BD85+BC86-BL85,IF(A86&lt;'Données projet'!$A$88,$BA$205^A86,IF(A86='Données projet'!$A$88,'Données projet'!$B$88,BD85+BC86-BL85)))</f>
        <v>345.54300000000046</v>
      </c>
      <c r="BE86" s="13">
        <f>BD86*VLOOKUP('Données projet'!$B$11,Paramètres!$A$1:$I$89,3,0)*VLOOKUP('Données projet'!$B$11,Paramètres!$A$1:$I$89,5,0)</f>
        <v>312.64730640000039</v>
      </c>
      <c r="BF86" s="13">
        <f t="shared" si="91"/>
        <v>73.821419204446315</v>
      </c>
      <c r="BG86" s="20">
        <f t="shared" si="61"/>
        <v>673.09969709441123</v>
      </c>
      <c r="BH86" s="59">
        <f t="shared" si="62"/>
        <v>944.98444257151471</v>
      </c>
      <c r="BI86" s="59">
        <f ca="1">AVERAGE(OFFSET($BH$3,0,0,'Données projet'!$E$11+1,1))-AVERAGE(OFFSET($H$3,0,0,'Données projet'!$E$11+1,1))</f>
        <v>681.47578137804555</v>
      </c>
      <c r="BJ86" s="59">
        <f t="shared" si="92"/>
        <v>300.88511065995885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12.237499391996371</v>
      </c>
      <c r="BQ86" s="21">
        <f>EXP(-LN(2)/25)*BQ85+(1-EXP(-LN(2)/25))/(LN(2)/25)*Calculateur!BL86*Calculateur!BN86*VLOOKUP('Données projet'!$B$11,Paramètres!$A$1:$I$89,3,0)*0.475*44/12</f>
        <v>24.535379119529289</v>
      </c>
      <c r="BR86" s="21">
        <f>EXP(-LN(2)/2)*BR85+(1-EXP(-LN(2)/2))/(LN(2)/2)*BL86*BO86*VLOOKUP('Données projet'!$B$11,Paramètres!$A$1:$I$89,3,0)*0.475*44/12</f>
        <v>0.20784007321282855</v>
      </c>
      <c r="BS86" s="22">
        <f t="shared" si="63"/>
        <v>36.98071858473849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4.1025641025640995</v>
      </c>
      <c r="BY86" s="12">
        <f>IF('Données projet'!$A$114&gt;35,BY85+BX86-CG85,IF(A86&lt;'Données projet'!$A$114,$BV$205^A86,IF(A86='Données projet'!$A$114,'Données projet'!$B$114,BY85+BX86-CG85)))</f>
        <v>268.07692307692315</v>
      </c>
      <c r="BZ86" s="13">
        <f>BY86*VLOOKUP('Données projet'!$B$12,Paramètres!$A$1:$I$89,3,0)*VLOOKUP('Données projet'!$B$12,Paramètres!$A$1:$I$89,5,0)</f>
        <v>179.82600000000005</v>
      </c>
      <c r="CA86" s="13">
        <f t="shared" si="93"/>
        <v>45.283472193614408</v>
      </c>
      <c r="CB86" s="20">
        <f t="shared" si="64"/>
        <v>392.06566407054515</v>
      </c>
      <c r="CC86" s="59">
        <f t="shared" si="65"/>
        <v>663.95040954764863</v>
      </c>
      <c r="CD86" s="59">
        <f ca="1">AVERAGE(OFFSET($CC$3,0,0,'Données projet'!$E$12+1,1))-AVERAGE(OFFSET($H$3,0,0,'Données projet'!$E$12+1,1))</f>
        <v>335.73816489539837</v>
      </c>
      <c r="CE86" s="59">
        <f t="shared" si="94"/>
        <v>254.09787950201044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5.2317037597315252</v>
      </c>
      <c r="CL86" s="21">
        <f>EXP(-LN(2)/25)*CL85+(1-EXP(-LN(2)/25))/(LN(2)/25)*Calculateur!CG86*Calculateur!CI86*VLOOKUP('Données projet'!$B$12,Paramètres!$A$1:$I$89,3,0)*0.475*44/12</f>
        <v>8.6687063654505909</v>
      </c>
      <c r="CM86" s="21">
        <f>EXP(-LN(2)/2)*CM85+(1-EXP(-LN(2)/2))/(LN(2)/2)*CG86*CJ86*VLOOKUP('Données projet'!$B$12,Paramètres!$A$1:$I$89,3,0)*0.475*44/12</f>
        <v>0.88014000572779183</v>
      </c>
      <c r="CN86" s="22">
        <f t="shared" si="66"/>
        <v>14.780550130909909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1.1368683772161603E-13</v>
      </c>
      <c r="CU86" s="17">
        <f>CT86*VLOOKUP('Données projet'!$B$13,Paramètres!$A$1:$I$89,3,0)*VLOOKUP('Données projet'!$B$13,Paramètres!$A$1:$I$89,5,0)</f>
        <v>6.7984728957526396E-14</v>
      </c>
      <c r="CV86" s="13">
        <f t="shared" si="95"/>
        <v>1.0682447123141398E-12</v>
      </c>
      <c r="CW86" s="20">
        <f t="shared" si="67"/>
        <v>1.978932943548152E-12</v>
      </c>
      <c r="CX86" s="59">
        <f t="shared" si="68"/>
        <v>271.88474547710547</v>
      </c>
      <c r="CY86" s="59">
        <f ca="1">AVERAGE(OFFSET($CX$3,0,0,'Données projet'!$E$13+1,1))-AVERAGE(OFFSET($H$3,0,0,'Données projet'!$E$13+1,1))</f>
        <v>318.50474972254085</v>
      </c>
      <c r="CZ86" s="59">
        <f t="shared" si="96"/>
        <v>326.45858332753562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88.061471323781774</v>
      </c>
      <c r="DG86" s="21">
        <f>EXP(-LN(2)/25)*DG85+(1-EXP(-LN(2)/25))/(LN(2)/25)*Calculateur!DB86*Calculateur!DD86*VLOOKUP('Données projet'!$B$13,Paramètres!$A$1:$I$89,3,0)*0.475*44/12</f>
        <v>25.601250585262896</v>
      </c>
      <c r="DH86" s="21">
        <f>EXP(-LN(2)/2)*DH85+(1-EXP(-LN(2)/2))/(LN(2)/2)*DB86*DE86*VLOOKUP('Données projet'!$B$13,Paramètres!$A$1:$I$89,3,0)*0.475*44/12</f>
        <v>2.0702706460020842E-2</v>
      </c>
      <c r="DI86" s="22">
        <f t="shared" si="69"/>
        <v>113.68342461550469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3">
        <f>'Scénario référence'!$B$16*5+'Scénario référence'!$B$17*0+'Scénario référence'!$B$18*5</f>
        <v>5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67">
        <f t="shared" si="56"/>
        <v>183.33333333333334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5.6843418860808015E-14</v>
      </c>
      <c r="O87" s="13">
        <f>N87*VLOOKUP('Données projet'!$B$9,Paramètres!$A$1:$I$89,3,0)*VLOOKUP('Données projet'!$B$9,Paramètres!$A$1:$I$89,5,0)</f>
        <v>5.1431925385259088E-14</v>
      </c>
      <c r="P87" s="13">
        <f t="shared" si="87"/>
        <v>8.3482866290946129E-13</v>
      </c>
      <c r="Q87" s="20">
        <f t="shared" si="54"/>
        <v>1.5435705246133045E-12</v>
      </c>
      <c r="R87" s="59">
        <f t="shared" si="55"/>
        <v>272.25683052455184</v>
      </c>
      <c r="S87" s="59">
        <f ca="1">AVERAGE(OFFSET($R$3,0,0,'Données projet'!$E$9+1,1))-AVERAGE(OFFSET($H$3,0,0,'Données projet'!$E$9+1,1))</f>
        <v>214.60547318405733</v>
      </c>
      <c r="T87" s="59">
        <f t="shared" si="88"/>
        <v>306.35874106546646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7.2102281520427045</v>
      </c>
      <c r="AA87" s="21">
        <f>EXP(-LN(2)/25)*AA86+(1-EXP(-LN(2)/25))/(LN(2)/25)*Calculateur!V87*Calculateur!X87*VLOOKUP('Données projet'!$B$9,Paramètres!$A$1:$I$89,3,0)*0.475*44/12</f>
        <v>4.4825607697614656</v>
      </c>
      <c r="AB87" s="21">
        <f>EXP(-LN(2)/2)*AB86+(1-EXP(-LN(2)/2))/(LN(2)/2)*V87*Y87*VLOOKUP('Données projet'!$B$9,Paramètres!$A$1:$I$89,3,0)*0.475*44/12</f>
        <v>1.8599356212416388E-5</v>
      </c>
      <c r="AC87" s="22">
        <f t="shared" si="57"/>
        <v>11.692807521160381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>
        <f>VLOOKUP(A87,'Données projet'!$A$61:$I$81,2,0)</f>
        <v>355.09</v>
      </c>
      <c r="AG87" s="12">
        <f>VLOOKUP(A87,'Données projet'!$A$61:$I$81,9,0)</f>
        <v>9.546999999999997</v>
      </c>
      <c r="AH87" s="12">
        <f t="array" ref="AH87">INDEX(AG:AG,MIN(IF(ISNUMBER(AG87:AG283),ROW(AG87:AG283),"")))</f>
        <v>9.546999999999997</v>
      </c>
      <c r="AI87" s="13">
        <f>IF('Données projet'!$A$62&gt;35,AI86+AH87-AQ86,IF(A87&lt;'Données projet'!$A$62,$AF$205^A87,IF(A87='Données projet'!$A$62,'Données projet'!$B$62,AI86+AH87-AQ86)))</f>
        <v>355.09000000000049</v>
      </c>
      <c r="AJ87" s="13">
        <f>AI87*VLOOKUP('Données projet'!$B$10,Paramètres!$A$1:$I$89,3,0)*VLOOKUP('Données projet'!$B$10,Paramètres!$A$1:$I$89,5,0)</f>
        <v>360.06126000000052</v>
      </c>
      <c r="AK87" s="13">
        <f t="shared" si="89"/>
        <v>83.630799612914231</v>
      </c>
      <c r="AL87" s="20">
        <f t="shared" si="58"/>
        <v>772.76367049249313</v>
      </c>
      <c r="AM87" s="59">
        <f t="shared" si="59"/>
        <v>1045.0205010170434</v>
      </c>
      <c r="AN87" s="59">
        <f ca="1">AVERAGE(OFFSET($AM$3,0,0,'Données projet'!$E$10+1,1))-AVERAGE(OFFSET($H$3,0,0,'Données projet'!$E$10+1,1))</f>
        <v>752.45542076695506</v>
      </c>
      <c r="AO87" s="59">
        <f t="shared" si="90"/>
        <v>329.70629768420724</v>
      </c>
      <c r="AP87" s="15">
        <f>IF(ISNA(VLOOKUP(A87,'Données projet'!$A$61:$I$81,3,0)),0,VLOOKUP(A87,'Données projet'!$A$61:$I$81,3,0))</f>
        <v>6</v>
      </c>
      <c r="AQ87" s="15">
        <f>IF(ISNA(VLOOKUP(A87,'Données projet'!$A$61:$I$81,4,0)),0,VLOOKUP(A87,'Données projet'!$A$61:$I$81,4,0))</f>
        <v>66.69</v>
      </c>
      <c r="AR87" s="16">
        <f>IF(ISNA(VLOOKUP(A87,'Données projet'!$A$61:$I$81,5,0)),0%,VLOOKUP(A87,'Données projet'!$A$61:$I$81,5,0)*VLOOKUP('Données projet'!$B$10,Paramètres!$A$1:$I$89,7,0))</f>
        <v>0.15049999999999999</v>
      </c>
      <c r="AS87" s="16">
        <f>IF(ISNA(VLOOKUP(A87,'Données projet'!$A$61:$I$81,6,0)),0%,VLOOKUP(A87,'Données projet'!$A$61:$I$81,6,0)*VLOOKUP('Données projet'!$B$10,Paramètres!$A$1:$I$89,7,0))</f>
        <v>8.6000000000000007E-2</v>
      </c>
      <c r="AT87" s="16">
        <f>IF(ISNA(VLOOKUP(A87,'Données projet'!$A$61:$I$81,7,0)),0%,VLOOKUP(A87,'Données projet'!$A$61:$I$81,7,0))</f>
        <v>0.1</v>
      </c>
      <c r="AU87" s="21">
        <f>EXP(-LN(2)/35)*AU86+(1-EXP(-LN(2)/35))/(LN(2)/35)*AQ87*AR87*VLOOKUP('Données projet'!$B$10,Paramètres!$A$1:$I$89,3,0)*0.475*44/12</f>
        <v>24.696278129878717</v>
      </c>
      <c r="AV87" s="21">
        <f>EXP(-LN(2)/25)*AV86+(1-EXP(-LN(2)/25))/(LN(2)/25)*Calculateur!AQ87*Calculateur!AS87*VLOOKUP('Données projet'!$B$10,Paramètres!$A$1:$I$89,3,0)*0.475*44/12</f>
        <v>33.148349576143573</v>
      </c>
      <c r="AW87" s="21">
        <f>EXP(-LN(2)/2)*AW86+(1-EXP(-LN(2)/2))/(LN(2)/2)*AQ87*AT87*VLOOKUP('Données projet'!$B$10,Paramètres!$A$1:$I$89,3,0)*0.475*44/12</f>
        <v>6.5451766228627521</v>
      </c>
      <c r="AX87" s="21">
        <f t="shared" si="60"/>
        <v>64.389804328885049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>
        <f>VLOOKUP(A87,'Données projet'!$A$87:$I$107,2,0)</f>
        <v>355.09</v>
      </c>
      <c r="BB87" s="12">
        <f>VLOOKUP(A87,'Données projet'!$A$87:$I$107,9,0)</f>
        <v>9.546999999999997</v>
      </c>
      <c r="BC87" s="12">
        <f t="array" ref="BC87">INDEX(BB:BB,MIN(IF(ISNUMBER(BB87:BB283),ROW(BB87:BB283),"")))</f>
        <v>9.546999999999997</v>
      </c>
      <c r="BD87" s="12">
        <f>IF('Données projet'!$A$88&gt;35,BD86+BC87-BL86,IF(A87&lt;'Données projet'!$A$88,$BA$205^A87,IF(A87='Données projet'!$A$88,'Données projet'!$B$88,BD86+BC87-BL86)))</f>
        <v>355.09000000000049</v>
      </c>
      <c r="BE87" s="13">
        <f>BD87*VLOOKUP('Données projet'!$B$11,Paramètres!$A$1:$I$89,3,0)*VLOOKUP('Données projet'!$B$11,Paramètres!$A$1:$I$89,5,0)</f>
        <v>321.28543200000041</v>
      </c>
      <c r="BF87" s="13">
        <f t="shared" si="91"/>
        <v>75.620750353808944</v>
      </c>
      <c r="BG87" s="20">
        <f t="shared" si="61"/>
        <v>691.27826759955133</v>
      </c>
      <c r="BH87" s="59">
        <f t="shared" si="62"/>
        <v>963.53509812410164</v>
      </c>
      <c r="BI87" s="59">
        <f ca="1">AVERAGE(OFFSET($BH$3,0,0,'Données projet'!$E$11+1,1))-AVERAGE(OFFSET($H$3,0,0,'Données projet'!$E$11+1,1))</f>
        <v>681.47578137804555</v>
      </c>
      <c r="BJ87" s="59">
        <f t="shared" si="92"/>
        <v>300.88511065995885</v>
      </c>
      <c r="BK87" s="15">
        <f>IF(ISNA(VLOOKUP(A87,'Données projet'!$A$87:$I$107,3,0)),0,VLOOKUP(A87,'Données projet'!$A$87:$I$107,3,0))</f>
        <v>6</v>
      </c>
      <c r="BL87" s="15">
        <f>IF(ISNA(VLOOKUP(A87,'Données projet'!$A$87:$I$107,4,0)),0,VLOOKUP(A87,'Données projet'!$A$87:$I$107,4,0))</f>
        <v>66.69</v>
      </c>
      <c r="BM87" s="16">
        <f>IF(ISNA(VLOOKUP(A87,'Données projet'!$A$87:$I$107,5,0)),0%,VLOOKUP(A87,'Données projet'!$A$87:$I$107,5,0)*VLOOKUP('Données projet'!$B$11,Paramètres!$A$1:$I$89,7,0))</f>
        <v>0.15049999999999999</v>
      </c>
      <c r="BN87" s="16">
        <f>IF(ISNA(VLOOKUP(A87,'Données projet'!$A$87:$I$107,6,0)),0%,VLOOKUP(A87,'Données projet'!$A$87:$I$107,6,0)*VLOOKUP('Données projet'!$B$11,Paramètres!$A$1:$I$89,7,0))</f>
        <v>8.6000000000000007E-2</v>
      </c>
      <c r="BO87" s="16">
        <f>IF(ISNA(VLOOKUP(A87,'Données projet'!$A$87:$I$107,7,0)),0%,VLOOKUP(A87,'Données projet'!$A$87:$I$107,7,0))</f>
        <v>0.1</v>
      </c>
      <c r="BP87" s="21">
        <f>EXP(-LN(2)/35)*BP86+(1-EXP(-LN(2)/35))/(LN(2)/35)*BL87*BM87*VLOOKUP('Données projet'!$B$11,Paramètres!$A$1:$I$89,3,0)*0.475*44/12</f>
        <v>22.036678946661006</v>
      </c>
      <c r="BQ87" s="21">
        <f>EXP(-LN(2)/25)*BQ86+(1-EXP(-LN(2)/25))/(LN(2)/25)*Calculateur!BL87*Calculateur!BN87*VLOOKUP('Données projet'!$B$11,Paramètres!$A$1:$I$89,3,0)*0.475*44/12</f>
        <v>29.578527314097339</v>
      </c>
      <c r="BR87" s="21">
        <f>EXP(-LN(2)/2)*BR86+(1-EXP(-LN(2)/2))/(LN(2)/2)*BL87*BO87*VLOOKUP('Données projet'!$B$11,Paramètres!$A$1:$I$89,3,0)*0.475*44/12</f>
        <v>5.8403114480929164</v>
      </c>
      <c r="BS87" s="22">
        <f t="shared" si="63"/>
        <v>57.455517708851261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4.1025641025640995</v>
      </c>
      <c r="BY87" s="12">
        <f>IF('Données projet'!$A$114&gt;35,BY86+BX87-CG86,IF(A87&lt;'Données projet'!$A$114,$BV$205^A87,IF(A87='Données projet'!$A$114,'Données projet'!$B$114,BY86+BX87-CG86)))</f>
        <v>272.17948717948724</v>
      </c>
      <c r="BZ87" s="13">
        <f>BY87*VLOOKUP('Données projet'!$B$12,Paramètres!$A$1:$I$89,3,0)*VLOOKUP('Données projet'!$B$12,Paramètres!$A$1:$I$89,5,0)</f>
        <v>182.57800000000006</v>
      </c>
      <c r="CA87" s="13">
        <f t="shared" si="93"/>
        <v>45.895268107941853</v>
      </c>
      <c r="CB87" s="20">
        <f t="shared" si="64"/>
        <v>397.92427528799885</v>
      </c>
      <c r="CC87" s="59">
        <f t="shared" si="65"/>
        <v>670.18110581254916</v>
      </c>
      <c r="CD87" s="59">
        <f ca="1">AVERAGE(OFFSET($CC$3,0,0,'Données projet'!$E$12+1,1))-AVERAGE(OFFSET($H$3,0,0,'Données projet'!$E$12+1,1))</f>
        <v>335.73816489539837</v>
      </c>
      <c r="CE87" s="59">
        <f t="shared" si="94"/>
        <v>254.09787950201044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5.1291132400273964</v>
      </c>
      <c r="CL87" s="21">
        <f>EXP(-LN(2)/25)*CL86+(1-EXP(-LN(2)/25))/(LN(2)/25)*Calculateur!CG87*Calculateur!CI87*VLOOKUP('Données projet'!$B$12,Paramètres!$A$1:$I$89,3,0)*0.475*44/12</f>
        <v>8.4316601340198893</v>
      </c>
      <c r="CM87" s="21">
        <f>EXP(-LN(2)/2)*CM86+(1-EXP(-LN(2)/2))/(LN(2)/2)*CG87*CJ87*VLOOKUP('Données projet'!$B$12,Paramètres!$A$1:$I$89,3,0)*0.475*44/12</f>
        <v>0.62235296644368843</v>
      </c>
      <c r="CN87" s="22">
        <f t="shared" si="66"/>
        <v>14.183126340490976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1.1368683772161603E-13</v>
      </c>
      <c r="CU87" s="17">
        <f>CT87*VLOOKUP('Données projet'!$B$13,Paramètres!$A$1:$I$89,3,0)*VLOOKUP('Données projet'!$B$13,Paramètres!$A$1:$I$89,5,0)</f>
        <v>6.7984728957526396E-14</v>
      </c>
      <c r="CV87" s="13">
        <f t="shared" si="95"/>
        <v>1.0682447123141398E-12</v>
      </c>
      <c r="CW87" s="20">
        <f t="shared" si="67"/>
        <v>1.978932943548152E-12</v>
      </c>
      <c r="CX87" s="59">
        <f t="shared" si="68"/>
        <v>272.2568305245523</v>
      </c>
      <c r="CY87" s="59">
        <f ca="1">AVERAGE(OFFSET($CX$3,0,0,'Données projet'!$E$13+1,1))-AVERAGE(OFFSET($H$3,0,0,'Données projet'!$E$13+1,1))</f>
        <v>318.50474972254085</v>
      </c>
      <c r="CZ87" s="59">
        <f t="shared" si="96"/>
        <v>326.45858332753562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86.334639583316289</v>
      </c>
      <c r="DG87" s="21">
        <f>EXP(-LN(2)/25)*DG86+(1-EXP(-LN(2)/25))/(LN(2)/25)*Calculateur!DB87*Calculateur!DD87*VLOOKUP('Données projet'!$B$13,Paramètres!$A$1:$I$89,3,0)*0.475*44/12</f>
        <v>24.901183041697628</v>
      </c>
      <c r="DH87" s="21">
        <f>EXP(-LN(2)/2)*DH86+(1-EXP(-LN(2)/2))/(LN(2)/2)*DB87*DE87*VLOOKUP('Données projet'!$B$13,Paramètres!$A$1:$I$89,3,0)*0.475*44/12</f>
        <v>1.4639024126795283E-2</v>
      </c>
      <c r="DI87" s="22">
        <f t="shared" si="69"/>
        <v>111.25046164914072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3">
        <f>'Scénario référence'!$B$16*5+'Scénario référence'!$B$17*0+'Scénario référence'!$B$18*5</f>
        <v>5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67">
        <f t="shared" si="56"/>
        <v>183.33333333333334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5.6843418860808015E-14</v>
      </c>
      <c r="O88" s="13">
        <f>N88*VLOOKUP('Données projet'!$B$9,Paramètres!$A$1:$I$89,3,0)*VLOOKUP('Données projet'!$B$9,Paramètres!$A$1:$I$89,5,0)</f>
        <v>5.1431925385259088E-14</v>
      </c>
      <c r="P88" s="13">
        <f t="shared" si="87"/>
        <v>8.3482866290946129E-13</v>
      </c>
      <c r="Q88" s="20">
        <f t="shared" si="54"/>
        <v>1.5435705246133045E-12</v>
      </c>
      <c r="R88" s="59">
        <f t="shared" si="55"/>
        <v>272.62246072828304</v>
      </c>
      <c r="S88" s="59">
        <f ca="1">AVERAGE(OFFSET($R$3,0,0,'Données projet'!$E$9+1,1))-AVERAGE(OFFSET($H$3,0,0,'Données projet'!$E$9+1,1))</f>
        <v>214.60547318405733</v>
      </c>
      <c r="T88" s="59">
        <f t="shared" si="88"/>
        <v>306.35874106546646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7.0688399757860729</v>
      </c>
      <c r="AA88" s="21">
        <f>EXP(-LN(2)/25)*AA87+(1-EXP(-LN(2)/25))/(LN(2)/25)*Calculateur!V88*Calculateur!X88*VLOOKUP('Données projet'!$B$9,Paramètres!$A$1:$I$89,3,0)*0.475*44/12</f>
        <v>4.3599849097847123</v>
      </c>
      <c r="AB88" s="21">
        <f>EXP(-LN(2)/2)*AB87+(1-EXP(-LN(2)/2))/(LN(2)/2)*V88*Y88*VLOOKUP('Données projet'!$B$9,Paramètres!$A$1:$I$89,3,0)*0.475*44/12</f>
        <v>1.3151730903503768E-5</v>
      </c>
      <c r="AC88" s="22">
        <f t="shared" si="57"/>
        <v>11.42883803730169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9.1730000000000018</v>
      </c>
      <c r="AI88" s="13">
        <f>IF('Données projet'!$A$62&gt;35,AI87+AH88-AQ87,IF(A88&lt;'Données projet'!$A$62,$AF$205^A88,IF(A88='Données projet'!$A$62,'Données projet'!$B$62,AI87+AH88-AQ87)))</f>
        <v>297.57300000000049</v>
      </c>
      <c r="AJ88" s="13">
        <f>AI88*VLOOKUP('Données projet'!$B$10,Paramètres!$A$1:$I$89,3,0)*VLOOKUP('Données projet'!$B$10,Paramètres!$A$1:$I$89,5,0)</f>
        <v>301.73902200000055</v>
      </c>
      <c r="AK88" s="13">
        <f t="shared" si="89"/>
        <v>71.540906554302211</v>
      </c>
      <c r="AL88" s="20">
        <f t="shared" si="58"/>
        <v>650.12920889874385</v>
      </c>
      <c r="AM88" s="59">
        <f t="shared" si="59"/>
        <v>922.75166962702542</v>
      </c>
      <c r="AN88" s="59">
        <f ca="1">AVERAGE(OFFSET($AM$3,0,0,'Données projet'!$E$10+1,1))-AVERAGE(OFFSET($H$3,0,0,'Données projet'!$E$10+1,1))</f>
        <v>752.45542076695506</v>
      </c>
      <c r="AO88" s="59">
        <f t="shared" si="90"/>
        <v>329.70629768420724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24.211999178994084</v>
      </c>
      <c r="AV88" s="21">
        <f>EXP(-LN(2)/25)*AV87+(1-EXP(-LN(2)/25))/(LN(2)/25)*Calculateur!AQ88*Calculateur!AS88*VLOOKUP('Données projet'!$B$10,Paramètres!$A$1:$I$89,3,0)*0.475*44/12</f>
        <v>32.241906213787985</v>
      </c>
      <c r="AW88" s="21">
        <f>EXP(-LN(2)/2)*AW87+(1-EXP(-LN(2)/2))/(LN(2)/2)*AQ88*AT88*VLOOKUP('Données projet'!$B$10,Paramètres!$A$1:$I$89,3,0)*0.475*44/12</f>
        <v>4.6281387740899183</v>
      </c>
      <c r="AX88" s="21">
        <f t="shared" si="60"/>
        <v>61.082044166871988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9.1730000000000018</v>
      </c>
      <c r="BD88" s="12">
        <f>IF('Données projet'!$A$88&gt;35,BD87+BC88-BL87,IF(A88&lt;'Données projet'!$A$88,$BA$205^A88,IF(A88='Données projet'!$A$88,'Données projet'!$B$88,BD87+BC88-BL87)))</f>
        <v>297.57300000000049</v>
      </c>
      <c r="BE88" s="13">
        <f>BD88*VLOOKUP('Données projet'!$B$11,Paramètres!$A$1:$I$89,3,0)*VLOOKUP('Données projet'!$B$11,Paramètres!$A$1:$I$89,5,0)</f>
        <v>269.24405040000045</v>
      </c>
      <c r="BF88" s="13">
        <f t="shared" si="91"/>
        <v>64.688811534365087</v>
      </c>
      <c r="BG88" s="20">
        <f t="shared" si="61"/>
        <v>581.59973453568659</v>
      </c>
      <c r="BH88" s="59">
        <f t="shared" si="62"/>
        <v>854.22219526396816</v>
      </c>
      <c r="BI88" s="59">
        <f ca="1">AVERAGE(OFFSET($BH$3,0,0,'Données projet'!$E$11+1,1))-AVERAGE(OFFSET($H$3,0,0,'Données projet'!$E$11+1,1))</f>
        <v>681.47578137804555</v>
      </c>
      <c r="BJ88" s="59">
        <f t="shared" si="92"/>
        <v>300.88511065995885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21.604553113563949</v>
      </c>
      <c r="BQ88" s="21">
        <f>EXP(-LN(2)/25)*BQ87+(1-EXP(-LN(2)/25))/(LN(2)/25)*Calculateur!BL88*Calculateur!BN88*VLOOKUP('Données projet'!$B$11,Paramètres!$A$1:$I$89,3,0)*0.475*44/12</f>
        <v>28.7697009292262</v>
      </c>
      <c r="BR88" s="21">
        <f>EXP(-LN(2)/2)*BR87+(1-EXP(-LN(2)/2))/(LN(2)/2)*BL88*BO88*VLOOKUP('Données projet'!$B$11,Paramètres!$A$1:$I$89,3,0)*0.475*44/12</f>
        <v>4.1297238291879266</v>
      </c>
      <c r="BS88" s="22">
        <f t="shared" si="63"/>
        <v>54.503977871978073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>
        <f>VLOOKUP(A88,'Données projet'!$A$113:$I$133,2,0)</f>
        <v>276.28205128205127</v>
      </c>
      <c r="BW88" s="12">
        <f>VLOOKUP(A88,'Données projet'!$A$113:$I$133,9,0)</f>
        <v>4.1025641025640995</v>
      </c>
      <c r="BX88" s="12">
        <f t="array" ref="BX88">INDEX(BW:BW,MIN(IF(ISNUMBER(BW88:BW284),ROW(BW88:BW284),"")))</f>
        <v>4.1025641025640995</v>
      </c>
      <c r="BY88" s="12">
        <f>IF('Données projet'!$A$114&gt;35,BY87+BX88-CG87,IF(A88&lt;'Données projet'!$A$114,$BV$205^A88,IF(A88='Données projet'!$A$114,'Données projet'!$B$114,BY87+BX88-CG87)))</f>
        <v>276.28205128205133</v>
      </c>
      <c r="BZ88" s="13">
        <f>BY88*VLOOKUP('Données projet'!$B$12,Paramètres!$A$1:$I$89,3,0)*VLOOKUP('Données projet'!$B$12,Paramètres!$A$1:$I$89,5,0)</f>
        <v>185.33000000000004</v>
      </c>
      <c r="CA88" s="13">
        <f t="shared" si="93"/>
        <v>46.505991525491268</v>
      </c>
      <c r="CB88" s="20">
        <f t="shared" si="64"/>
        <v>403.78101857356393</v>
      </c>
      <c r="CC88" s="59">
        <f t="shared" si="65"/>
        <v>676.40347930184544</v>
      </c>
      <c r="CD88" s="59">
        <f ca="1">AVERAGE(OFFSET($CC$3,0,0,'Données projet'!$E$12+1,1))-AVERAGE(OFFSET($H$3,0,0,'Données projet'!$E$12+1,1))</f>
        <v>335.73816489539837</v>
      </c>
      <c r="CE88" s="59">
        <f t="shared" si="94"/>
        <v>254.09787950201044</v>
      </c>
      <c r="CF88" s="15">
        <f>IF(ISNA(VLOOKUP(A88,'Données projet'!$A$113:$I$133,3,0)),0,VLOOKUP(A88,'Données projet'!$A$113:$I$133,3,0))</f>
        <v>15</v>
      </c>
      <c r="CG88" s="15">
        <f>IF(ISNA(VLOOKUP(A88,'Données projet'!$A$113:$I$133,4,0)),0,VLOOKUP(A88,'Données projet'!$A$113:$I$133,4,0))</f>
        <v>12.179487179487179</v>
      </c>
      <c r="CH88" s="16">
        <f>IF(ISNA(VLOOKUP(A88,'Données projet'!$A$113:$I$133,5,0)),0%,VLOOKUP(A88,'Données projet'!$A$113:$I$133,5,0)*VLOOKUP('Données projet'!$B$12,Paramètres!$A$1:$I$89,7,0))</f>
        <v>0.13250000000000001</v>
      </c>
      <c r="CI88" s="16">
        <f>IF(ISNA(VLOOKUP(A88,'Données projet'!$A$113:$I$133,6,0)),0%,VLOOKUP(A88,'Données projet'!$A$113:$I$133,6,0)*VLOOKUP('Données projet'!$B$12,Paramètres!$A$1:$I$89,7,0))</f>
        <v>0.13250000000000001</v>
      </c>
      <c r="CJ88" s="16">
        <f>IF(ISNA(VLOOKUP(A88,'Données projet'!$A$113:$I$133,7,0)),0%,VLOOKUP(A88,'Données projet'!$A$113:$I$133,7,0))</f>
        <v>0.25</v>
      </c>
      <c r="CK88" s="21">
        <f>EXP(-LN(2)/35)*CK87+(1-EXP(-LN(2)/35))/(LN(2)/35)*CG88*CH88*VLOOKUP('Données projet'!$B$12,Paramètres!$A$1:$I$89,3,0)*0.475*44/12</f>
        <v>6.2252337804445341</v>
      </c>
      <c r="CL88" s="21">
        <f>EXP(-LN(2)/25)*CL87+(1-EXP(-LN(2)/25))/(LN(2)/25)*Calculateur!CG88*Calculateur!CI88*VLOOKUP('Données projet'!$B$12,Paramètres!$A$1:$I$89,3,0)*0.475*44/12</f>
        <v>9.3930834056460046</v>
      </c>
      <c r="CM88" s="21">
        <f>EXP(-LN(2)/2)*CM87+(1-EXP(-LN(2)/2))/(LN(2)/2)*CG88*CJ88*VLOOKUP('Données projet'!$B$12,Paramètres!$A$1:$I$89,3,0)*0.475*44/12</f>
        <v>2.3672237259454016</v>
      </c>
      <c r="CN88" s="22">
        <f t="shared" si="66"/>
        <v>17.98554091203594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1.1368683772161603E-13</v>
      </c>
      <c r="CU88" s="17">
        <f>CT88*VLOOKUP('Données projet'!$B$13,Paramètres!$A$1:$I$89,3,0)*VLOOKUP('Données projet'!$B$13,Paramètres!$A$1:$I$89,5,0)</f>
        <v>6.7984728957526396E-14</v>
      </c>
      <c r="CV88" s="13">
        <f t="shared" si="95"/>
        <v>1.0682447123141398E-12</v>
      </c>
      <c r="CW88" s="20">
        <f t="shared" si="67"/>
        <v>1.978932943548152E-12</v>
      </c>
      <c r="CX88" s="59">
        <f t="shared" si="68"/>
        <v>272.6224607282835</v>
      </c>
      <c r="CY88" s="59">
        <f ca="1">AVERAGE(OFFSET($CX$3,0,0,'Données projet'!$E$13+1,1))-AVERAGE(OFFSET($H$3,0,0,'Données projet'!$E$13+1,1))</f>
        <v>318.50474972254085</v>
      </c>
      <c r="CZ88" s="59">
        <f t="shared" si="96"/>
        <v>326.45858332753562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84.641669960017964</v>
      </c>
      <c r="DG88" s="21">
        <f>EXP(-LN(2)/25)*DG87+(1-EXP(-LN(2)/25))/(LN(2)/25)*Calculateur!DB88*Calculateur!DD88*VLOOKUP('Données projet'!$B$13,Paramètres!$A$1:$I$89,3,0)*0.475*44/12</f>
        <v>24.220258881926103</v>
      </c>
      <c r="DH88" s="21">
        <f>EXP(-LN(2)/2)*DH87+(1-EXP(-LN(2)/2))/(LN(2)/2)*DB88*DE88*VLOOKUP('Données projet'!$B$13,Paramètres!$A$1:$I$89,3,0)*0.475*44/12</f>
        <v>1.0351353230010423E-2</v>
      </c>
      <c r="DI88" s="22">
        <f t="shared" si="69"/>
        <v>108.87228019517407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3">
        <f>'Scénario référence'!$B$16*5+'Scénario référence'!$B$17*0+'Scénario référence'!$B$18*5</f>
        <v>5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67">
        <f t="shared" si="56"/>
        <v>183.33333333333334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5.6843418860808015E-14</v>
      </c>
      <c r="O89" s="13">
        <f>N89*VLOOKUP('Données projet'!$B$9,Paramètres!$A$1:$I$89,3,0)*VLOOKUP('Données projet'!$B$9,Paramètres!$A$1:$I$89,5,0)</f>
        <v>5.1431925385259088E-14</v>
      </c>
      <c r="P89" s="13">
        <f t="shared" si="87"/>
        <v>8.3482866290946129E-13</v>
      </c>
      <c r="Q89" s="20">
        <f t="shared" si="54"/>
        <v>1.5435705246133045E-12</v>
      </c>
      <c r="R89" s="59">
        <f t="shared" si="55"/>
        <v>272.98174806540624</v>
      </c>
      <c r="S89" s="59">
        <f ca="1">AVERAGE(OFFSET($R$3,0,0,'Données projet'!$E$9+1,1))-AVERAGE(OFFSET($H$3,0,0,'Données projet'!$E$9+1,1))</f>
        <v>214.60547318405733</v>
      </c>
      <c r="T89" s="59">
        <f t="shared" si="88"/>
        <v>306.35874106546646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6.9302243354275612</v>
      </c>
      <c r="AA89" s="21">
        <f>EXP(-LN(2)/25)*AA88+(1-EXP(-LN(2)/25))/(LN(2)/25)*Calculateur!V89*Calculateur!X89*VLOOKUP('Données projet'!$B$9,Paramètres!$A$1:$I$89,3,0)*0.475*44/12</f>
        <v>4.2407608931450076</v>
      </c>
      <c r="AB89" s="21">
        <f>EXP(-LN(2)/2)*AB88+(1-EXP(-LN(2)/2))/(LN(2)/2)*V89*Y89*VLOOKUP('Données projet'!$B$9,Paramètres!$A$1:$I$89,3,0)*0.475*44/12</f>
        <v>9.299678106208194E-6</v>
      </c>
      <c r="AC89" s="22">
        <f t="shared" si="57"/>
        <v>11.170994528250676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9.1730000000000018</v>
      </c>
      <c r="AI89" s="13">
        <f>IF('Données projet'!$A$62&gt;35,AI88+AH89-AQ88,IF(A89&lt;'Données projet'!$A$62,$AF$205^A89,IF(A89='Données projet'!$A$62,'Données projet'!$B$62,AI88+AH89-AQ88)))</f>
        <v>306.74600000000049</v>
      </c>
      <c r="AJ89" s="13">
        <f>AI89*VLOOKUP('Données projet'!$B$10,Paramètres!$A$1:$I$89,3,0)*VLOOKUP('Données projet'!$B$10,Paramètres!$A$1:$I$89,5,0)</f>
        <v>311.04044400000055</v>
      </c>
      <c r="AK89" s="13">
        <f t="shared" si="89"/>
        <v>73.486073899132336</v>
      </c>
      <c r="AL89" s="20">
        <f t="shared" si="58"/>
        <v>669.71701867432307</v>
      </c>
      <c r="AM89" s="59">
        <f t="shared" si="59"/>
        <v>942.69876673972772</v>
      </c>
      <c r="AN89" s="59">
        <f ca="1">AVERAGE(OFFSET($AM$3,0,0,'Données projet'!$E$10+1,1))-AVERAGE(OFFSET($H$3,0,0,'Données projet'!$E$10+1,1))</f>
        <v>752.45542076695506</v>
      </c>
      <c r="AO89" s="59">
        <f t="shared" si="90"/>
        <v>329.70629768420724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23.737216642955303</v>
      </c>
      <c r="AV89" s="21">
        <f>EXP(-LN(2)/25)*AV88+(1-EXP(-LN(2)/25))/(LN(2)/25)*Calculateur!AQ89*Calculateur!AS89*VLOOKUP('Données projet'!$B$10,Paramètres!$A$1:$I$89,3,0)*0.475*44/12</f>
        <v>31.360249592843793</v>
      </c>
      <c r="AW89" s="21">
        <f>EXP(-LN(2)/2)*AW88+(1-EXP(-LN(2)/2))/(LN(2)/2)*AQ89*AT89*VLOOKUP('Données projet'!$B$10,Paramètres!$A$1:$I$89,3,0)*0.475*44/12</f>
        <v>3.2725883114313765</v>
      </c>
      <c r="AX89" s="21">
        <f t="shared" si="60"/>
        <v>58.370054547230474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9.1730000000000018</v>
      </c>
      <c r="BD89" s="12">
        <f>IF('Données projet'!$A$88&gt;35,BD88+BC89-BL88,IF(A89&lt;'Données projet'!$A$88,$BA$205^A89,IF(A89='Données projet'!$A$88,'Données projet'!$B$88,BD88+BC89-BL88)))</f>
        <v>306.74600000000049</v>
      </c>
      <c r="BE89" s="13">
        <f>BD89*VLOOKUP('Données projet'!$B$11,Paramètres!$A$1:$I$89,3,0)*VLOOKUP('Données projet'!$B$11,Paramètres!$A$1:$I$89,5,0)</f>
        <v>277.54378080000043</v>
      </c>
      <c r="BF89" s="13">
        <f t="shared" si="91"/>
        <v>66.447673279805883</v>
      </c>
      <c r="BG89" s="20">
        <f t="shared" si="61"/>
        <v>599.11844918899601</v>
      </c>
      <c r="BH89" s="59">
        <f t="shared" si="62"/>
        <v>872.10019725440065</v>
      </c>
      <c r="BI89" s="59">
        <f ca="1">AVERAGE(OFFSET($BH$3,0,0,'Données projet'!$E$11+1,1))-AVERAGE(OFFSET($H$3,0,0,'Données projet'!$E$11+1,1))</f>
        <v>681.47578137804555</v>
      </c>
      <c r="BJ89" s="59">
        <f t="shared" si="92"/>
        <v>300.88511065995885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21.180901004483189</v>
      </c>
      <c r="BQ89" s="21">
        <f>EXP(-LN(2)/25)*BQ88+(1-EXP(-LN(2)/25))/(LN(2)/25)*Calculateur!BL89*Calculateur!BN89*VLOOKUP('Données projet'!$B$11,Paramètres!$A$1:$I$89,3,0)*0.475*44/12</f>
        <v>27.982991944383691</v>
      </c>
      <c r="BR89" s="21">
        <f>EXP(-LN(2)/2)*BR88+(1-EXP(-LN(2)/2))/(LN(2)/2)*BL89*BO89*VLOOKUP('Données projet'!$B$11,Paramètres!$A$1:$I$89,3,0)*0.475*44/12</f>
        <v>2.9201557240464586</v>
      </c>
      <c r="BS89" s="22">
        <f t="shared" si="63"/>
        <v>52.08404867291334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3.8461538461538454</v>
      </c>
      <c r="BY89" s="12">
        <f>IF('Données projet'!$A$114&gt;35,BY88+BX89-CG88,IF(A89&lt;'Données projet'!$A$114,$BV$205^A89,IF(A89='Données projet'!$A$114,'Données projet'!$B$114,BY88+BX89-CG88)))</f>
        <v>267.94871794871801</v>
      </c>
      <c r="BZ89" s="13">
        <f>BY89*VLOOKUP('Données projet'!$B$12,Paramètres!$A$1:$I$89,3,0)*VLOOKUP('Données projet'!$B$12,Paramètres!$A$1:$I$89,5,0)</f>
        <v>179.74000000000004</v>
      </c>
      <c r="CA89" s="13">
        <f t="shared" si="93"/>
        <v>45.264336091309922</v>
      </c>
      <c r="CB89" s="20">
        <f t="shared" si="64"/>
        <v>391.8825520256982</v>
      </c>
      <c r="CC89" s="59">
        <f t="shared" si="65"/>
        <v>664.8643000911029</v>
      </c>
      <c r="CD89" s="59">
        <f ca="1">AVERAGE(OFFSET($CC$3,0,0,'Données projet'!$E$12+1,1))-AVERAGE(OFFSET($H$3,0,0,'Données projet'!$E$12+1,1))</f>
        <v>335.73816489539837</v>
      </c>
      <c r="CE89" s="59">
        <f t="shared" si="94"/>
        <v>254.09787950201044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6.1031607430276988</v>
      </c>
      <c r="CL89" s="21">
        <f>EXP(-LN(2)/25)*CL88+(1-EXP(-LN(2)/25))/(LN(2)/25)*Calculateur!CG89*Calculateur!CI89*VLOOKUP('Données projet'!$B$12,Paramètres!$A$1:$I$89,3,0)*0.475*44/12</f>
        <v>9.1362290459578261</v>
      </c>
      <c r="CM89" s="21">
        <f>EXP(-LN(2)/2)*CM88+(1-EXP(-LN(2)/2))/(LN(2)/2)*CG89*CJ89*VLOOKUP('Données projet'!$B$12,Paramètres!$A$1:$I$89,3,0)*0.475*44/12</f>
        <v>1.6738799492016789</v>
      </c>
      <c r="CN89" s="22">
        <f t="shared" si="66"/>
        <v>16.913269738187203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1.1368683772161603E-13</v>
      </c>
      <c r="CU89" s="17">
        <f>CT89*VLOOKUP('Données projet'!$B$13,Paramètres!$A$1:$I$89,3,0)*VLOOKUP('Données projet'!$B$13,Paramètres!$A$1:$I$89,5,0)</f>
        <v>6.7984728957526396E-14</v>
      </c>
      <c r="CV89" s="13">
        <f t="shared" si="95"/>
        <v>1.0682447123141398E-12</v>
      </c>
      <c r="CW89" s="20">
        <f t="shared" si="67"/>
        <v>1.978932943548152E-12</v>
      </c>
      <c r="CX89" s="59">
        <f t="shared" si="68"/>
        <v>272.98174806540669</v>
      </c>
      <c r="CY89" s="59">
        <f ca="1">AVERAGE(OFFSET($CX$3,0,0,'Données projet'!$E$13+1,1))-AVERAGE(OFFSET($H$3,0,0,'Données projet'!$E$13+1,1))</f>
        <v>318.50474972254085</v>
      </c>
      <c r="CZ89" s="59">
        <f t="shared" si="96"/>
        <v>326.45858332753562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82.981898438423016</v>
      </c>
      <c r="DG89" s="21">
        <f>EXP(-LN(2)/25)*DG88+(1-EXP(-LN(2)/25))/(LN(2)/25)*Calculateur!DB89*Calculateur!DD89*VLOOKUP('Données projet'!$B$13,Paramètres!$A$1:$I$89,3,0)*0.475*44/12</f>
        <v>23.557954629111777</v>
      </c>
      <c r="DH89" s="21">
        <f>EXP(-LN(2)/2)*DH88+(1-EXP(-LN(2)/2))/(LN(2)/2)*DB89*DE89*VLOOKUP('Données projet'!$B$13,Paramètres!$A$1:$I$89,3,0)*0.475*44/12</f>
        <v>7.3195120633976424E-3</v>
      </c>
      <c r="DI89" s="22">
        <f t="shared" si="69"/>
        <v>106.5471725795982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3">
        <f>'Scénario référence'!$B$16*5+'Scénario référence'!$B$17*0+'Scénario référence'!$B$18*5</f>
        <v>5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67">
        <f t="shared" si="56"/>
        <v>183.33333333333334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5.6843418860808015E-14</v>
      </c>
      <c r="O90" s="13">
        <f>N90*VLOOKUP('Données projet'!$B$9,Paramètres!$A$1:$I$89,3,0)*VLOOKUP('Données projet'!$B$9,Paramètres!$A$1:$I$89,5,0)</f>
        <v>5.1431925385259088E-14</v>
      </c>
      <c r="P90" s="13">
        <f t="shared" si="87"/>
        <v>8.3482866290946129E-13</v>
      </c>
      <c r="Q90" s="20">
        <f t="shared" si="54"/>
        <v>1.5435705246133045E-12</v>
      </c>
      <c r="R90" s="59">
        <f t="shared" si="55"/>
        <v>273.33480257047637</v>
      </c>
      <c r="S90" s="59">
        <f ca="1">AVERAGE(OFFSET($R$3,0,0,'Données projet'!$E$9+1,1))-AVERAGE(OFFSET($H$3,0,0,'Données projet'!$E$9+1,1))</f>
        <v>214.60547318405733</v>
      </c>
      <c r="T90" s="59">
        <f t="shared" si="88"/>
        <v>306.35874106546646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6.7943268632292879</v>
      </c>
      <c r="AA90" s="21">
        <f>EXP(-LN(2)/25)*AA89+(1-EXP(-LN(2)/25))/(LN(2)/25)*Calculateur!V90*Calculateur!X90*VLOOKUP('Données projet'!$B$9,Paramètres!$A$1:$I$89,3,0)*0.475*44/12</f>
        <v>4.1247970635100346</v>
      </c>
      <c r="AB90" s="21">
        <f>EXP(-LN(2)/2)*AB89+(1-EXP(-LN(2)/2))/(LN(2)/2)*V90*Y90*VLOOKUP('Données projet'!$B$9,Paramètres!$A$1:$I$89,3,0)*0.475*44/12</f>
        <v>6.5758654517518842E-6</v>
      </c>
      <c r="AC90" s="22">
        <f t="shared" si="57"/>
        <v>10.919130502604775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9.1730000000000018</v>
      </c>
      <c r="AI90" s="13">
        <f>IF('Données projet'!$A$62&gt;35,AI89+AH90-AQ89,IF(A90&lt;'Données projet'!$A$62,$AF$205^A90,IF(A90='Données projet'!$A$62,'Données projet'!$B$62,AI89+AH90-AQ89)))</f>
        <v>315.91900000000049</v>
      </c>
      <c r="AJ90" s="13">
        <f>AI90*VLOOKUP('Données projet'!$B$10,Paramètres!$A$1:$I$89,3,0)*VLOOKUP('Données projet'!$B$10,Paramètres!$A$1:$I$89,5,0)</f>
        <v>320.34186600000049</v>
      </c>
      <c r="AK90" s="13">
        <f t="shared" si="89"/>
        <v>75.424481111671</v>
      </c>
      <c r="AL90" s="20">
        <f t="shared" si="58"/>
        <v>689.29305455282781</v>
      </c>
      <c r="AM90" s="59">
        <f t="shared" si="59"/>
        <v>962.62785712330265</v>
      </c>
      <c r="AN90" s="59">
        <f ca="1">AVERAGE(OFFSET($AM$3,0,0,'Données projet'!$E$10+1,1))-AVERAGE(OFFSET($H$3,0,0,'Données projet'!$E$10+1,1))</f>
        <v>752.45542076695506</v>
      </c>
      <c r="AO90" s="59">
        <f t="shared" si="90"/>
        <v>329.70629768420724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23.271744302859492</v>
      </c>
      <c r="AV90" s="21">
        <f>EXP(-LN(2)/25)*AV89+(1-EXP(-LN(2)/25))/(LN(2)/25)*Calculateur!AQ90*Calculateur!AS90*VLOOKUP('Données projet'!$B$10,Paramètres!$A$1:$I$89,3,0)*0.475*44/12</f>
        <v>30.502701918563627</v>
      </c>
      <c r="AW90" s="21">
        <f>EXP(-LN(2)/2)*AW89+(1-EXP(-LN(2)/2))/(LN(2)/2)*AQ90*AT90*VLOOKUP('Données projet'!$B$10,Paramètres!$A$1:$I$89,3,0)*0.475*44/12</f>
        <v>2.3140693870449596</v>
      </c>
      <c r="AX90" s="21">
        <f t="shared" si="60"/>
        <v>56.088515608468079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9.1730000000000018</v>
      </c>
      <c r="BD90" s="12">
        <f>IF('Données projet'!$A$88&gt;35,BD89+BC90-BL89,IF(A90&lt;'Données projet'!$A$88,$BA$205^A90,IF(A90='Données projet'!$A$88,'Données projet'!$B$88,BD89+BC90-BL89)))</f>
        <v>315.91900000000049</v>
      </c>
      <c r="BE90" s="13">
        <f>BD90*VLOOKUP('Données projet'!$B$11,Paramètres!$A$1:$I$89,3,0)*VLOOKUP('Données projet'!$B$11,Paramètres!$A$1:$I$89,5,0)</f>
        <v>285.84351120000042</v>
      </c>
      <c r="BF90" s="13">
        <f t="shared" si="91"/>
        <v>68.200422369637309</v>
      </c>
      <c r="BG90" s="20">
        <f t="shared" si="61"/>
        <v>616.62651763378562</v>
      </c>
      <c r="BH90" s="59">
        <f t="shared" si="62"/>
        <v>889.96132020426046</v>
      </c>
      <c r="BI90" s="59">
        <f ca="1">AVERAGE(OFFSET($BH$3,0,0,'Données projet'!$E$11+1,1))-AVERAGE(OFFSET($H$3,0,0,'Données projet'!$E$11+1,1))</f>
        <v>681.47578137804555</v>
      </c>
      <c r="BJ90" s="59">
        <f t="shared" si="92"/>
        <v>300.88511065995885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20.765556454859233</v>
      </c>
      <c r="BQ90" s="21">
        <f>EXP(-LN(2)/25)*BQ89+(1-EXP(-LN(2)/25))/(LN(2)/25)*Calculateur!BL90*Calculateur!BN90*VLOOKUP('Données projet'!$B$11,Paramètres!$A$1:$I$89,3,0)*0.475*44/12</f>
        <v>27.217795558102928</v>
      </c>
      <c r="BR90" s="21">
        <f>EXP(-LN(2)/2)*BR89+(1-EXP(-LN(2)/2))/(LN(2)/2)*BL90*BO90*VLOOKUP('Données projet'!$B$11,Paramètres!$A$1:$I$89,3,0)*0.475*44/12</f>
        <v>2.0648619145939637</v>
      </c>
      <c r="BS90" s="22">
        <f t="shared" si="63"/>
        <v>50.04821392755612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3.8461538461538454</v>
      </c>
      <c r="BY90" s="12">
        <f>IF('Données projet'!$A$114&gt;35,BY89+BX90-CG89,IF(A90&lt;'Données projet'!$A$114,$BV$205^A90,IF(A90='Données projet'!$A$114,'Données projet'!$B$114,BY89+BX90-CG89)))</f>
        <v>271.79487179487188</v>
      </c>
      <c r="BZ90" s="13">
        <f>BY90*VLOOKUP('Données projet'!$B$12,Paramètres!$A$1:$I$89,3,0)*VLOOKUP('Données projet'!$B$12,Paramètres!$A$1:$I$89,5,0)</f>
        <v>182.32000000000005</v>
      </c>
      <c r="CA90" s="13">
        <f t="shared" si="93"/>
        <v>45.837958080870081</v>
      </c>
      <c r="CB90" s="20">
        <f t="shared" si="64"/>
        <v>397.37511032418206</v>
      </c>
      <c r="CC90" s="59">
        <f t="shared" si="65"/>
        <v>670.7099128946569</v>
      </c>
      <c r="CD90" s="59">
        <f ca="1">AVERAGE(OFFSET($CC$3,0,0,'Données projet'!$E$12+1,1))-AVERAGE(OFFSET($H$3,0,0,'Données projet'!$E$12+1,1))</f>
        <v>335.73816489539837</v>
      </c>
      <c r="CE90" s="59">
        <f t="shared" si="94"/>
        <v>254.09787950201044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5.9834814834174068</v>
      </c>
      <c r="CL90" s="21">
        <f>EXP(-LN(2)/25)*CL89+(1-EXP(-LN(2)/25))/(LN(2)/25)*Calculateur!CG90*Calculateur!CI90*VLOOKUP('Données projet'!$B$12,Paramètres!$A$1:$I$89,3,0)*0.475*44/12</f>
        <v>8.8863983822427048</v>
      </c>
      <c r="CM90" s="21">
        <f>EXP(-LN(2)/2)*CM89+(1-EXP(-LN(2)/2))/(LN(2)/2)*CG90*CJ90*VLOOKUP('Données projet'!$B$12,Paramètres!$A$1:$I$89,3,0)*0.475*44/12</f>
        <v>1.183611862972701</v>
      </c>
      <c r="CN90" s="22">
        <f t="shared" si="66"/>
        <v>16.053491728632814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1.1368683772161603E-13</v>
      </c>
      <c r="CU90" s="17">
        <f>CT90*VLOOKUP('Données projet'!$B$13,Paramètres!$A$1:$I$89,3,0)*VLOOKUP('Données projet'!$B$13,Paramètres!$A$1:$I$89,5,0)</f>
        <v>6.7984728957526396E-14</v>
      </c>
      <c r="CV90" s="13">
        <f t="shared" si="95"/>
        <v>1.0682447123141398E-12</v>
      </c>
      <c r="CW90" s="20">
        <f t="shared" si="67"/>
        <v>1.978932943548152E-12</v>
      </c>
      <c r="CX90" s="59">
        <f t="shared" si="68"/>
        <v>273.33480257047682</v>
      </c>
      <c r="CY90" s="59">
        <f ca="1">AVERAGE(OFFSET($CX$3,0,0,'Données projet'!$E$13+1,1))-AVERAGE(OFFSET($H$3,0,0,'Données projet'!$E$13+1,1))</f>
        <v>318.50474972254085</v>
      </c>
      <c r="CZ90" s="59">
        <f t="shared" si="96"/>
        <v>326.45858332753562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81.354674024005874</v>
      </c>
      <c r="DG90" s="21">
        <f>EXP(-LN(2)/25)*DG89+(1-EXP(-LN(2)/25))/(LN(2)/25)*Calculateur!DB90*Calculateur!DD90*VLOOKUP('Données projet'!$B$13,Paramètres!$A$1:$I$89,3,0)*0.475*44/12</f>
        <v>22.913761120919723</v>
      </c>
      <c r="DH90" s="21">
        <f>EXP(-LN(2)/2)*DH89+(1-EXP(-LN(2)/2))/(LN(2)/2)*DB90*DE90*VLOOKUP('Données projet'!$B$13,Paramètres!$A$1:$I$89,3,0)*0.475*44/12</f>
        <v>5.1756766150052123E-3</v>
      </c>
      <c r="DI90" s="22">
        <f t="shared" si="69"/>
        <v>104.27361082154061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3">
        <f>'Scénario référence'!$B$16*5+'Scénario référence'!$B$17*0+'Scénario référence'!$B$18*5</f>
        <v>5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67">
        <f t="shared" si="56"/>
        <v>183.33333333333334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5.6843418860808015E-14</v>
      </c>
      <c r="O91" s="13">
        <f>N91*VLOOKUP('Données projet'!$B$9,Paramètres!$A$1:$I$89,3,0)*VLOOKUP('Données projet'!$B$9,Paramètres!$A$1:$I$89,5,0)</f>
        <v>5.1431925385259088E-14</v>
      </c>
      <c r="P91" s="13">
        <f t="shared" si="87"/>
        <v>8.3482866290946129E-13</v>
      </c>
      <c r="Q91" s="20">
        <f t="shared" si="54"/>
        <v>1.5435705246133045E-12</v>
      </c>
      <c r="R91" s="59">
        <f t="shared" si="55"/>
        <v>273.68173236919523</v>
      </c>
      <c r="S91" s="59">
        <f ca="1">AVERAGE(OFFSET($R$3,0,0,'Données projet'!$E$9+1,1))-AVERAGE(OFFSET($H$3,0,0,'Données projet'!$E$9+1,1))</f>
        <v>214.60547318405733</v>
      </c>
      <c r="T91" s="59">
        <f t="shared" si="88"/>
        <v>306.35874106546646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6.6610942575715493</v>
      </c>
      <c r="AA91" s="21">
        <f>EXP(-LN(2)/25)*AA90+(1-EXP(-LN(2)/25))/(LN(2)/25)*Calculateur!V91*Calculateur!X91*VLOOKUP('Données projet'!$B$9,Paramètres!$A$1:$I$89,3,0)*0.475*44/12</f>
        <v>4.0120042708947024</v>
      </c>
      <c r="AB91" s="21">
        <f>EXP(-LN(2)/2)*AB90+(1-EXP(-LN(2)/2))/(LN(2)/2)*V91*Y91*VLOOKUP('Données projet'!$B$9,Paramètres!$A$1:$I$89,3,0)*0.475*44/12</f>
        <v>4.649839053104097E-6</v>
      </c>
      <c r="AC91" s="22">
        <f t="shared" si="57"/>
        <v>10.673103178305304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9.1730000000000018</v>
      </c>
      <c r="AI91" s="13">
        <f>IF('Données projet'!$A$62&gt;35,AI90+AH91-AQ90,IF(A91&lt;'Données projet'!$A$62,$AF$205^A91,IF(A91='Données projet'!$A$62,'Données projet'!$B$62,AI90+AH91-AQ90)))</f>
        <v>325.0920000000005</v>
      </c>
      <c r="AJ91" s="13">
        <f>AI91*VLOOKUP('Données projet'!$B$10,Paramètres!$A$1:$I$89,3,0)*VLOOKUP('Données projet'!$B$10,Paramètres!$A$1:$I$89,5,0)</f>
        <v>329.64328800000055</v>
      </c>
      <c r="AK91" s="13">
        <f t="shared" si="89"/>
        <v>77.356347018802538</v>
      </c>
      <c r="AL91" s="20">
        <f t="shared" si="58"/>
        <v>708.85769765774864</v>
      </c>
      <c r="AM91" s="59">
        <f t="shared" si="59"/>
        <v>982.53943002694234</v>
      </c>
      <c r="AN91" s="59">
        <f ca="1">AVERAGE(OFFSET($AM$3,0,0,'Données projet'!$E$10+1,1))-AVERAGE(OFFSET($H$3,0,0,'Données projet'!$E$10+1,1))</f>
        <v>752.45542076695506</v>
      </c>
      <c r="AO91" s="59">
        <f t="shared" si="90"/>
        <v>329.70629768420724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22.815399591442866</v>
      </c>
      <c r="AV91" s="21">
        <f>EXP(-LN(2)/25)*AV90+(1-EXP(-LN(2)/25))/(LN(2)/25)*Calculateur!AQ91*Calculateur!AS91*VLOOKUP('Données projet'!$B$10,Paramètres!$A$1:$I$89,3,0)*0.475*44/12</f>
        <v>29.668603930533127</v>
      </c>
      <c r="AW91" s="21">
        <f>EXP(-LN(2)/2)*AW90+(1-EXP(-LN(2)/2))/(LN(2)/2)*AQ91*AT91*VLOOKUP('Données projet'!$B$10,Paramètres!$A$1:$I$89,3,0)*0.475*44/12</f>
        <v>1.6362941557156885</v>
      </c>
      <c r="AX91" s="21">
        <f t="shared" si="60"/>
        <v>54.120297677691681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9.1730000000000018</v>
      </c>
      <c r="BD91" s="12">
        <f>IF('Données projet'!$A$88&gt;35,BD90+BC91-BL90,IF(A91&lt;'Données projet'!$A$88,$BA$205^A91,IF(A91='Données projet'!$A$88,'Données projet'!$B$88,BD90+BC91-BL90)))</f>
        <v>325.0920000000005</v>
      </c>
      <c r="BE91" s="13">
        <f>BD91*VLOOKUP('Données projet'!$B$11,Paramètres!$A$1:$I$89,3,0)*VLOOKUP('Données projet'!$B$11,Paramètres!$A$1:$I$89,5,0)</f>
        <v>294.14324160000047</v>
      </c>
      <c r="BF91" s="13">
        <f t="shared" si="91"/>
        <v>69.947256671789191</v>
      </c>
      <c r="BG91" s="20">
        <f t="shared" si="61"/>
        <v>634.12428449003357</v>
      </c>
      <c r="BH91" s="59">
        <f t="shared" si="62"/>
        <v>907.80601685922727</v>
      </c>
      <c r="BI91" s="59">
        <f ca="1">AVERAGE(OFFSET($BH$3,0,0,'Données projet'!$E$11+1,1))-AVERAGE(OFFSET($H$3,0,0,'Données projet'!$E$11+1,1))</f>
        <v>681.47578137804555</v>
      </c>
      <c r="BJ91" s="59">
        <f t="shared" si="92"/>
        <v>300.88511065995885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20.358356558518242</v>
      </c>
      <c r="BQ91" s="21">
        <f>EXP(-LN(2)/25)*BQ90+(1-EXP(-LN(2)/25))/(LN(2)/25)*Calculateur!BL91*Calculateur!BN91*VLOOKUP('Données projet'!$B$11,Paramètres!$A$1:$I$89,3,0)*0.475*44/12</f>
        <v>26.473523507244941</v>
      </c>
      <c r="BR91" s="21">
        <f>EXP(-LN(2)/2)*BR90+(1-EXP(-LN(2)/2))/(LN(2)/2)*BL91*BO91*VLOOKUP('Données projet'!$B$11,Paramètres!$A$1:$I$89,3,0)*0.475*44/12</f>
        <v>1.4600778620232295</v>
      </c>
      <c r="BS91" s="22">
        <f t="shared" si="63"/>
        <v>48.291957927786413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3.8461538461538454</v>
      </c>
      <c r="BY91" s="12">
        <f>IF('Données projet'!$A$114&gt;35,BY90+BX91-CG90,IF(A91&lt;'Données projet'!$A$114,$BV$205^A91,IF(A91='Données projet'!$A$114,'Données projet'!$B$114,BY90+BX91-CG90)))</f>
        <v>275.64102564102575</v>
      </c>
      <c r="BZ91" s="13">
        <f>BY91*VLOOKUP('Données projet'!$B$12,Paramètres!$A$1:$I$89,3,0)*VLOOKUP('Données projet'!$B$12,Paramètres!$A$1:$I$89,5,0)</f>
        <v>184.90000000000006</v>
      </c>
      <c r="CA91" s="13">
        <f t="shared" si="93"/>
        <v>46.410635962027911</v>
      </c>
      <c r="CB91" s="20">
        <f t="shared" si="64"/>
        <v>402.86602430053199</v>
      </c>
      <c r="CC91" s="59">
        <f t="shared" si="65"/>
        <v>676.54775666972569</v>
      </c>
      <c r="CD91" s="59">
        <f ca="1">AVERAGE(OFFSET($CC$3,0,0,'Données projet'!$E$12+1,1))-AVERAGE(OFFSET($H$3,0,0,'Données projet'!$E$12+1,1))</f>
        <v>335.73816489539837</v>
      </c>
      <c r="CE91" s="59">
        <f t="shared" si="94"/>
        <v>254.09787950201044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5.8661490610909315</v>
      </c>
      <c r="CL91" s="21">
        <f>EXP(-LN(2)/25)*CL90+(1-EXP(-LN(2)/25))/(LN(2)/25)*Calculateur!CG91*Calculateur!CI91*VLOOKUP('Données projet'!$B$12,Paramètres!$A$1:$I$89,3,0)*0.475*44/12</f>
        <v>8.6433993511648968</v>
      </c>
      <c r="CM91" s="21">
        <f>EXP(-LN(2)/2)*CM90+(1-EXP(-LN(2)/2))/(LN(2)/2)*CG91*CJ91*VLOOKUP('Données projet'!$B$12,Paramètres!$A$1:$I$89,3,0)*0.475*44/12</f>
        <v>0.83693997460083969</v>
      </c>
      <c r="CN91" s="22">
        <f t="shared" si="66"/>
        <v>15.346488386856668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1.1368683772161603E-13</v>
      </c>
      <c r="CU91" s="17">
        <f>CT91*VLOOKUP('Données projet'!$B$13,Paramètres!$A$1:$I$89,3,0)*VLOOKUP('Données projet'!$B$13,Paramètres!$A$1:$I$89,5,0)</f>
        <v>6.7984728957526396E-14</v>
      </c>
      <c r="CV91" s="13">
        <f t="shared" si="95"/>
        <v>1.0682447123141398E-12</v>
      </c>
      <c r="CW91" s="20">
        <f t="shared" si="67"/>
        <v>1.978932943548152E-12</v>
      </c>
      <c r="CX91" s="59">
        <f t="shared" si="68"/>
        <v>273.68173236919569</v>
      </c>
      <c r="CY91" s="59">
        <f ca="1">AVERAGE(OFFSET($CX$3,0,0,'Données projet'!$E$13+1,1))-AVERAGE(OFFSET($H$3,0,0,'Données projet'!$E$13+1,1))</f>
        <v>318.50474972254085</v>
      </c>
      <c r="CZ91" s="59">
        <f t="shared" si="96"/>
        <v>326.45858332753562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79.759358487846555</v>
      </c>
      <c r="DG91" s="21">
        <f>EXP(-LN(2)/25)*DG90+(1-EXP(-LN(2)/25))/(LN(2)/25)*Calculateur!DB91*Calculateur!DD91*VLOOKUP('Données projet'!$B$13,Paramètres!$A$1:$I$89,3,0)*0.475*44/12</f>
        <v>22.287183118085846</v>
      </c>
      <c r="DH91" s="21">
        <f>EXP(-LN(2)/2)*DH90+(1-EXP(-LN(2)/2))/(LN(2)/2)*DB91*DE91*VLOOKUP('Données projet'!$B$13,Paramètres!$A$1:$I$89,3,0)*0.475*44/12</f>
        <v>3.6597560316988216E-3</v>
      </c>
      <c r="DI91" s="22">
        <f t="shared" si="69"/>
        <v>102.0502013619641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3">
        <f>'Scénario référence'!$B$16*5+'Scénario référence'!$B$17*0+'Scénario référence'!$B$18*5</f>
        <v>5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67">
        <f t="shared" si="56"/>
        <v>183.33333333333334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5.6843418860808015E-14</v>
      </c>
      <c r="O92" s="13">
        <f>N92*VLOOKUP('Données projet'!$B$9,Paramètres!$A$1:$I$89,3,0)*VLOOKUP('Données projet'!$B$9,Paramètres!$A$1:$I$89,5,0)</f>
        <v>5.1431925385259088E-14</v>
      </c>
      <c r="P92" s="13">
        <f t="shared" si="87"/>
        <v>8.3482866290946129E-13</v>
      </c>
      <c r="Q92" s="20">
        <f t="shared" si="54"/>
        <v>1.5435705246133045E-12</v>
      </c>
      <c r="R92" s="59">
        <f t="shared" si="55"/>
        <v>274.02264371152512</v>
      </c>
      <c r="S92" s="59">
        <f ca="1">AVERAGE(OFFSET($R$3,0,0,'Données projet'!$E$9+1,1))-AVERAGE(OFFSET($H$3,0,0,'Données projet'!$E$9+1,1))</f>
        <v>214.60547318405733</v>
      </c>
      <c r="T92" s="59">
        <f t="shared" si="88"/>
        <v>306.35874106546646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6.5304742620468934</v>
      </c>
      <c r="AA92" s="21">
        <f>EXP(-LN(2)/25)*AA91+(1-EXP(-LN(2)/25))/(LN(2)/25)*Calculateur!V92*Calculateur!X92*VLOOKUP('Données projet'!$B$9,Paramètres!$A$1:$I$89,3,0)*0.475*44/12</f>
        <v>3.9022958031249515</v>
      </c>
      <c r="AB92" s="21">
        <f>EXP(-LN(2)/2)*AB91+(1-EXP(-LN(2)/2))/(LN(2)/2)*V92*Y92*VLOOKUP('Données projet'!$B$9,Paramètres!$A$1:$I$89,3,0)*0.475*44/12</f>
        <v>3.2879327258759421E-6</v>
      </c>
      <c r="AC92" s="22">
        <f t="shared" si="57"/>
        <v>10.432773353104571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9.1730000000000018</v>
      </c>
      <c r="AI92" s="13">
        <f>IF('Données projet'!$A$62&gt;35,AI91+AH92-AQ91,IF(A92&lt;'Données projet'!$A$62,$AF$205^A92,IF(A92='Données projet'!$A$62,'Données projet'!$B$62,AI91+AH92-AQ91)))</f>
        <v>334.2650000000005</v>
      </c>
      <c r="AJ92" s="13">
        <f>AI92*VLOOKUP('Données projet'!$B$10,Paramètres!$A$1:$I$89,3,0)*VLOOKUP('Données projet'!$B$10,Paramètres!$A$1:$I$89,5,0)</f>
        <v>338.9447100000005</v>
      </c>
      <c r="AK92" s="13">
        <f t="shared" si="89"/>
        <v>79.281877395777414</v>
      </c>
      <c r="AL92" s="20">
        <f t="shared" si="58"/>
        <v>728.41130638097991</v>
      </c>
      <c r="AM92" s="59">
        <f t="shared" si="59"/>
        <v>1002.4339500925034</v>
      </c>
      <c r="AN92" s="59">
        <f ca="1">AVERAGE(OFFSET($AM$3,0,0,'Données projet'!$E$10+1,1))-AVERAGE(OFFSET($H$3,0,0,'Données projet'!$E$10+1,1))</f>
        <v>752.45542076695506</v>
      </c>
      <c r="AO92" s="59">
        <f t="shared" si="90"/>
        <v>329.70629768420724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22.368003521474328</v>
      </c>
      <c r="AV92" s="21">
        <f>EXP(-LN(2)/25)*AV91+(1-EXP(-LN(2)/25))/(LN(2)/25)*Calculateur!AQ92*Calculateur!AS92*VLOOKUP('Données projet'!$B$10,Paramètres!$A$1:$I$89,3,0)*0.475*44/12</f>
        <v>28.857314395848626</v>
      </c>
      <c r="AW92" s="21">
        <f>EXP(-LN(2)/2)*AW91+(1-EXP(-LN(2)/2))/(LN(2)/2)*AQ92*AT92*VLOOKUP('Données projet'!$B$10,Paramètres!$A$1:$I$89,3,0)*0.475*44/12</f>
        <v>1.15703469352248</v>
      </c>
      <c r="AX92" s="21">
        <f t="shared" si="60"/>
        <v>52.382352610845437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9.1730000000000018</v>
      </c>
      <c r="BD92" s="12">
        <f>IF('Données projet'!$A$88&gt;35,BD91+BC92-BL91,IF(A92&lt;'Données projet'!$A$88,$BA$205^A92,IF(A92='Données projet'!$A$88,'Données projet'!$B$88,BD91+BC92-BL91)))</f>
        <v>334.2650000000005</v>
      </c>
      <c r="BE92" s="13">
        <f>BD92*VLOOKUP('Données projet'!$B$11,Paramètres!$A$1:$I$89,3,0)*VLOOKUP('Données projet'!$B$11,Paramètres!$A$1:$I$89,5,0)</f>
        <v>302.44297200000045</v>
      </c>
      <c r="BF92" s="13">
        <f t="shared" si="91"/>
        <v>71.688362252626035</v>
      </c>
      <c r="BG92" s="20">
        <f t="shared" si="61"/>
        <v>651.61207382332452</v>
      </c>
      <c r="BH92" s="59">
        <f t="shared" si="62"/>
        <v>925.63471753484805</v>
      </c>
      <c r="BI92" s="59">
        <f ca="1">AVERAGE(OFFSET($BH$3,0,0,'Données projet'!$E$11+1,1))-AVERAGE(OFFSET($H$3,0,0,'Données projet'!$E$11+1,1))</f>
        <v>681.47578137804555</v>
      </c>
      <c r="BJ92" s="59">
        <f t="shared" si="92"/>
        <v>300.88511065995885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19.959141603777088</v>
      </c>
      <c r="BQ92" s="21">
        <f>EXP(-LN(2)/25)*BQ91+(1-EXP(-LN(2)/25))/(LN(2)/25)*Calculateur!BL92*Calculateur!BN92*VLOOKUP('Données projet'!$B$11,Paramètres!$A$1:$I$89,3,0)*0.475*44/12</f>
        <v>25.749603614757234</v>
      </c>
      <c r="BR92" s="21">
        <f>EXP(-LN(2)/2)*BR91+(1-EXP(-LN(2)/2))/(LN(2)/2)*BL92*BO92*VLOOKUP('Données projet'!$B$11,Paramètres!$A$1:$I$89,3,0)*0.475*44/12</f>
        <v>1.0324309572969819</v>
      </c>
      <c r="BS92" s="22">
        <f t="shared" si="63"/>
        <v>46.741176175831299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3.8461538461538454</v>
      </c>
      <c r="BY92" s="12">
        <f>IF('Données projet'!$A$114&gt;35,BY91+BX92-CG91,IF(A92&lt;'Données projet'!$A$114,$BV$205^A92,IF(A92='Données projet'!$A$114,'Données projet'!$B$114,BY91+BX92-CG91)))</f>
        <v>279.48717948717962</v>
      </c>
      <c r="BZ92" s="13">
        <f>BY92*VLOOKUP('Données projet'!$B$12,Paramètres!$A$1:$I$89,3,0)*VLOOKUP('Données projet'!$B$12,Paramètres!$A$1:$I$89,5,0)</f>
        <v>187.4800000000001</v>
      </c>
      <c r="CA92" s="13">
        <f t="shared" si="93"/>
        <v>46.982384430819423</v>
      </c>
      <c r="CB92" s="20">
        <f t="shared" si="64"/>
        <v>408.35531955034395</v>
      </c>
      <c r="CC92" s="59">
        <f t="shared" si="65"/>
        <v>682.37796326186754</v>
      </c>
      <c r="CD92" s="59">
        <f ca="1">AVERAGE(OFFSET($CC$3,0,0,'Données projet'!$E$12+1,1))-AVERAGE(OFFSET($H$3,0,0,'Données projet'!$E$12+1,1))</f>
        <v>335.73816489539837</v>
      </c>
      <c r="CE92" s="59">
        <f t="shared" si="94"/>
        <v>254.09787950201044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5.7511174560005678</v>
      </c>
      <c r="CL92" s="21">
        <f>EXP(-LN(2)/25)*CL91+(1-EXP(-LN(2)/25))/(LN(2)/25)*Calculateur!CG92*Calculateur!CI92*VLOOKUP('Données projet'!$B$12,Paramètres!$A$1:$I$89,3,0)*0.475*44/12</f>
        <v>8.4070451413706753</v>
      </c>
      <c r="CM92" s="21">
        <f>EXP(-LN(2)/2)*CM91+(1-EXP(-LN(2)/2))/(LN(2)/2)*CG92*CJ92*VLOOKUP('Données projet'!$B$12,Paramètres!$A$1:$I$89,3,0)*0.475*44/12</f>
        <v>0.59180593148635063</v>
      </c>
      <c r="CN92" s="22">
        <f t="shared" si="66"/>
        <v>14.749968528857593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1.1368683772161603E-13</v>
      </c>
      <c r="CU92" s="17">
        <f>CT92*VLOOKUP('Données projet'!$B$13,Paramètres!$A$1:$I$89,3,0)*VLOOKUP('Données projet'!$B$13,Paramètres!$A$1:$I$89,5,0)</f>
        <v>6.7984728957526396E-14</v>
      </c>
      <c r="CV92" s="13">
        <f t="shared" si="95"/>
        <v>1.0682447123141398E-12</v>
      </c>
      <c r="CW92" s="20">
        <f t="shared" si="67"/>
        <v>1.978932943548152E-12</v>
      </c>
      <c r="CX92" s="59">
        <f t="shared" si="68"/>
        <v>274.02264371152557</v>
      </c>
      <c r="CY92" s="59">
        <f ca="1">AVERAGE(OFFSET($CX$3,0,0,'Données projet'!$E$13+1,1))-AVERAGE(OFFSET($H$3,0,0,'Données projet'!$E$13+1,1))</f>
        <v>318.50474972254085</v>
      </c>
      <c r="CZ92" s="59">
        <f t="shared" si="96"/>
        <v>326.45858332753562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78.195326116304926</v>
      </c>
      <c r="DG92" s="21">
        <f>EXP(-LN(2)/25)*DG91+(1-EXP(-LN(2)/25))/(LN(2)/25)*Calculateur!DB92*Calculateur!DD92*VLOOKUP('Données projet'!$B$13,Paramètres!$A$1:$I$89,3,0)*0.475*44/12</f>
        <v>21.677738923689766</v>
      </c>
      <c r="DH92" s="21">
        <f>EXP(-LN(2)/2)*DH91+(1-EXP(-LN(2)/2))/(LN(2)/2)*DB92*DE92*VLOOKUP('Données projet'!$B$13,Paramètres!$A$1:$I$89,3,0)*0.475*44/12</f>
        <v>2.5878383075026061E-3</v>
      </c>
      <c r="DI92" s="22">
        <f t="shared" si="69"/>
        <v>99.875652878302191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3">
        <f>'Scénario référence'!$B$16*5+'Scénario référence'!$B$17*0+'Scénario référence'!$B$18*5</f>
        <v>5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67">
        <f t="shared" si="56"/>
        <v>183.33333333333334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5.6843418860808015E-14</v>
      </c>
      <c r="O93" s="13">
        <f>N93*VLOOKUP('Données projet'!$B$9,Paramètres!$A$1:$I$89,3,0)*VLOOKUP('Données projet'!$B$9,Paramètres!$A$1:$I$89,5,0)</f>
        <v>5.1431925385259088E-14</v>
      </c>
      <c r="P93" s="13">
        <f t="shared" si="87"/>
        <v>8.3482866290946129E-13</v>
      </c>
      <c r="Q93" s="20">
        <f t="shared" si="54"/>
        <v>1.5435705246133045E-12</v>
      </c>
      <c r="R93" s="59">
        <f t="shared" si="55"/>
        <v>274.35764100422921</v>
      </c>
      <c r="S93" s="59">
        <f ca="1">AVERAGE(OFFSET($R$3,0,0,'Données projet'!$E$9+1,1))-AVERAGE(OFFSET($H$3,0,0,'Données projet'!$E$9+1,1))</f>
        <v>214.60547318405733</v>
      </c>
      <c r="T93" s="59">
        <f t="shared" si="88"/>
        <v>306.35874106546646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6.4024156449641456</v>
      </c>
      <c r="AA93" s="21">
        <f>EXP(-LN(2)/25)*AA92+(1-EXP(-LN(2)/25))/(LN(2)/25)*Calculateur!V93*Calculateur!X93*VLOOKUP('Données projet'!$B$9,Paramètres!$A$1:$I$89,3,0)*0.475*44/12</f>
        <v>3.7955873191756822</v>
      </c>
      <c r="AB93" s="21">
        <f>EXP(-LN(2)/2)*AB92+(1-EXP(-LN(2)/2))/(LN(2)/2)*V93*Y93*VLOOKUP('Données projet'!$B$9,Paramètres!$A$1:$I$89,3,0)*0.475*44/12</f>
        <v>2.3249195265520485E-6</v>
      </c>
      <c r="AC93" s="22">
        <f t="shared" si="57"/>
        <v>10.198005289059354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9.1730000000000018</v>
      </c>
      <c r="AI93" s="13">
        <f>IF('Données projet'!$A$62&gt;35,AI92+AH93-AQ92,IF(A93&lt;'Données projet'!$A$62,$AF$205^A93,IF(A93='Données projet'!$A$62,'Données projet'!$B$62,AI92+AH93-AQ92)))</f>
        <v>343.4380000000005</v>
      </c>
      <c r="AJ93" s="13">
        <f>AI93*VLOOKUP('Données projet'!$B$10,Paramètres!$A$1:$I$89,3,0)*VLOOKUP('Données projet'!$B$10,Paramètres!$A$1:$I$89,5,0)</f>
        <v>348.24613200000056</v>
      </c>
      <c r="AK93" s="13">
        <f t="shared" si="89"/>
        <v>81.201266081189317</v>
      </c>
      <c r="AL93" s="20">
        <f t="shared" si="58"/>
        <v>747.95421832473903</v>
      </c>
      <c r="AM93" s="59">
        <f t="shared" si="59"/>
        <v>1022.3118593289666</v>
      </c>
      <c r="AN93" s="59">
        <f ca="1">AVERAGE(OFFSET($AM$3,0,0,'Données projet'!$E$10+1,1))-AVERAGE(OFFSET($H$3,0,0,'Données projet'!$E$10+1,1))</f>
        <v>752.45542076695506</v>
      </c>
      <c r="AO93" s="59">
        <f t="shared" si="90"/>
        <v>329.70629768420724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21.929380615553217</v>
      </c>
      <c r="AV93" s="21">
        <f>EXP(-LN(2)/25)*AV92+(1-EXP(-LN(2)/25))/(LN(2)/25)*Calculateur!AQ93*Calculateur!AS93*VLOOKUP('Données projet'!$B$10,Paramètres!$A$1:$I$89,3,0)*0.475*44/12</f>
        <v>28.068209616153936</v>
      </c>
      <c r="AW93" s="21">
        <f>EXP(-LN(2)/2)*AW92+(1-EXP(-LN(2)/2))/(LN(2)/2)*AQ93*AT93*VLOOKUP('Données projet'!$B$10,Paramètres!$A$1:$I$89,3,0)*0.475*44/12</f>
        <v>0.81814707785784435</v>
      </c>
      <c r="AX93" s="21">
        <f t="shared" si="60"/>
        <v>50.815737309564994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9.1730000000000018</v>
      </c>
      <c r="BD93" s="12">
        <f>IF('Données projet'!$A$88&gt;35,BD92+BC93-BL92,IF(A93&lt;'Données projet'!$A$88,$BA$205^A93,IF(A93='Données projet'!$A$88,'Données projet'!$B$88,BD92+BC93-BL92)))</f>
        <v>343.4380000000005</v>
      </c>
      <c r="BE93" s="13">
        <f>BD93*VLOOKUP('Données projet'!$B$11,Paramètres!$A$1:$I$89,3,0)*VLOOKUP('Données projet'!$B$11,Paramètres!$A$1:$I$89,5,0)</f>
        <v>310.74270240000044</v>
      </c>
      <c r="BF93" s="13">
        <f t="shared" si="91"/>
        <v>73.423914385133031</v>
      </c>
      <c r="BG93" s="20">
        <f t="shared" si="61"/>
        <v>669.09019090077402</v>
      </c>
      <c r="BH93" s="59">
        <f t="shared" si="62"/>
        <v>943.44783190500175</v>
      </c>
      <c r="BI93" s="59">
        <f ca="1">AVERAGE(OFFSET($BH$3,0,0,'Données projet'!$E$11+1,1))-AVERAGE(OFFSET($H$3,0,0,'Données projet'!$E$11+1,1))</f>
        <v>681.47578137804555</v>
      </c>
      <c r="BJ93" s="59">
        <f t="shared" si="92"/>
        <v>300.88511065995885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19.567755010801328</v>
      </c>
      <c r="BQ93" s="21">
        <f>EXP(-LN(2)/25)*BQ92+(1-EXP(-LN(2)/25))/(LN(2)/25)*Calculateur!BL93*Calculateur!BN93*VLOOKUP('Données projet'!$B$11,Paramètres!$A$1:$I$89,3,0)*0.475*44/12</f>
        <v>25.045479349798896</v>
      </c>
      <c r="BR93" s="21">
        <f>EXP(-LN(2)/2)*BR92+(1-EXP(-LN(2)/2))/(LN(2)/2)*BL93*BO93*VLOOKUP('Données projet'!$B$11,Paramètres!$A$1:$I$89,3,0)*0.475*44/12</f>
        <v>0.73003893101161477</v>
      </c>
      <c r="BS93" s="22">
        <f t="shared" si="63"/>
        <v>45.343273291611837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>
        <f>VLOOKUP(A93,'Données projet'!$A$113:$I$133,2,0)</f>
        <v>283.33333333333331</v>
      </c>
      <c r="BW93" s="12">
        <f>VLOOKUP(A93,'Données projet'!$A$113:$I$133,9,0)</f>
        <v>3.8461538461538454</v>
      </c>
      <c r="BX93" s="12">
        <f t="array" ref="BX93">INDEX(BW:BW,MIN(IF(ISNUMBER(BW93:BW289),ROW(BW93:BW289),"")))</f>
        <v>3.8461538461538454</v>
      </c>
      <c r="BY93" s="12">
        <f>IF('Données projet'!$A$114&gt;35,BY92+BX93-CG92,IF(A93&lt;'Données projet'!$A$114,$BV$205^A93,IF(A93='Données projet'!$A$114,'Données projet'!$B$114,BY92+BX93-CG92)))</f>
        <v>283.33333333333348</v>
      </c>
      <c r="BZ93" s="13">
        <f>BY93*VLOOKUP('Données projet'!$B$12,Paramètres!$A$1:$I$89,3,0)*VLOOKUP('Données projet'!$B$12,Paramètres!$A$1:$I$89,5,0)</f>
        <v>190.06000000000012</v>
      </c>
      <c r="CA93" s="13">
        <f t="shared" si="93"/>
        <v>47.55321775556439</v>
      </c>
      <c r="CB93" s="20">
        <f t="shared" si="64"/>
        <v>413.84302092427475</v>
      </c>
      <c r="CC93" s="59">
        <f t="shared" si="65"/>
        <v>688.20066192850243</v>
      </c>
      <c r="CD93" s="59">
        <f ca="1">AVERAGE(OFFSET($CC$3,0,0,'Données projet'!$E$12+1,1))-AVERAGE(OFFSET($H$3,0,0,'Données projet'!$E$12+1,1))</f>
        <v>335.73816489539837</v>
      </c>
      <c r="CE93" s="59">
        <f t="shared" si="94"/>
        <v>254.09787950201044</v>
      </c>
      <c r="CF93" s="15">
        <f>IF(ISNA(VLOOKUP(A93,'Données projet'!$A$113:$I$133,3,0)),0,VLOOKUP(A93,'Données projet'!$A$113:$I$133,3,0))</f>
        <v>16</v>
      </c>
      <c r="CG93" s="15">
        <f>IF(ISNA(VLOOKUP(A93,'Données projet'!$A$113:$I$133,4,0)),0,VLOOKUP(A93,'Données projet'!$A$113:$I$133,4,0))</f>
        <v>12.179487179487179</v>
      </c>
      <c r="CH93" s="16">
        <f>IF(ISNA(VLOOKUP(A93,'Données projet'!$A$113:$I$133,5,0)),0%,VLOOKUP(A93,'Données projet'!$A$113:$I$133,5,0)*VLOOKUP('Données projet'!$B$12,Paramètres!$A$1:$I$89,7,0))</f>
        <v>0.13250000000000001</v>
      </c>
      <c r="CI93" s="16">
        <f>IF(ISNA(VLOOKUP(A93,'Données projet'!$A$113:$I$133,6,0)),0%,VLOOKUP(A93,'Données projet'!$A$113:$I$133,6,0)*VLOOKUP('Données projet'!$B$12,Paramètres!$A$1:$I$89,7,0))</f>
        <v>0.13250000000000001</v>
      </c>
      <c r="CJ93" s="16">
        <f>IF(ISNA(VLOOKUP(A93,'Données projet'!$A$113:$I$133,7,0)),0%,VLOOKUP(A93,'Données projet'!$A$113:$I$133,7,0))</f>
        <v>0.25</v>
      </c>
      <c r="CK93" s="21">
        <f>EXP(-LN(2)/35)*CK92+(1-EXP(-LN(2)/35))/(LN(2)/35)*CG93*CH93*VLOOKUP('Données projet'!$B$12,Paramètres!$A$1:$I$89,3,0)*0.475*44/12</f>
        <v>6.835040873127582</v>
      </c>
      <c r="CL93" s="21">
        <f>EXP(-LN(2)/25)*CL92+(1-EXP(-LN(2)/25))/(LN(2)/25)*Calculateur!CG93*Calculateur!CI93*VLOOKUP('Données projet'!$B$12,Paramètres!$A$1:$I$89,3,0)*0.475*44/12</f>
        <v>9.3691415112652301</v>
      </c>
      <c r="CM93" s="21">
        <f>EXP(-LN(2)/2)*CM92+(1-EXP(-LN(2)/2))/(LN(2)/2)*CG93*CJ93*VLOOKUP('Données projet'!$B$12,Paramètres!$A$1:$I$89,3,0)*0.475*44/12</f>
        <v>2.3456237103819255</v>
      </c>
      <c r="CN93" s="22">
        <f t="shared" si="66"/>
        <v>18.549806094774738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1.1368683772161603E-13</v>
      </c>
      <c r="CU93" s="17">
        <f>CT93*VLOOKUP('Données projet'!$B$13,Paramètres!$A$1:$I$89,3,0)*VLOOKUP('Données projet'!$B$13,Paramètres!$A$1:$I$89,5,0)</f>
        <v>6.7984728957526396E-14</v>
      </c>
      <c r="CV93" s="13">
        <f t="shared" si="95"/>
        <v>1.0682447123141398E-12</v>
      </c>
      <c r="CW93" s="20">
        <f t="shared" si="67"/>
        <v>1.978932943548152E-12</v>
      </c>
      <c r="CX93" s="59">
        <f t="shared" si="68"/>
        <v>274.35764100422966</v>
      </c>
      <c r="CY93" s="59">
        <f ca="1">AVERAGE(OFFSET($CX$3,0,0,'Données projet'!$E$13+1,1))-AVERAGE(OFFSET($H$3,0,0,'Données projet'!$E$13+1,1))</f>
        <v>318.50474972254085</v>
      </c>
      <c r="CZ93" s="59">
        <f t="shared" si="96"/>
        <v>326.45858332753562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76.661963465603677</v>
      </c>
      <c r="DG93" s="21">
        <f>EXP(-LN(2)/25)*DG92+(1-EXP(-LN(2)/25))/(LN(2)/25)*Calculateur!DB93*Calculateur!DD93*VLOOKUP('Données projet'!$B$13,Paramètres!$A$1:$I$89,3,0)*0.475*44/12</f>
        <v>21.084960012838724</v>
      </c>
      <c r="DH93" s="21">
        <f>EXP(-LN(2)/2)*DH92+(1-EXP(-LN(2)/2))/(LN(2)/2)*DB93*DE93*VLOOKUP('Données projet'!$B$13,Paramètres!$A$1:$I$89,3,0)*0.475*44/12</f>
        <v>1.8298780158494108E-3</v>
      </c>
      <c r="DI93" s="22">
        <f t="shared" si="69"/>
        <v>97.748753356458252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3">
        <f>'Scénario référence'!$B$16*5+'Scénario référence'!$B$17*0+'Scénario référence'!$B$18*5</f>
        <v>5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67">
        <f t="shared" si="56"/>
        <v>183.33333333333334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5.6843418860808015E-14</v>
      </c>
      <c r="O94" s="13">
        <f>N94*VLOOKUP('Données projet'!$B$9,Paramètres!$A$1:$I$89,3,0)*VLOOKUP('Données projet'!$B$9,Paramètres!$A$1:$I$89,5,0)</f>
        <v>5.1431925385259088E-14</v>
      </c>
      <c r="P94" s="13">
        <f t="shared" si="87"/>
        <v>8.3482866290946129E-13</v>
      </c>
      <c r="Q94" s="20">
        <f t="shared" si="54"/>
        <v>1.5435705246133045E-12</v>
      </c>
      <c r="R94" s="59">
        <f t="shared" si="55"/>
        <v>274.68682684284659</v>
      </c>
      <c r="S94" s="59">
        <f ca="1">AVERAGE(OFFSET($R$3,0,0,'Données projet'!$E$9+1,1))-AVERAGE(OFFSET($H$3,0,0,'Données projet'!$E$9+1,1))</f>
        <v>214.60547318405733</v>
      </c>
      <c r="T94" s="59">
        <f t="shared" si="88"/>
        <v>306.35874106546646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6.2768681792543468</v>
      </c>
      <c r="AA94" s="21">
        <f>EXP(-LN(2)/25)*AA93+(1-EXP(-LN(2)/25))/(LN(2)/25)*Calculateur!V94*Calculateur!X94*VLOOKUP('Données projet'!$B$9,Paramètres!$A$1:$I$89,3,0)*0.475*44/12</f>
        <v>3.6917967843315611</v>
      </c>
      <c r="AB94" s="21">
        <f>EXP(-LN(2)/2)*AB93+(1-EXP(-LN(2)/2))/(LN(2)/2)*V94*Y94*VLOOKUP('Données projet'!$B$9,Paramètres!$A$1:$I$89,3,0)*0.475*44/12</f>
        <v>1.643966362937971E-6</v>
      </c>
      <c r="AC94" s="22">
        <f t="shared" si="57"/>
        <v>9.9686666075522705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9.1730000000000018</v>
      </c>
      <c r="AI94" s="13">
        <f>IF('Données projet'!$A$62&gt;35,AI93+AH94-AQ93,IF(A94&lt;'Données projet'!$A$62,$AF$205^A94,IF(A94='Données projet'!$A$62,'Données projet'!$B$62,AI93+AH94-AQ93)))</f>
        <v>352.6110000000005</v>
      </c>
      <c r="AJ94" s="13">
        <f>AI94*VLOOKUP('Données projet'!$B$10,Paramètres!$A$1:$I$89,3,0)*VLOOKUP('Données projet'!$B$10,Paramètres!$A$1:$I$89,5,0)</f>
        <v>357.54755400000056</v>
      </c>
      <c r="AK94" s="13">
        <f t="shared" si="89"/>
        <v>83.114695969480493</v>
      </c>
      <c r="AL94" s="20">
        <f t="shared" si="58"/>
        <v>767.48675203017956</v>
      </c>
      <c r="AM94" s="59">
        <f t="shared" si="59"/>
        <v>1042.1735788730246</v>
      </c>
      <c r="AN94" s="59">
        <f ca="1">AVERAGE(OFFSET($AM$3,0,0,'Données projet'!$E$10+1,1))-AVERAGE(OFFSET($H$3,0,0,'Données projet'!$E$10+1,1))</f>
        <v>752.45542076695506</v>
      </c>
      <c r="AO94" s="59">
        <f t="shared" si="90"/>
        <v>329.70629768420724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21.499358837283662</v>
      </c>
      <c r="AV94" s="21">
        <f>EXP(-LN(2)/25)*AV93+(1-EXP(-LN(2)/25))/(LN(2)/25)*Calculateur!AQ94*Calculateur!AS94*VLOOKUP('Données projet'!$B$10,Paramètres!$A$1:$I$89,3,0)*0.475*44/12</f>
        <v>27.300682948157213</v>
      </c>
      <c r="AW94" s="21">
        <f>EXP(-LN(2)/2)*AW93+(1-EXP(-LN(2)/2))/(LN(2)/2)*AQ94*AT94*VLOOKUP('Données projet'!$B$10,Paramètres!$A$1:$I$89,3,0)*0.475*44/12</f>
        <v>0.57851734676124</v>
      </c>
      <c r="AX94" s="21">
        <f t="shared" si="60"/>
        <v>49.378559132202113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9.1730000000000018</v>
      </c>
      <c r="BD94" s="12">
        <f>IF('Données projet'!$A$88&gt;35,BD93+BC94-BL93,IF(A94&lt;'Données projet'!$A$88,$BA$205^A94,IF(A94='Données projet'!$A$88,'Données projet'!$B$88,BD93+BC94-BL93)))</f>
        <v>352.6110000000005</v>
      </c>
      <c r="BE94" s="13">
        <f>BD94*VLOOKUP('Données projet'!$B$11,Paramètres!$A$1:$I$89,3,0)*VLOOKUP('Données projet'!$B$11,Paramètres!$A$1:$I$89,5,0)</f>
        <v>319.04243280000043</v>
      </c>
      <c r="BF94" s="13">
        <f t="shared" si="91"/>
        <v>75.154078446360543</v>
      </c>
      <c r="BG94" s="20">
        <f t="shared" si="61"/>
        <v>686.55892375407859</v>
      </c>
      <c r="BH94" s="59">
        <f t="shared" si="62"/>
        <v>961.2457505969237</v>
      </c>
      <c r="BI94" s="59">
        <f ca="1">AVERAGE(OFFSET($BH$3,0,0,'Données projet'!$E$11+1,1))-AVERAGE(OFFSET($H$3,0,0,'Données projet'!$E$11+1,1))</f>
        <v>681.47578137804555</v>
      </c>
      <c r="BJ94" s="59">
        <f t="shared" si="92"/>
        <v>300.88511065995885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19.184043270191573</v>
      </c>
      <c r="BQ94" s="21">
        <f>EXP(-LN(2)/25)*BQ93+(1-EXP(-LN(2)/25))/(LN(2)/25)*Calculateur!BL94*Calculateur!BN94*VLOOKUP('Données projet'!$B$11,Paramètres!$A$1:$I$89,3,0)*0.475*44/12</f>
        <v>24.360609399894127</v>
      </c>
      <c r="BR94" s="21">
        <f>EXP(-LN(2)/2)*BR93+(1-EXP(-LN(2)/2))/(LN(2)/2)*BL94*BO94*VLOOKUP('Données projet'!$B$11,Paramètres!$A$1:$I$89,3,0)*0.475*44/12</f>
        <v>0.51621547864849093</v>
      </c>
      <c r="BS94" s="22">
        <f t="shared" si="63"/>
        <v>44.060868148734187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3.7179487179487181</v>
      </c>
      <c r="BY94" s="12">
        <f>IF('Données projet'!$A$114&gt;35,BY93+BX94-CG93,IF(A94&lt;'Données projet'!$A$114,$BV$205^A94,IF(A94='Données projet'!$A$114,'Données projet'!$B$114,BY93+BX94-CG93)))</f>
        <v>274.87179487179503</v>
      </c>
      <c r="BZ94" s="13">
        <f>BY94*VLOOKUP('Données projet'!$B$12,Paramètres!$A$1:$I$89,3,0)*VLOOKUP('Données projet'!$B$12,Paramètres!$A$1:$I$89,5,0)</f>
        <v>184.3840000000001</v>
      </c>
      <c r="CA94" s="13">
        <f t="shared" si="93"/>
        <v>46.296175202781619</v>
      </c>
      <c r="CB94" s="20">
        <f t="shared" si="64"/>
        <v>401.76797181151147</v>
      </c>
      <c r="CC94" s="59">
        <f t="shared" si="65"/>
        <v>676.45479865435652</v>
      </c>
      <c r="CD94" s="59">
        <f ca="1">AVERAGE(OFFSET($CC$3,0,0,'Données projet'!$E$12+1,1))-AVERAGE(OFFSET($H$3,0,0,'Données projet'!$E$12+1,1))</f>
        <v>335.73816489539837</v>
      </c>
      <c r="CE94" s="59">
        <f t="shared" si="94"/>
        <v>254.09787950201044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6.701009890568832</v>
      </c>
      <c r="CL94" s="21">
        <f>EXP(-LN(2)/25)*CL93+(1-EXP(-LN(2)/25))/(LN(2)/25)*Calculateur!CG94*Calculateur!CI94*VLOOKUP('Données projet'!$B$12,Paramètres!$A$1:$I$89,3,0)*0.475*44/12</f>
        <v>9.1129418439379446</v>
      </c>
      <c r="CM94" s="21">
        <f>EXP(-LN(2)/2)*CM93+(1-EXP(-LN(2)/2))/(LN(2)/2)*CG94*CJ94*VLOOKUP('Données projet'!$B$12,Paramètres!$A$1:$I$89,3,0)*0.475*44/12</f>
        <v>1.65860643172301</v>
      </c>
      <c r="CN94" s="22">
        <f t="shared" si="66"/>
        <v>17.472558166229788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1.1368683772161603E-13</v>
      </c>
      <c r="CU94" s="17">
        <f>CT94*VLOOKUP('Données projet'!$B$13,Paramètres!$A$1:$I$89,3,0)*VLOOKUP('Données projet'!$B$13,Paramètres!$A$1:$I$89,5,0)</f>
        <v>6.7984728957526396E-14</v>
      </c>
      <c r="CV94" s="13">
        <f t="shared" si="95"/>
        <v>1.0682447123141398E-12</v>
      </c>
      <c r="CW94" s="20">
        <f t="shared" si="67"/>
        <v>1.978932943548152E-12</v>
      </c>
      <c r="CX94" s="59">
        <f t="shared" si="68"/>
        <v>274.68682684284704</v>
      </c>
      <c r="CY94" s="59">
        <f ca="1">AVERAGE(OFFSET($CX$3,0,0,'Données projet'!$E$13+1,1))-AVERAGE(OFFSET($H$3,0,0,'Données projet'!$E$13+1,1))</f>
        <v>318.50474972254085</v>
      </c>
      <c r="CZ94" s="59">
        <f t="shared" si="96"/>
        <v>326.45858332753562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75.158669121223824</v>
      </c>
      <c r="DG94" s="21">
        <f>EXP(-LN(2)/25)*DG93+(1-EXP(-LN(2)/25))/(LN(2)/25)*Calculateur!DB94*Calculateur!DD94*VLOOKUP('Données projet'!$B$13,Paramètres!$A$1:$I$89,3,0)*0.475*44/12</f>
        <v>20.508390672477791</v>
      </c>
      <c r="DH94" s="21">
        <f>EXP(-LN(2)/2)*DH93+(1-EXP(-LN(2)/2))/(LN(2)/2)*DB94*DE94*VLOOKUP('Données projet'!$B$13,Paramètres!$A$1:$I$89,3,0)*0.475*44/12</f>
        <v>1.2939191537513031E-3</v>
      </c>
      <c r="DI94" s="22">
        <f t="shared" si="69"/>
        <v>95.668353712855364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3">
        <f>'Scénario référence'!$B$16*5+'Scénario référence'!$B$17*0+'Scénario référence'!$B$18*5</f>
        <v>5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67">
        <f t="shared" si="56"/>
        <v>183.33333333333334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5.6843418860808015E-14</v>
      </c>
      <c r="O95" s="13">
        <f>N95*VLOOKUP('Données projet'!$B$9,Paramètres!$A$1:$I$89,3,0)*VLOOKUP('Données projet'!$B$9,Paramètres!$A$1:$I$89,5,0)</f>
        <v>5.1431925385259088E-14</v>
      </c>
      <c r="P95" s="13">
        <f t="shared" si="87"/>
        <v>8.3482866290946129E-13</v>
      </c>
      <c r="Q95" s="20">
        <f t="shared" si="54"/>
        <v>1.5435705246133045E-12</v>
      </c>
      <c r="R95" s="59">
        <f t="shared" si="55"/>
        <v>275.01030204311326</v>
      </c>
      <c r="S95" s="59">
        <f ca="1">AVERAGE(OFFSET($R$3,0,0,'Données projet'!$E$9+1,1))-AVERAGE(OFFSET($H$3,0,0,'Données projet'!$E$9+1,1))</f>
        <v>214.60547318405733</v>
      </c>
      <c r="T95" s="59">
        <f t="shared" si="88"/>
        <v>306.35874106546646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6.1537826227707244</v>
      </c>
      <c r="AA95" s="21">
        <f>EXP(-LN(2)/25)*AA94+(1-EXP(-LN(2)/25))/(LN(2)/25)*Calculateur!V95*Calculateur!X95*VLOOKUP('Données projet'!$B$9,Paramètres!$A$1:$I$89,3,0)*0.475*44/12</f>
        <v>3.5908444071208594</v>
      </c>
      <c r="AB95" s="21">
        <f>EXP(-LN(2)/2)*AB94+(1-EXP(-LN(2)/2))/(LN(2)/2)*V95*Y95*VLOOKUP('Données projet'!$B$9,Paramètres!$A$1:$I$89,3,0)*0.475*44/12</f>
        <v>1.1624597632760242E-6</v>
      </c>
      <c r="AC95" s="22">
        <f t="shared" si="57"/>
        <v>9.7446281923513478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9.1730000000000018</v>
      </c>
      <c r="AI95" s="13">
        <f>IF('Données projet'!$A$62&gt;35,AI94+AH95-AQ94,IF(A95&lt;'Données projet'!$A$62,$AF$205^A95,IF(A95='Données projet'!$A$62,'Données projet'!$B$62,AI94+AH95-AQ94)))</f>
        <v>361.7840000000005</v>
      </c>
      <c r="AJ95" s="13">
        <f>AI95*VLOOKUP('Données projet'!$B$10,Paramètres!$A$1:$I$89,3,0)*VLOOKUP('Données projet'!$B$10,Paramètres!$A$1:$I$89,5,0)</f>
        <v>366.8489760000005</v>
      </c>
      <c r="AK95" s="13">
        <f t="shared" si="89"/>
        <v>85.022339897263734</v>
      </c>
      <c r="AL95" s="20">
        <f t="shared" si="58"/>
        <v>787.00920852106856</v>
      </c>
      <c r="AM95" s="59">
        <f t="shared" si="59"/>
        <v>1062.0195105641803</v>
      </c>
      <c r="AN95" s="59">
        <f ca="1">AVERAGE(OFFSET($AM$3,0,0,'Données projet'!$E$10+1,1))-AVERAGE(OFFSET($H$3,0,0,'Données projet'!$E$10+1,1))</f>
        <v>752.45542076695506</v>
      </c>
      <c r="AO95" s="59">
        <f t="shared" si="90"/>
        <v>329.70629768420724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21.077769523798587</v>
      </c>
      <c r="AV95" s="21">
        <f>EXP(-LN(2)/25)*AV94+(1-EXP(-LN(2)/25))/(LN(2)/25)*Calculateur!AQ95*Calculateur!AS95*VLOOKUP('Données projet'!$B$10,Paramètres!$A$1:$I$89,3,0)*0.475*44/12</f>
        <v>26.554144337259334</v>
      </c>
      <c r="AW95" s="21">
        <f>EXP(-LN(2)/2)*AW94+(1-EXP(-LN(2)/2))/(LN(2)/2)*AQ95*AT95*VLOOKUP('Données projet'!$B$10,Paramètres!$A$1:$I$89,3,0)*0.475*44/12</f>
        <v>0.40907353892892218</v>
      </c>
      <c r="AX95" s="21">
        <f t="shared" si="60"/>
        <v>48.040987399986847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9.1730000000000018</v>
      </c>
      <c r="BD95" s="12">
        <f>IF('Données projet'!$A$88&gt;35,BD94+BC95-BL94,IF(A95&lt;'Données projet'!$A$88,$BA$205^A95,IF(A95='Données projet'!$A$88,'Données projet'!$B$88,BD94+BC95-BL94)))</f>
        <v>361.7840000000005</v>
      </c>
      <c r="BE95" s="13">
        <f>BD95*VLOOKUP('Données projet'!$B$11,Paramètres!$A$1:$I$89,3,0)*VLOOKUP('Données projet'!$B$11,Paramètres!$A$1:$I$89,5,0)</f>
        <v>327.34216320000047</v>
      </c>
      <c r="BF95" s="13">
        <f t="shared" si="91"/>
        <v>76.87901071885527</v>
      </c>
      <c r="BG95" s="20">
        <f t="shared" si="61"/>
        <v>704.01854457534034</v>
      </c>
      <c r="BH95" s="59">
        <f t="shared" si="62"/>
        <v>979.02884661845201</v>
      </c>
      <c r="BI95" s="59">
        <f ca="1">AVERAGE(OFFSET($BH$3,0,0,'Données projet'!$E$11+1,1))-AVERAGE(OFFSET($H$3,0,0,'Données projet'!$E$11+1,1))</f>
        <v>681.47578137804555</v>
      </c>
      <c r="BJ95" s="59">
        <f t="shared" si="92"/>
        <v>300.88511065995885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18.807855882774124</v>
      </c>
      <c r="BQ95" s="21">
        <f>EXP(-LN(2)/25)*BQ94+(1-EXP(-LN(2)/25))/(LN(2)/25)*Calculateur!BL95*Calculateur!BN95*VLOOKUP('Données projet'!$B$11,Paramètres!$A$1:$I$89,3,0)*0.475*44/12</f>
        <v>23.694467254785252</v>
      </c>
      <c r="BR95" s="21">
        <f>EXP(-LN(2)/2)*BR94+(1-EXP(-LN(2)/2))/(LN(2)/2)*BL95*BO95*VLOOKUP('Données projet'!$B$11,Paramètres!$A$1:$I$89,3,0)*0.475*44/12</f>
        <v>0.36501946550580738</v>
      </c>
      <c r="BS95" s="22">
        <f t="shared" si="63"/>
        <v>42.867342603065183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3.7179487179487181</v>
      </c>
      <c r="BY95" s="12">
        <f>IF('Données projet'!$A$114&gt;35,BY94+BX95-CG94,IF(A95&lt;'Données projet'!$A$114,$BV$205^A95,IF(A95='Données projet'!$A$114,'Données projet'!$B$114,BY94+BX95-CG94)))</f>
        <v>278.58974358974376</v>
      </c>
      <c r="BZ95" s="13">
        <f>BY95*VLOOKUP('Données projet'!$B$12,Paramètres!$A$1:$I$89,3,0)*VLOOKUP('Données projet'!$B$12,Paramètres!$A$1:$I$89,5,0)</f>
        <v>186.87800000000013</v>
      </c>
      <c r="CA95" s="13">
        <f t="shared" si="93"/>
        <v>46.849058827207365</v>
      </c>
      <c r="CB95" s="20">
        <f t="shared" si="64"/>
        <v>407.07462745738638</v>
      </c>
      <c r="CC95" s="59">
        <f t="shared" si="65"/>
        <v>682.08492950049811</v>
      </c>
      <c r="CD95" s="59">
        <f ca="1">AVERAGE(OFFSET($CC$3,0,0,'Données projet'!$E$12+1,1))-AVERAGE(OFFSET($H$3,0,0,'Données projet'!$E$12+1,1))</f>
        <v>335.73816489539837</v>
      </c>
      <c r="CE95" s="59">
        <f t="shared" si="94"/>
        <v>254.09787950201044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6.5696071738272321</v>
      </c>
      <c r="CL95" s="21">
        <f>EXP(-LN(2)/25)*CL94+(1-EXP(-LN(2)/25))/(LN(2)/25)*Calculateur!CG95*Calculateur!CI95*VLOOKUP('Données projet'!$B$12,Paramètres!$A$1:$I$89,3,0)*0.475*44/12</f>
        <v>8.8637479699866777</v>
      </c>
      <c r="CM95" s="21">
        <f>EXP(-LN(2)/2)*CM94+(1-EXP(-LN(2)/2))/(LN(2)/2)*CG95*CJ95*VLOOKUP('Données projet'!$B$12,Paramètres!$A$1:$I$89,3,0)*0.475*44/12</f>
        <v>1.172811855190963</v>
      </c>
      <c r="CN95" s="22">
        <f t="shared" si="66"/>
        <v>16.606166999004873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1.1368683772161603E-13</v>
      </c>
      <c r="CU95" s="17">
        <f>CT95*VLOOKUP('Données projet'!$B$13,Paramètres!$A$1:$I$89,3,0)*VLOOKUP('Données projet'!$B$13,Paramètres!$A$1:$I$89,5,0)</f>
        <v>6.7984728957526396E-14</v>
      </c>
      <c r="CV95" s="13">
        <f t="shared" si="95"/>
        <v>1.0682447123141398E-12</v>
      </c>
      <c r="CW95" s="20">
        <f t="shared" si="67"/>
        <v>1.978932943548152E-12</v>
      </c>
      <c r="CX95" s="59">
        <f t="shared" si="68"/>
        <v>275.01030204311371</v>
      </c>
      <c r="CY95" s="59">
        <f ca="1">AVERAGE(OFFSET($CX$3,0,0,'Données projet'!$E$13+1,1))-AVERAGE(OFFSET($H$3,0,0,'Données projet'!$E$13+1,1))</f>
        <v>318.50474972254085</v>
      </c>
      <c r="CZ95" s="59">
        <f t="shared" si="96"/>
        <v>326.45858332753562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73.684853462018239</v>
      </c>
      <c r="DG95" s="21">
        <f>EXP(-LN(2)/25)*DG94+(1-EXP(-LN(2)/25))/(LN(2)/25)*Calculateur!DB95*Calculateur!DD95*VLOOKUP('Données projet'!$B$13,Paramètres!$A$1:$I$89,3,0)*0.475*44/12</f>
        <v>19.947587651049492</v>
      </c>
      <c r="DH95" s="21">
        <f>EXP(-LN(2)/2)*DH94+(1-EXP(-LN(2)/2))/(LN(2)/2)*DB95*DE95*VLOOKUP('Données projet'!$B$13,Paramètres!$A$1:$I$89,3,0)*0.475*44/12</f>
        <v>9.1493900792470541E-4</v>
      </c>
      <c r="DI95" s="22">
        <f t="shared" si="69"/>
        <v>93.633356052075655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3">
        <f>'Scénario référence'!$B$16*5+'Scénario référence'!$B$17*0+'Scénario référence'!$B$18*5</f>
        <v>5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67">
        <f t="shared" si="56"/>
        <v>183.33333333333334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5.6843418860808015E-14</v>
      </c>
      <c r="O96" s="13">
        <f>N96*VLOOKUP('Données projet'!$B$9,Paramètres!$A$1:$I$89,3,0)*VLOOKUP('Données projet'!$B$9,Paramètres!$A$1:$I$89,5,0)</f>
        <v>5.1431925385259088E-14</v>
      </c>
      <c r="P96" s="13">
        <f t="shared" si="87"/>
        <v>8.3482866290946129E-13</v>
      </c>
      <c r="Q96" s="20">
        <f t="shared" si="54"/>
        <v>1.5435705246133045E-12</v>
      </c>
      <c r="R96" s="59">
        <f t="shared" si="55"/>
        <v>275.3281656718375</v>
      </c>
      <c r="S96" s="59">
        <f ca="1">AVERAGE(OFFSET($R$3,0,0,'Données projet'!$E$9+1,1))-AVERAGE(OFFSET($H$3,0,0,'Données projet'!$E$9+1,1))</f>
        <v>214.60547318405733</v>
      </c>
      <c r="T96" s="59">
        <f t="shared" si="88"/>
        <v>306.35874106546646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6.0331106989749692</v>
      </c>
      <c r="AA96" s="21">
        <f>EXP(-LN(2)/25)*AA95+(1-EXP(-LN(2)/25))/(LN(2)/25)*Calculateur!V96*Calculateur!X96*VLOOKUP('Données projet'!$B$9,Paramètres!$A$1:$I$89,3,0)*0.475*44/12</f>
        <v>3.4926525779738391</v>
      </c>
      <c r="AB96" s="21">
        <f>EXP(-LN(2)/2)*AB95+(1-EXP(-LN(2)/2))/(LN(2)/2)*V96*Y96*VLOOKUP('Données projet'!$B$9,Paramètres!$A$1:$I$89,3,0)*0.475*44/12</f>
        <v>8.2198318146898552E-7</v>
      </c>
      <c r="AC96" s="22">
        <f t="shared" si="57"/>
        <v>9.5257640989319903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9.1730000000000018</v>
      </c>
      <c r="AI96" s="13">
        <f>IF('Données projet'!$A$62&gt;35,AI95+AH96-AQ95,IF(A96&lt;'Données projet'!$A$62,$AF$205^A96,IF(A96='Données projet'!$A$62,'Données projet'!$B$62,AI95+AH96-AQ95)))</f>
        <v>370.95700000000051</v>
      </c>
      <c r="AJ96" s="13">
        <f>AI96*VLOOKUP('Données projet'!$B$10,Paramètres!$A$1:$I$89,3,0)*VLOOKUP('Données projet'!$B$10,Paramètres!$A$1:$I$89,5,0)</f>
        <v>376.15039800000056</v>
      </c>
      <c r="AK96" s="13">
        <f t="shared" si="89"/>
        <v>86.92436143722324</v>
      </c>
      <c r="AL96" s="20">
        <f t="shared" si="58"/>
        <v>806.52187268649811</v>
      </c>
      <c r="AM96" s="59">
        <f t="shared" si="59"/>
        <v>1081.8500383583341</v>
      </c>
      <c r="AN96" s="59">
        <f ca="1">AVERAGE(OFFSET($AM$3,0,0,'Données projet'!$E$10+1,1))-AVERAGE(OFFSET($H$3,0,0,'Données projet'!$E$10+1,1))</f>
        <v>752.45542076695506</v>
      </c>
      <c r="AO96" s="59">
        <f t="shared" si="90"/>
        <v>329.70629768420724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20.664447319606865</v>
      </c>
      <c r="AV96" s="21">
        <f>EXP(-LN(2)/25)*AV95+(1-EXP(-LN(2)/25))/(LN(2)/25)*Calculateur!AQ96*Calculateur!AS96*VLOOKUP('Données projet'!$B$10,Paramètres!$A$1:$I$89,3,0)*0.475*44/12</f>
        <v>25.828019863935218</v>
      </c>
      <c r="AW96" s="21">
        <f>EXP(-LN(2)/2)*AW95+(1-EXP(-LN(2)/2))/(LN(2)/2)*AQ96*AT96*VLOOKUP('Données projet'!$B$10,Paramètres!$A$1:$I$89,3,0)*0.475*44/12</f>
        <v>0.28925867338062</v>
      </c>
      <c r="AX96" s="21">
        <f t="shared" si="60"/>
        <v>46.781725856922705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9.1730000000000018</v>
      </c>
      <c r="BD96" s="12">
        <f>IF('Données projet'!$A$88&gt;35,BD95+BC96-BL95,IF(A96&lt;'Données projet'!$A$88,$BA$205^A96,IF(A96='Données projet'!$A$88,'Données projet'!$B$88,BD95+BC96-BL95)))</f>
        <v>370.95700000000051</v>
      </c>
      <c r="BE96" s="13">
        <f>BD96*VLOOKUP('Données projet'!$B$11,Paramètres!$A$1:$I$89,3,0)*VLOOKUP('Données projet'!$B$11,Paramètres!$A$1:$I$89,5,0)</f>
        <v>335.64189360000046</v>
      </c>
      <c r="BF96" s="13">
        <f t="shared" si="91"/>
        <v>78.598859108522404</v>
      </c>
      <c r="BG96" s="20">
        <f t="shared" si="61"/>
        <v>721.46931096734397</v>
      </c>
      <c r="BH96" s="59">
        <f t="shared" si="62"/>
        <v>996.79747663917988</v>
      </c>
      <c r="BI96" s="59">
        <f ca="1">AVERAGE(OFFSET($BH$3,0,0,'Données projet'!$E$11+1,1))-AVERAGE(OFFSET($H$3,0,0,'Données projet'!$E$11+1,1))</f>
        <v>681.47578137804555</v>
      </c>
      <c r="BJ96" s="59">
        <f t="shared" si="92"/>
        <v>300.88511065995885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18.439045300572278</v>
      </c>
      <c r="BQ96" s="21">
        <f>EXP(-LN(2)/25)*BQ95+(1-EXP(-LN(2)/25))/(LN(2)/25)*Calculateur!BL96*Calculateur!BN96*VLOOKUP('Données projet'!$B$11,Paramètres!$A$1:$I$89,3,0)*0.475*44/12</f>
        <v>23.04654080166527</v>
      </c>
      <c r="BR96" s="21">
        <f>EXP(-LN(2)/2)*BR95+(1-EXP(-LN(2)/2))/(LN(2)/2)*BL96*BO96*VLOOKUP('Données projet'!$B$11,Paramètres!$A$1:$I$89,3,0)*0.475*44/12</f>
        <v>0.25810773932424547</v>
      </c>
      <c r="BS96" s="22">
        <f t="shared" si="63"/>
        <v>41.743693841561793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3.7179487179487181</v>
      </c>
      <c r="BY96" s="12">
        <f>IF('Données projet'!$A$114&gt;35,BY95+BX96-CG95,IF(A96&lt;'Données projet'!$A$114,$BV$205^A96,IF(A96='Données projet'!$A$114,'Données projet'!$B$114,BY95+BX96-CG95)))</f>
        <v>282.30769230769249</v>
      </c>
      <c r="BZ96" s="13">
        <f>BY96*VLOOKUP('Données projet'!$B$12,Paramètres!$A$1:$I$89,3,0)*VLOOKUP('Données projet'!$B$12,Paramètres!$A$1:$I$89,5,0)</f>
        <v>189.37200000000013</v>
      </c>
      <c r="CA96" s="13">
        <f t="shared" si="93"/>
        <v>47.401084226295815</v>
      </c>
      <c r="CB96" s="20">
        <f t="shared" si="64"/>
        <v>412.37978836079873</v>
      </c>
      <c r="CC96" s="59">
        <f t="shared" si="65"/>
        <v>687.70795403263469</v>
      </c>
      <c r="CD96" s="59">
        <f ca="1">AVERAGE(OFFSET($CC$3,0,0,'Données projet'!$E$12+1,1))-AVERAGE(OFFSET($H$3,0,0,'Données projet'!$E$12+1,1))</f>
        <v>335.73816489539837</v>
      </c>
      <c r="CE96" s="59">
        <f t="shared" si="94"/>
        <v>254.09787950201044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6.4407811842131917</v>
      </c>
      <c r="CL96" s="21">
        <f>EXP(-LN(2)/25)*CL95+(1-EXP(-LN(2)/25))/(LN(2)/25)*Calculateur!CG96*Calculateur!CI96*VLOOKUP('Données projet'!$B$12,Paramètres!$A$1:$I$89,3,0)*0.475*44/12</f>
        <v>8.621368315623144</v>
      </c>
      <c r="CM96" s="21">
        <f>EXP(-LN(2)/2)*CM95+(1-EXP(-LN(2)/2))/(LN(2)/2)*CG96*CJ96*VLOOKUP('Données projet'!$B$12,Paramètres!$A$1:$I$89,3,0)*0.475*44/12</f>
        <v>0.82930321586150513</v>
      </c>
      <c r="CN96" s="22">
        <f t="shared" si="66"/>
        <v>15.891452715697842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1.1368683772161603E-13</v>
      </c>
      <c r="CU96" s="17">
        <f>CT96*VLOOKUP('Données projet'!$B$13,Paramètres!$A$1:$I$89,3,0)*VLOOKUP('Données projet'!$B$13,Paramètres!$A$1:$I$89,5,0)</f>
        <v>6.7984728957526396E-14</v>
      </c>
      <c r="CV96" s="13">
        <f t="shared" si="95"/>
        <v>1.0682447123141398E-12</v>
      </c>
      <c r="CW96" s="20">
        <f t="shared" si="67"/>
        <v>1.978932943548152E-12</v>
      </c>
      <c r="CX96" s="59">
        <f t="shared" si="68"/>
        <v>275.32816567183795</v>
      </c>
      <c r="CY96" s="59">
        <f ca="1">AVERAGE(OFFSET($CX$3,0,0,'Données projet'!$E$13+1,1))-AVERAGE(OFFSET($H$3,0,0,'Données projet'!$E$13+1,1))</f>
        <v>318.50474972254085</v>
      </c>
      <c r="CZ96" s="59">
        <f t="shared" si="96"/>
        <v>326.45858332753562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72.239938428950893</v>
      </c>
      <c r="DG96" s="21">
        <f>EXP(-LN(2)/25)*DG95+(1-EXP(-LN(2)/25))/(LN(2)/25)*Calculateur!DB96*Calculateur!DD96*VLOOKUP('Données projet'!$B$13,Paramètres!$A$1:$I$89,3,0)*0.475*44/12</f>
        <v>19.402119817733499</v>
      </c>
      <c r="DH96" s="21">
        <f>EXP(-LN(2)/2)*DH95+(1-EXP(-LN(2)/2))/(LN(2)/2)*DB96*DE96*VLOOKUP('Données projet'!$B$13,Paramètres!$A$1:$I$89,3,0)*0.475*44/12</f>
        <v>6.4695957687565153E-4</v>
      </c>
      <c r="DI96" s="22">
        <f t="shared" si="69"/>
        <v>91.642705206261269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3">
        <f>'Scénario référence'!$B$16*5+'Scénario référence'!$B$17*0+'Scénario référence'!$B$18*5</f>
        <v>5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67">
        <f t="shared" si="56"/>
        <v>183.33333333333334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5.6843418860808015E-14</v>
      </c>
      <c r="O97" s="13">
        <f>N97*VLOOKUP('Données projet'!$B$9,Paramètres!$A$1:$I$89,3,0)*VLOOKUP('Données projet'!$B$9,Paramètres!$A$1:$I$89,5,0)</f>
        <v>5.1431925385259088E-14</v>
      </c>
      <c r="P97" s="13">
        <f t="shared" si="87"/>
        <v>8.3482866290946129E-13</v>
      </c>
      <c r="Q97" s="20">
        <f t="shared" si="54"/>
        <v>1.5435705246133045E-12</v>
      </c>
      <c r="R97" s="59">
        <f t="shared" si="55"/>
        <v>275.64051507724002</v>
      </c>
      <c r="S97" s="59">
        <f ca="1">AVERAGE(OFFSET($R$3,0,0,'Données projet'!$E$9+1,1))-AVERAGE(OFFSET($H$3,0,0,'Données projet'!$E$9+1,1))</f>
        <v>214.60547318405733</v>
      </c>
      <c r="T97" s="59">
        <f t="shared" si="88"/>
        <v>306.35874106546646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5.9148050780022432</v>
      </c>
      <c r="AA97" s="21">
        <f>EXP(-LN(2)/25)*AA96+(1-EXP(-LN(2)/25))/(LN(2)/25)*Calculateur!V97*Calculateur!X97*VLOOKUP('Données projet'!$B$9,Paramètres!$A$1:$I$89,3,0)*0.475*44/12</f>
        <v>3.3971458095585279</v>
      </c>
      <c r="AB97" s="21">
        <f>EXP(-LN(2)/2)*AB96+(1-EXP(-LN(2)/2))/(LN(2)/2)*V97*Y97*VLOOKUP('Données projet'!$B$9,Paramètres!$A$1:$I$89,3,0)*0.475*44/12</f>
        <v>5.8122988163801212E-7</v>
      </c>
      <c r="AC97" s="22">
        <f t="shared" si="57"/>
        <v>9.3119514687906531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>
        <f>VLOOKUP(A97,'Données projet'!$A$61:$I$81,2,0)</f>
        <v>380.13</v>
      </c>
      <c r="AG97" s="12">
        <f>VLOOKUP(A97,'Données projet'!$A$61:$I$81,9,0)</f>
        <v>9.1730000000000018</v>
      </c>
      <c r="AH97" s="12">
        <f t="array" ref="AH97">INDEX(AG:AG,MIN(IF(ISNUMBER(AG97:AG293),ROW(AG97:AG293),"")))</f>
        <v>9.1730000000000018</v>
      </c>
      <c r="AI97" s="13">
        <f>IF('Données projet'!$A$62&gt;35,AI96+AH97-AQ96,IF(A97&lt;'Données projet'!$A$62,$AF$205^A97,IF(A97='Données projet'!$A$62,'Données projet'!$B$62,AI96+AH97-AQ96)))</f>
        <v>380.13000000000051</v>
      </c>
      <c r="AJ97" s="13">
        <f>AI97*VLOOKUP('Données projet'!$B$10,Paramètres!$A$1:$I$89,3,0)*VLOOKUP('Données projet'!$B$10,Paramètres!$A$1:$I$89,5,0)</f>
        <v>385.45182000000051</v>
      </c>
      <c r="AK97" s="13">
        <f t="shared" si="89"/>
        <v>88.820915611280114</v>
      </c>
      <c r="AL97" s="20">
        <f t="shared" si="58"/>
        <v>826.02501452298031</v>
      </c>
      <c r="AM97" s="59">
        <f t="shared" si="59"/>
        <v>1101.6655296002189</v>
      </c>
      <c r="AN97" s="59">
        <f ca="1">AVERAGE(OFFSET($AM$3,0,0,'Données projet'!$E$10+1,1))-AVERAGE(OFFSET($H$3,0,0,'Données projet'!$E$10+1,1))</f>
        <v>752.45542076695506</v>
      </c>
      <c r="AO97" s="59">
        <f t="shared" si="90"/>
        <v>329.70629768420724</v>
      </c>
      <c r="AP97" s="15">
        <f>IF(ISNA(VLOOKUP(A97,'Données projet'!$A$61:$I$81,3,0)),0,VLOOKUP(A97,'Données projet'!$A$61:$I$81,3,0))</f>
        <v>7</v>
      </c>
      <c r="AQ97" s="15">
        <f>IF(ISNA(VLOOKUP(A97,'Données projet'!$A$61:$I$81,4,0)),0,VLOOKUP(A97,'Données projet'!$A$61:$I$81,4,0))</f>
        <v>67.350000000000023</v>
      </c>
      <c r="AR97" s="16">
        <f>IF(ISNA(VLOOKUP(A97,'Données projet'!$A$61:$I$81,5,0)),0%,VLOOKUP(A97,'Données projet'!$A$61:$I$81,5,0)*VLOOKUP('Données projet'!$B$10,Paramètres!$A$1:$I$89,7,0))</f>
        <v>0.15049999999999999</v>
      </c>
      <c r="AS97" s="16">
        <f>IF(ISNA(VLOOKUP(A97,'Données projet'!$A$61:$I$81,6,0)),0%,VLOOKUP(A97,'Données projet'!$A$61:$I$81,6,0)*VLOOKUP('Données projet'!$B$10,Paramètres!$A$1:$I$89,7,0))</f>
        <v>8.6000000000000007E-2</v>
      </c>
      <c r="AT97" s="16">
        <f>IF(ISNA(VLOOKUP(A97,'Données projet'!$A$61:$I$81,7,0)),0%,VLOOKUP(A97,'Données projet'!$A$61:$I$81,7,0))</f>
        <v>0.1</v>
      </c>
      <c r="AU97" s="21">
        <f>EXP(-LN(2)/35)*AU96+(1-EXP(-LN(2)/35))/(LN(2)/35)*AQ97*AR97*VLOOKUP('Données projet'!$B$10,Paramètres!$A$1:$I$89,3,0)*0.475*44/12</f>
        <v>31.62134471313977</v>
      </c>
      <c r="AV97" s="21">
        <f>EXP(-LN(2)/25)*AV96+(1-EXP(-LN(2)/25))/(LN(2)/25)*Calculateur!AQ97*Calculateur!AS97*VLOOKUP('Données projet'!$B$10,Paramètres!$A$1:$I$89,3,0)*0.475*44/12</f>
        <v>31.588824232182965</v>
      </c>
      <c r="AW97" s="21">
        <f>EXP(-LN(2)/2)*AW96+(1-EXP(-LN(2)/2))/(LN(2)/2)*AQ97*AT97*VLOOKUP('Données projet'!$B$10,Paramètres!$A$1:$I$89,3,0)*0.475*44/12</f>
        <v>6.6481556921098957</v>
      </c>
      <c r="AX97" s="21">
        <f t="shared" si="60"/>
        <v>69.858324637432631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>
        <f>VLOOKUP(A97,'Données projet'!$A$87:$I$107,2,0)</f>
        <v>380.13</v>
      </c>
      <c r="BB97" s="12">
        <f>VLOOKUP(A97,'Données projet'!$A$87:$I$107,9,0)</f>
        <v>9.1730000000000018</v>
      </c>
      <c r="BC97" s="12">
        <f t="array" ref="BC97">INDEX(BB:BB,MIN(IF(ISNUMBER(BB97:BB293),ROW(BB97:BB293),"")))</f>
        <v>9.1730000000000018</v>
      </c>
      <c r="BD97" s="12">
        <f>IF('Données projet'!$A$88&gt;35,BD96+BC97-BL96,IF(A97&lt;'Données projet'!$A$88,$BA$205^A97,IF(A97='Données projet'!$A$88,'Données projet'!$B$88,BD96+BC97-BL96)))</f>
        <v>380.13000000000051</v>
      </c>
      <c r="BE97" s="13">
        <f>BD97*VLOOKUP('Données projet'!$B$11,Paramètres!$A$1:$I$89,3,0)*VLOOKUP('Données projet'!$B$11,Paramètres!$A$1:$I$89,5,0)</f>
        <v>343.94162400000044</v>
      </c>
      <c r="BF97" s="13">
        <f t="shared" si="91"/>
        <v>80.313763789484966</v>
      </c>
      <c r="BG97" s="20">
        <f t="shared" si="61"/>
        <v>738.91146706668712</v>
      </c>
      <c r="BH97" s="59">
        <f t="shared" si="62"/>
        <v>1014.5519821439257</v>
      </c>
      <c r="BI97" s="59">
        <f ca="1">AVERAGE(OFFSET($BH$3,0,0,'Données projet'!$E$11+1,1))-AVERAGE(OFFSET($H$3,0,0,'Données projet'!$E$11+1,1))</f>
        <v>681.47578137804555</v>
      </c>
      <c r="BJ97" s="59">
        <f t="shared" si="92"/>
        <v>300.88511065995885</v>
      </c>
      <c r="BK97" s="15">
        <f>IF(ISNA(VLOOKUP(A97,'Données projet'!$A$87:$I$107,3,0)),0,VLOOKUP(A97,'Données projet'!$A$87:$I$107,3,0))</f>
        <v>7</v>
      </c>
      <c r="BL97" s="15">
        <f>IF(ISNA(VLOOKUP(A97,'Données projet'!$A$87:$I$107,4,0)),0,VLOOKUP(A97,'Données projet'!$A$87:$I$107,4,0))</f>
        <v>67.350000000000023</v>
      </c>
      <c r="BM97" s="16">
        <f>IF(ISNA(VLOOKUP(A97,'Données projet'!$A$87:$I$107,5,0)),0%,VLOOKUP(A97,'Données projet'!$A$87:$I$107,5,0)*VLOOKUP('Données projet'!$B$11,Paramètres!$A$1:$I$89,7,0))</f>
        <v>0.15049999999999999</v>
      </c>
      <c r="BN97" s="16">
        <f>IF(ISNA(VLOOKUP(A97,'Données projet'!$A$87:$I$107,6,0)),0%,VLOOKUP(A97,'Données projet'!$A$87:$I$107,6,0)*VLOOKUP('Données projet'!$B$11,Paramètres!$A$1:$I$89,7,0))</f>
        <v>8.6000000000000007E-2</v>
      </c>
      <c r="BO97" s="16">
        <f>IF(ISNA(VLOOKUP(A97,'Données projet'!$A$87:$I$107,7,0)),0%,VLOOKUP(A97,'Données projet'!$A$87:$I$107,7,0))</f>
        <v>0.1</v>
      </c>
      <c r="BP97" s="21">
        <f>EXP(-LN(2)/35)*BP96+(1-EXP(-LN(2)/35))/(LN(2)/35)*BL97*BM97*VLOOKUP('Données projet'!$B$11,Paramètres!$A$1:$I$89,3,0)*0.475*44/12</f>
        <v>28.215969128647792</v>
      </c>
      <c r="BQ97" s="21">
        <f>EXP(-LN(2)/25)*BQ96+(1-EXP(-LN(2)/25))/(LN(2)/25)*Calculateur!BL97*Calculateur!BN97*VLOOKUP('Données projet'!$B$11,Paramètres!$A$1:$I$89,3,0)*0.475*44/12</f>
        <v>28.18695085333249</v>
      </c>
      <c r="BR97" s="21">
        <f>EXP(-LN(2)/2)*BR96+(1-EXP(-LN(2)/2))/(LN(2)/2)*BL97*BO97*VLOOKUP('Données projet'!$B$11,Paramètres!$A$1:$I$89,3,0)*0.475*44/12</f>
        <v>5.9322004637288286</v>
      </c>
      <c r="BS97" s="22">
        <f t="shared" si="63"/>
        <v>62.335120445709109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3.7179487179487181</v>
      </c>
      <c r="BY97" s="12">
        <f>IF('Données projet'!$A$114&gt;35,BY96+BX97-CG96,IF(A97&lt;'Données projet'!$A$114,$BV$205^A97,IF(A97='Données projet'!$A$114,'Données projet'!$B$114,BY96+BX97-CG96)))</f>
        <v>286.02564102564122</v>
      </c>
      <c r="BZ97" s="13">
        <f>BY97*VLOOKUP('Données projet'!$B$12,Paramètres!$A$1:$I$89,3,0)*VLOOKUP('Données projet'!$B$12,Paramètres!$A$1:$I$89,5,0)</f>
        <v>191.86600000000016</v>
      </c>
      <c r="CA97" s="13">
        <f t="shared" si="93"/>
        <v>47.952264009442366</v>
      </c>
      <c r="CB97" s="20">
        <f t="shared" si="64"/>
        <v>417.68347648311237</v>
      </c>
      <c r="CC97" s="59">
        <f t="shared" si="65"/>
        <v>693.32399156035081</v>
      </c>
      <c r="CD97" s="59">
        <f ca="1">AVERAGE(OFFSET($CC$3,0,0,'Données projet'!$E$12+1,1))-AVERAGE(OFFSET($H$3,0,0,'Données projet'!$E$12+1,1))</f>
        <v>335.73816489539837</v>
      </c>
      <c r="CE97" s="59">
        <f t="shared" si="94"/>
        <v>254.09787950201044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6.3144813936793875</v>
      </c>
      <c r="CL97" s="21">
        <f>EXP(-LN(2)/25)*CL96+(1-EXP(-LN(2)/25))/(LN(2)/25)*Calculateur!CG97*Calculateur!CI97*VLOOKUP('Données projet'!$B$12,Paramètres!$A$1:$I$89,3,0)*0.475*44/12</f>
        <v>8.3856165456543739</v>
      </c>
      <c r="CM97" s="21">
        <f>EXP(-LN(2)/2)*CM96+(1-EXP(-LN(2)/2))/(LN(2)/2)*CG97*CJ97*VLOOKUP('Données projet'!$B$12,Paramètres!$A$1:$I$89,3,0)*0.475*44/12</f>
        <v>0.58640592759548149</v>
      </c>
      <c r="CN97" s="22">
        <f t="shared" si="66"/>
        <v>15.286503866929245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1.1368683772161603E-13</v>
      </c>
      <c r="CU97" s="17">
        <f>CT97*VLOOKUP('Données projet'!$B$13,Paramètres!$A$1:$I$89,3,0)*VLOOKUP('Données projet'!$B$13,Paramètres!$A$1:$I$89,5,0)</f>
        <v>6.7984728957526396E-14</v>
      </c>
      <c r="CV97" s="13">
        <f t="shared" si="95"/>
        <v>1.0682447123141398E-12</v>
      </c>
      <c r="CW97" s="20">
        <f t="shared" si="67"/>
        <v>1.978932943548152E-12</v>
      </c>
      <c r="CX97" s="59">
        <f t="shared" si="68"/>
        <v>275.64051507724048</v>
      </c>
      <c r="CY97" s="59">
        <f ca="1">AVERAGE(OFFSET($CX$3,0,0,'Données projet'!$E$13+1,1))-AVERAGE(OFFSET($H$3,0,0,'Données projet'!$E$13+1,1))</f>
        <v>318.50474972254085</v>
      </c>
      <c r="CZ97" s="59">
        <f t="shared" si="96"/>
        <v>326.45858332753562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70.823357298370851</v>
      </c>
      <c r="DG97" s="21">
        <f>EXP(-LN(2)/25)*DG96+(1-EXP(-LN(2)/25))/(LN(2)/25)*Calculateur!DB97*Calculateur!DD97*VLOOKUP('Données projet'!$B$13,Paramètres!$A$1:$I$89,3,0)*0.475*44/12</f>
        <v>18.871567831004441</v>
      </c>
      <c r="DH97" s="21">
        <f>EXP(-LN(2)/2)*DH96+(1-EXP(-LN(2)/2))/(LN(2)/2)*DB97*DE97*VLOOKUP('Données projet'!$B$13,Paramètres!$A$1:$I$89,3,0)*0.475*44/12</f>
        <v>4.574695039623527E-4</v>
      </c>
      <c r="DI97" s="22">
        <f t="shared" si="69"/>
        <v>89.695382598879249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3">
        <f>'Scénario référence'!$B$16*5+'Scénario référence'!$B$17*0+'Scénario référence'!$B$18*5</f>
        <v>5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67">
        <f t="shared" si="56"/>
        <v>183.33333333333334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5.6843418860808015E-14</v>
      </c>
      <c r="O98" s="13">
        <f>N98*VLOOKUP('Données projet'!$B$9,Paramètres!$A$1:$I$89,3,0)*VLOOKUP('Données projet'!$B$9,Paramètres!$A$1:$I$89,5,0)</f>
        <v>5.1431925385259088E-14</v>
      </c>
      <c r="P98" s="13">
        <f t="shared" si="87"/>
        <v>8.3482866290946129E-13</v>
      </c>
      <c r="Q98" s="20">
        <f t="shared" si="54"/>
        <v>1.5435705246133045E-12</v>
      </c>
      <c r="R98" s="59">
        <f t="shared" si="55"/>
        <v>275.94744591876747</v>
      </c>
      <c r="S98" s="59">
        <f ca="1">AVERAGE(OFFSET($R$3,0,0,'Données projet'!$E$9+1,1))-AVERAGE(OFFSET($H$3,0,0,'Données projet'!$E$9+1,1))</f>
        <v>214.60547318405733</v>
      </c>
      <c r="T98" s="59">
        <f t="shared" si="88"/>
        <v>306.35874106546646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5.7988193580974885</v>
      </c>
      <c r="AA98" s="21">
        <f>EXP(-LN(2)/25)*AA97+(1-EXP(-LN(2)/25))/(LN(2)/25)*Calculateur!V98*Calculateur!X98*VLOOKUP('Données projet'!$B$9,Paramètres!$A$1:$I$89,3,0)*0.475*44/12</f>
        <v>3.3042506787480161</v>
      </c>
      <c r="AB98" s="21">
        <f>EXP(-LN(2)/2)*AB97+(1-EXP(-LN(2)/2))/(LN(2)/2)*V98*Y98*VLOOKUP('Données projet'!$B$9,Paramètres!$A$1:$I$89,3,0)*0.475*44/12</f>
        <v>4.1099159073449276E-7</v>
      </c>
      <c r="AC98" s="22">
        <f t="shared" si="57"/>
        <v>9.1030704478370961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8.9420000000000019</v>
      </c>
      <c r="AI98" s="13">
        <f>IF('Données projet'!$A$62&gt;35,AI97+AH98-AQ97,IF(A98&lt;'Données projet'!$A$62,$AF$205^A98,IF(A98='Données projet'!$A$62,'Données projet'!$B$62,AI97+AH98-AQ97)))</f>
        <v>321.72200000000049</v>
      </c>
      <c r="AJ98" s="13">
        <f>AI98*VLOOKUP('Données projet'!$B$10,Paramètres!$A$1:$I$89,3,0)*VLOOKUP('Données projet'!$B$10,Paramètres!$A$1:$I$89,5,0)</f>
        <v>326.22610800000052</v>
      </c>
      <c r="AK98" s="13">
        <f t="shared" si="89"/>
        <v>76.647360081996098</v>
      </c>
      <c r="AL98" s="20">
        <f t="shared" si="58"/>
        <v>701.67129024281076</v>
      </c>
      <c r="AM98" s="59">
        <f t="shared" si="59"/>
        <v>977.61873616157663</v>
      </c>
      <c r="AN98" s="59">
        <f ca="1">AVERAGE(OFFSET($AM$3,0,0,'Données projet'!$E$10+1,1))-AVERAGE(OFFSET($H$3,0,0,'Données projet'!$E$10+1,1))</f>
        <v>752.45542076695506</v>
      </c>
      <c r="AO98" s="59">
        <f t="shared" si="90"/>
        <v>329.70629768420724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31.001269430430931</v>
      </c>
      <c r="AV98" s="21">
        <f>EXP(-LN(2)/25)*AV97+(1-EXP(-LN(2)/25))/(LN(2)/25)*Calculateur!AQ98*Calculateur!AS98*VLOOKUP('Données projet'!$B$10,Paramètres!$A$1:$I$89,3,0)*0.475*44/12</f>
        <v>30.725026172369851</v>
      </c>
      <c r="AW98" s="21">
        <f>EXP(-LN(2)/2)*AW97+(1-EXP(-LN(2)/2))/(LN(2)/2)*AQ98*AT98*VLOOKUP('Données projet'!$B$10,Paramètres!$A$1:$I$89,3,0)*0.475*44/12</f>
        <v>4.7009559722748531</v>
      </c>
      <c r="AX98" s="21">
        <f t="shared" si="60"/>
        <v>66.42725157507563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8.9420000000000019</v>
      </c>
      <c r="BD98" s="12">
        <f>IF('Données projet'!$A$88&gt;35,BD97+BC98-BL97,IF(A98&lt;'Données projet'!$A$88,$BA$205^A98,IF(A98='Données projet'!$A$88,'Données projet'!$B$88,BD97+BC98-BL97)))</f>
        <v>321.72200000000049</v>
      </c>
      <c r="BE98" s="13">
        <f>BD98*VLOOKUP('Données projet'!$B$11,Paramètres!$A$1:$I$89,3,0)*VLOOKUP('Données projet'!$B$11,Paramètres!$A$1:$I$89,5,0)</f>
        <v>291.09406560000048</v>
      </c>
      <c r="BF98" s="13">
        <f t="shared" si="91"/>
        <v>69.306175582041092</v>
      </c>
      <c r="BG98" s="20">
        <f t="shared" si="61"/>
        <v>627.697086725389</v>
      </c>
      <c r="BH98" s="59">
        <f t="shared" si="62"/>
        <v>903.64453264415488</v>
      </c>
      <c r="BI98" s="59">
        <f ca="1">AVERAGE(OFFSET($BH$3,0,0,'Données projet'!$E$11+1,1))-AVERAGE(OFFSET($H$3,0,0,'Données projet'!$E$11+1,1))</f>
        <v>681.47578137804555</v>
      </c>
      <c r="BJ98" s="59">
        <f t="shared" si="92"/>
        <v>300.88511065995885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27.662671184076828</v>
      </c>
      <c r="BQ98" s="21">
        <f>EXP(-LN(2)/25)*BQ97+(1-EXP(-LN(2)/25))/(LN(2)/25)*Calculateur!BL98*Calculateur!BN98*VLOOKUP('Données projet'!$B$11,Paramètres!$A$1:$I$89,3,0)*0.475*44/12</f>
        <v>27.416177199960789</v>
      </c>
      <c r="BR98" s="21">
        <f>EXP(-LN(2)/2)*BR97+(1-EXP(-LN(2)/2))/(LN(2)/2)*BL98*BO98*VLOOKUP('Données projet'!$B$11,Paramètres!$A$1:$I$89,3,0)*0.475*44/12</f>
        <v>4.1946991752606371</v>
      </c>
      <c r="BS98" s="22">
        <f t="shared" si="63"/>
        <v>59.273547559298251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>
        <f>VLOOKUP(A98,'Données projet'!$A$113:$I$133,2,0)</f>
        <v>289.74358974358972</v>
      </c>
      <c r="BW98" s="12">
        <f>VLOOKUP(A98,'Données projet'!$A$113:$I$133,9,0)</f>
        <v>3.7179487179487181</v>
      </c>
      <c r="BX98" s="12">
        <f t="array" ref="BX98">INDEX(BW:BW,MIN(IF(ISNUMBER(BW98:BW294),ROW(BW98:BW294),"")))</f>
        <v>3.7179487179487181</v>
      </c>
      <c r="BY98" s="12">
        <f>IF('Données projet'!$A$114&gt;35,BY97+BX98-CG97,IF(A98&lt;'Données projet'!$A$114,$BV$205^A98,IF(A98='Données projet'!$A$114,'Données projet'!$B$114,BY97+BX98-CG97)))</f>
        <v>289.74358974358995</v>
      </c>
      <c r="BZ98" s="13">
        <f>BY98*VLOOKUP('Données projet'!$B$12,Paramètres!$A$1:$I$89,3,0)*VLOOKUP('Données projet'!$B$12,Paramètres!$A$1:$I$89,5,0)</f>
        <v>194.36000000000016</v>
      </c>
      <c r="CA98" s="13">
        <f t="shared" si="93"/>
        <v>48.502610439386679</v>
      </c>
      <c r="CB98" s="20">
        <f t="shared" si="64"/>
        <v>422.98571318193211</v>
      </c>
      <c r="CC98" s="59">
        <f t="shared" si="65"/>
        <v>698.93315910069805</v>
      </c>
      <c r="CD98" s="59">
        <f ca="1">AVERAGE(OFFSET($CC$3,0,0,'Données projet'!$E$12+1,1))-AVERAGE(OFFSET($H$3,0,0,'Données projet'!$E$12+1,1))</f>
        <v>335.73816489539837</v>
      </c>
      <c r="CE98" s="59">
        <f t="shared" si="94"/>
        <v>254.09787950201044</v>
      </c>
      <c r="CF98" s="15">
        <f>IF(ISNA(VLOOKUP(A98,'Données projet'!$A$113:$I$133,3,0)),0,VLOOKUP(A98,'Données projet'!$A$113:$I$133,3,0))</f>
        <v>17</v>
      </c>
      <c r="CG98" s="15">
        <f>IF(ISNA(VLOOKUP(A98,'Données projet'!$A$113:$I$133,4,0)),0,VLOOKUP(A98,'Données projet'!$A$113:$I$133,4,0))</f>
        <v>11.538461538461538</v>
      </c>
      <c r="CH98" s="16">
        <f>IF(ISNA(VLOOKUP(A98,'Données projet'!$A$113:$I$133,5,0)),0%,VLOOKUP(A98,'Données projet'!$A$113:$I$133,5,0)*VLOOKUP('Données projet'!$B$12,Paramètres!$A$1:$I$89,7,0))</f>
        <v>0.13250000000000001</v>
      </c>
      <c r="CI98" s="16">
        <f>IF(ISNA(VLOOKUP(A98,'Données projet'!$A$113:$I$133,6,0)),0%,VLOOKUP(A98,'Données projet'!$A$113:$I$133,6,0)*VLOOKUP('Données projet'!$B$12,Paramètres!$A$1:$I$89,7,0))</f>
        <v>0.13250000000000001</v>
      </c>
      <c r="CJ98" s="16">
        <f>IF(ISNA(VLOOKUP(A98,'Données projet'!$A$113:$I$133,7,0)),0%,VLOOKUP(A98,'Données projet'!$A$113:$I$133,7,0))</f>
        <v>0.25</v>
      </c>
      <c r="CK98" s="21">
        <f>EXP(-LN(2)/35)*CK97+(1-EXP(-LN(2)/35))/(LN(2)/35)*CG98*CH98*VLOOKUP('Données projet'!$B$12,Paramètres!$A$1:$I$89,3,0)*0.475*44/12</f>
        <v>7.3243734127327027</v>
      </c>
      <c r="CL98" s="21">
        <f>EXP(-LN(2)/25)*CL97+(1-EXP(-LN(2)/25))/(LN(2)/25)*Calculateur!CG98*Calculateur!CI98*VLOOKUP('Données projet'!$B$12,Paramètres!$A$1:$I$89,3,0)*0.475*44/12</f>
        <v>9.2855626994471123</v>
      </c>
      <c r="CM98" s="21">
        <f>EXP(-LN(2)/2)*CM97+(1-EXP(-LN(2)/2))/(LN(2)/2)*CG98*CJ98*VLOOKUP('Données projet'!$B$12,Paramètres!$A$1:$I$89,3,0)*0.475*44/12</f>
        <v>2.2403761876921786</v>
      </c>
      <c r="CN98" s="22">
        <f t="shared" si="66"/>
        <v>18.850312299871995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1.1368683772161603E-13</v>
      </c>
      <c r="CU98" s="17">
        <f>CT98*VLOOKUP('Données projet'!$B$13,Paramètres!$A$1:$I$89,3,0)*VLOOKUP('Données projet'!$B$13,Paramètres!$A$1:$I$89,5,0)</f>
        <v>6.7984728957526396E-14</v>
      </c>
      <c r="CV98" s="13">
        <f t="shared" si="95"/>
        <v>1.0682447123141398E-12</v>
      </c>
      <c r="CW98" s="20">
        <f t="shared" si="67"/>
        <v>1.978932943548152E-12</v>
      </c>
      <c r="CX98" s="59">
        <f t="shared" si="68"/>
        <v>275.94744591876793</v>
      </c>
      <c r="CY98" s="59">
        <f ca="1">AVERAGE(OFFSET($CX$3,0,0,'Données projet'!$E$13+1,1))-AVERAGE(OFFSET($H$3,0,0,'Données projet'!$E$13+1,1))</f>
        <v>318.50474972254085</v>
      </c>
      <c r="CZ98" s="59">
        <f t="shared" si="96"/>
        <v>326.45858332753562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69.434554459732311</v>
      </c>
      <c r="DG98" s="21">
        <f>EXP(-LN(2)/25)*DG97+(1-EXP(-LN(2)/25))/(LN(2)/25)*Calculateur!DB98*Calculateur!DD98*VLOOKUP('Données projet'!$B$13,Paramètres!$A$1:$I$89,3,0)*0.475*44/12</f>
        <v>18.355523816253005</v>
      </c>
      <c r="DH98" s="21">
        <f>EXP(-LN(2)/2)*DH97+(1-EXP(-LN(2)/2))/(LN(2)/2)*DB98*DE98*VLOOKUP('Données projet'!$B$13,Paramètres!$A$1:$I$89,3,0)*0.475*44/12</f>
        <v>3.2347978843782577E-4</v>
      </c>
      <c r="DI98" s="22">
        <f t="shared" si="69"/>
        <v>87.790401755773743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3">
        <f>'Scénario référence'!$B$16*5+'Scénario référence'!$B$17*0+'Scénario référence'!$B$18*5</f>
        <v>5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67">
        <f t="shared" si="56"/>
        <v>183.33333333333334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5.6843418860808015E-14</v>
      </c>
      <c r="O99" s="13">
        <f>N99*VLOOKUP('Données projet'!$B$9,Paramètres!$A$1:$I$89,3,0)*VLOOKUP('Données projet'!$B$9,Paramètres!$A$1:$I$89,5,0)</f>
        <v>5.1431925385259088E-14</v>
      </c>
      <c r="P99" s="13">
        <f t="shared" si="87"/>
        <v>8.3482866290946129E-13</v>
      </c>
      <c r="Q99" s="20">
        <f t="shared" ref="Q99:Q130" si="107">(O99+P99)*0.475*44/12</f>
        <v>1.5435705246133045E-12</v>
      </c>
      <c r="R99" s="59">
        <f t="shared" si="55"/>
        <v>276.24905219638896</v>
      </c>
      <c r="S99" s="59">
        <f ca="1">AVERAGE(OFFSET($R$3,0,0,'Données projet'!$E$9+1,1))-AVERAGE(OFFSET($H$3,0,0,'Données projet'!$E$9+1,1))</f>
        <v>214.60547318405733</v>
      </c>
      <c r="T99" s="59">
        <f t="shared" si="88"/>
        <v>306.35874106546646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5.6851080474157625</v>
      </c>
      <c r="AA99" s="21">
        <f>EXP(-LN(2)/25)*AA98+(1-EXP(-LN(2)/25))/(LN(2)/25)*Calculateur!V99*Calculateur!X99*VLOOKUP('Données projet'!$B$9,Paramètres!$A$1:$I$89,3,0)*0.475*44/12</f>
        <v>3.2138957701746604</v>
      </c>
      <c r="AB99" s="21">
        <f>EXP(-LN(2)/2)*AB98+(1-EXP(-LN(2)/2))/(LN(2)/2)*V99*Y99*VLOOKUP('Données projet'!$B$9,Paramètres!$A$1:$I$89,3,0)*0.475*44/12</f>
        <v>2.9061494081900606E-7</v>
      </c>
      <c r="AC99" s="22">
        <f t="shared" si="57"/>
        <v>8.8990041082053626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8.9420000000000019</v>
      </c>
      <c r="AI99" s="13">
        <f>IF('Données projet'!$A$62&gt;35,AI98+AH99-AQ98,IF(A99&lt;'Données projet'!$A$62,$AF$205^A99,IF(A99='Données projet'!$A$62,'Données projet'!$B$62,AI98+AH99-AQ98)))</f>
        <v>330.6640000000005</v>
      </c>
      <c r="AJ99" s="13">
        <f>AI99*VLOOKUP('Données projet'!$B$10,Paramètres!$A$1:$I$89,3,0)*VLOOKUP('Données projet'!$B$10,Paramètres!$A$1:$I$89,5,0)</f>
        <v>335.29329600000057</v>
      </c>
      <c r="AK99" s="13">
        <f t="shared" si="89"/>
        <v>78.526724041362712</v>
      </c>
      <c r="AL99" s="20">
        <f t="shared" si="58"/>
        <v>720.73653490537436</v>
      </c>
      <c r="AM99" s="59">
        <f t="shared" si="59"/>
        <v>996.98558710176178</v>
      </c>
      <c r="AN99" s="59">
        <f ca="1">AVERAGE(OFFSET($AM$3,0,0,'Données projet'!$E$10+1,1))-AVERAGE(OFFSET($H$3,0,0,'Données projet'!$E$10+1,1))</f>
        <v>752.45542076695506</v>
      </c>
      <c r="AO99" s="59">
        <f t="shared" si="90"/>
        <v>329.70629768420724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30.393353445807435</v>
      </c>
      <c r="AV99" s="21">
        <f>EXP(-LN(2)/25)*AV98+(1-EXP(-LN(2)/25))/(LN(2)/25)*Calculateur!AQ99*Calculateur!AS99*VLOOKUP('Données projet'!$B$10,Paramètres!$A$1:$I$89,3,0)*0.475*44/12</f>
        <v>29.884848715927493</v>
      </c>
      <c r="AW99" s="21">
        <f>EXP(-LN(2)/2)*AW98+(1-EXP(-LN(2)/2))/(LN(2)/2)*AQ99*AT99*VLOOKUP('Données projet'!$B$10,Paramètres!$A$1:$I$89,3,0)*0.475*44/12</f>
        <v>3.3240778460549487</v>
      </c>
      <c r="AX99" s="21">
        <f t="shared" si="60"/>
        <v>63.602280007789872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8.9420000000000019</v>
      </c>
      <c r="BD99" s="12">
        <f>IF('Données projet'!$A$88&gt;35,BD98+BC99-BL98,IF(A99&lt;'Données projet'!$A$88,$BA$205^A99,IF(A99='Données projet'!$A$88,'Données projet'!$B$88,BD98+BC99-BL98)))</f>
        <v>330.6640000000005</v>
      </c>
      <c r="BE99" s="13">
        <f>BD99*VLOOKUP('Données projet'!$B$11,Paramètres!$A$1:$I$89,3,0)*VLOOKUP('Données projet'!$B$11,Paramètres!$A$1:$I$89,5,0)</f>
        <v>299.18478720000041</v>
      </c>
      <c r="BF99" s="13">
        <f t="shared" si="91"/>
        <v>71.005536504727559</v>
      </c>
      <c r="BG99" s="20">
        <f t="shared" si="61"/>
        <v>644.74814711906788</v>
      </c>
      <c r="BH99" s="59">
        <f t="shared" si="62"/>
        <v>920.9971993154553</v>
      </c>
      <c r="BI99" s="59">
        <f ca="1">AVERAGE(OFFSET($BH$3,0,0,'Données projet'!$E$11+1,1))-AVERAGE(OFFSET($H$3,0,0,'Données projet'!$E$11+1,1))</f>
        <v>681.47578137804555</v>
      </c>
      <c r="BJ99" s="59">
        <f t="shared" si="92"/>
        <v>300.88511065995885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27.120223074720478</v>
      </c>
      <c r="BQ99" s="21">
        <f>EXP(-LN(2)/25)*BQ98+(1-EXP(-LN(2)/25))/(LN(2)/25)*Calculateur!BL99*Calculateur!BN99*VLOOKUP('Données projet'!$B$11,Paramètres!$A$1:$I$89,3,0)*0.475*44/12</f>
        <v>26.666480392673762</v>
      </c>
      <c r="BR99" s="21">
        <f>EXP(-LN(2)/2)*BR98+(1-EXP(-LN(2)/2))/(LN(2)/2)*BL99*BO99*VLOOKUP('Données projet'!$B$11,Paramètres!$A$1:$I$89,3,0)*0.475*44/12</f>
        <v>2.9661002318644147</v>
      </c>
      <c r="BS99" s="22">
        <f t="shared" si="63"/>
        <v>56.752803699258656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3.5897435897435912</v>
      </c>
      <c r="BY99" s="12">
        <f>IF('Données projet'!$A$114&gt;35,BY98+BX99-CG98,IF(A99&lt;'Données projet'!$A$114,$BV$205^A99,IF(A99='Données projet'!$A$114,'Données projet'!$B$114,BY98+BX99-CG98)))</f>
        <v>281.79487179487199</v>
      </c>
      <c r="BZ99" s="13">
        <f>BY99*VLOOKUP('Données projet'!$B$12,Paramètres!$A$1:$I$89,3,0)*VLOOKUP('Données projet'!$B$12,Paramètres!$A$1:$I$89,5,0)</f>
        <v>189.02800000000013</v>
      </c>
      <c r="CA99" s="13">
        <f t="shared" si="93"/>
        <v>47.324993347023778</v>
      </c>
      <c r="CB99" s="20">
        <f t="shared" si="64"/>
        <v>411.6481300794</v>
      </c>
      <c r="CC99" s="59">
        <f t="shared" si="65"/>
        <v>687.89718227578737</v>
      </c>
      <c r="CD99" s="59">
        <f ca="1">AVERAGE(OFFSET($CC$3,0,0,'Données projet'!$E$12+1,1))-AVERAGE(OFFSET($H$3,0,0,'Données projet'!$E$12+1,1))</f>
        <v>335.73816489539837</v>
      </c>
      <c r="CE99" s="59">
        <f t="shared" si="94"/>
        <v>254.09787950201044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7.1807469175356742</v>
      </c>
      <c r="CL99" s="21">
        <f>EXP(-LN(2)/25)*CL98+(1-EXP(-LN(2)/25))/(LN(2)/25)*Calculateur!CG99*Calculateur!CI99*VLOOKUP('Données projet'!$B$12,Paramètres!$A$1:$I$89,3,0)*0.475*44/12</f>
        <v>9.031648499124211</v>
      </c>
      <c r="CM99" s="21">
        <f>EXP(-LN(2)/2)*CM98+(1-EXP(-LN(2)/2))/(LN(2)/2)*CG99*CJ99*VLOOKUP('Données projet'!$B$12,Paramètres!$A$1:$I$89,3,0)*0.475*44/12</f>
        <v>1.5841851947260051</v>
      </c>
      <c r="CN99" s="22">
        <f t="shared" si="66"/>
        <v>17.796580611385888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1.1368683772161603E-13</v>
      </c>
      <c r="CU99" s="17">
        <f>CT99*VLOOKUP('Données projet'!$B$13,Paramètres!$A$1:$I$89,3,0)*VLOOKUP('Données projet'!$B$13,Paramètres!$A$1:$I$89,5,0)</f>
        <v>6.7984728957526396E-14</v>
      </c>
      <c r="CV99" s="13">
        <f t="shared" si="95"/>
        <v>1.0682447123141398E-12</v>
      </c>
      <c r="CW99" s="20">
        <f t="shared" si="67"/>
        <v>1.978932943548152E-12</v>
      </c>
      <c r="CX99" s="59">
        <f t="shared" si="68"/>
        <v>276.24905219638941</v>
      </c>
      <c r="CY99" s="59">
        <f ca="1">AVERAGE(OFFSET($CX$3,0,0,'Données projet'!$E$13+1,1))-AVERAGE(OFFSET($H$3,0,0,'Données projet'!$E$13+1,1))</f>
        <v>318.50474972254085</v>
      </c>
      <c r="CZ99" s="59">
        <f t="shared" si="96"/>
        <v>326.45858332753562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68.072985197673376</v>
      </c>
      <c r="DG99" s="21">
        <f>EXP(-LN(2)/25)*DG98+(1-EXP(-LN(2)/25))/(LN(2)/25)*Calculateur!DB99*Calculateur!DD99*VLOOKUP('Données projet'!$B$13,Paramètres!$A$1:$I$89,3,0)*0.475*44/12</f>
        <v>17.853591052222519</v>
      </c>
      <c r="DH99" s="21">
        <f>EXP(-LN(2)/2)*DH98+(1-EXP(-LN(2)/2))/(LN(2)/2)*DB99*DE99*VLOOKUP('Données projet'!$B$13,Paramètres!$A$1:$I$89,3,0)*0.475*44/12</f>
        <v>2.2873475198117635E-4</v>
      </c>
      <c r="DI99" s="22">
        <f t="shared" si="69"/>
        <v>85.926804984647887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3">
        <f>'Scénario référence'!$B$16*5+'Scénario référence'!$B$17*0+'Scénario référence'!$B$18*5</f>
        <v>5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67">
        <f t="shared" si="56"/>
        <v>183.33333333333334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5.6843418860808015E-14</v>
      </c>
      <c r="O100" s="13">
        <f>N100*VLOOKUP('Données projet'!$B$9,Paramètres!$A$1:$I$89,3,0)*VLOOKUP('Données projet'!$B$9,Paramètres!$A$1:$I$89,5,0)</f>
        <v>5.1431925385259088E-14</v>
      </c>
      <c r="P100" s="13">
        <f t="shared" si="87"/>
        <v>8.3482866290946129E-13</v>
      </c>
      <c r="Q100" s="20">
        <f t="shared" si="107"/>
        <v>1.5435705246133045E-12</v>
      </c>
      <c r="R100" s="59">
        <f t="shared" si="55"/>
        <v>276.54542627938434</v>
      </c>
      <c r="S100" s="59">
        <f ca="1">AVERAGE(OFFSET($R$3,0,0,'Données projet'!$E$9+1,1))-AVERAGE(OFFSET($H$3,0,0,'Données projet'!$E$9+1,1))</f>
        <v>214.60547318405733</v>
      </c>
      <c r="T100" s="59">
        <f t="shared" si="88"/>
        <v>306.35874106546646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5.5736265461794536</v>
      </c>
      <c r="AA100" s="21">
        <f>EXP(-LN(2)/25)*AA99+(1-EXP(-LN(2)/25))/(LN(2)/25)*Calculateur!V100*Calculateur!X100*VLOOKUP('Données projet'!$B$9,Paramètres!$A$1:$I$89,3,0)*0.475*44/12</f>
        <v>3.1260116213278013</v>
      </c>
      <c r="AB100" s="21">
        <f>EXP(-LN(2)/2)*AB99+(1-EXP(-LN(2)/2))/(LN(2)/2)*V100*Y100*VLOOKUP('Données projet'!$B$9,Paramètres!$A$1:$I$89,3,0)*0.475*44/12</f>
        <v>2.0549579536724638E-7</v>
      </c>
      <c r="AC100" s="22">
        <f t="shared" si="57"/>
        <v>8.6996383730030491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8.9420000000000019</v>
      </c>
      <c r="AI100" s="13">
        <f>IF('Données projet'!$A$62&gt;35,AI99+AH100-AQ99,IF(A100&lt;'Données projet'!$A$62,$AF$205^A100,IF(A100='Données projet'!$A$62,'Données projet'!$B$62,AI99+AH100-AQ99)))</f>
        <v>339.60600000000051</v>
      </c>
      <c r="AJ100" s="13">
        <f>AI100*VLOOKUP('Données projet'!$B$10,Paramètres!$A$1:$I$89,3,0)*VLOOKUP('Données projet'!$B$10,Paramètres!$A$1:$I$89,5,0)</f>
        <v>344.36048400000055</v>
      </c>
      <c r="AK100" s="13">
        <f t="shared" si="89"/>
        <v>80.400180766145681</v>
      </c>
      <c r="AL100" s="20">
        <f t="shared" si="58"/>
        <v>739.79149113437143</v>
      </c>
      <c r="AM100" s="59">
        <f t="shared" si="59"/>
        <v>1016.3369174137542</v>
      </c>
      <c r="AN100" s="59">
        <f ca="1">AVERAGE(OFFSET($AM$3,0,0,'Données projet'!$E$10+1,1))-AVERAGE(OFFSET($H$3,0,0,'Données projet'!$E$10+1,1))</f>
        <v>752.45542076695506</v>
      </c>
      <c r="AO100" s="59">
        <f t="shared" si="90"/>
        <v>329.70629768420724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29.797358322850265</v>
      </c>
      <c r="AV100" s="21">
        <f>EXP(-LN(2)/25)*AV99+(1-EXP(-LN(2)/25))/(LN(2)/25)*Calculateur!AQ100*Calculateur!AS100*VLOOKUP('Données projet'!$B$10,Paramètres!$A$1:$I$89,3,0)*0.475*44/12</f>
        <v>29.067645956214566</v>
      </c>
      <c r="AW100" s="21">
        <f>EXP(-LN(2)/2)*AW99+(1-EXP(-LN(2)/2))/(LN(2)/2)*AQ100*AT100*VLOOKUP('Données projet'!$B$10,Paramètres!$A$1:$I$89,3,0)*0.475*44/12</f>
        <v>2.350477986137427</v>
      </c>
      <c r="AX100" s="21">
        <f t="shared" si="60"/>
        <v>61.215482265202262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8.9420000000000019</v>
      </c>
      <c r="BD100" s="12">
        <f>IF('Données projet'!$A$88&gt;35,BD99+BC100-BL99,IF(A100&lt;'Données projet'!$A$88,$BA$205^A100,IF(A100='Données projet'!$A$88,'Données projet'!$B$88,BD99+BC100-BL99)))</f>
        <v>339.60600000000051</v>
      </c>
      <c r="BE100" s="13">
        <f>BD100*VLOOKUP('Données projet'!$B$11,Paramètres!$A$1:$I$89,3,0)*VLOOKUP('Données projet'!$B$11,Paramètres!$A$1:$I$89,5,0)</f>
        <v>307.27550880000041</v>
      </c>
      <c r="BF100" s="13">
        <f t="shared" si="91"/>
        <v>72.699555980078841</v>
      </c>
      <c r="BG100" s="20">
        <f t="shared" si="61"/>
        <v>661.78990449197136</v>
      </c>
      <c r="BH100" s="59">
        <f t="shared" si="62"/>
        <v>938.33533077135417</v>
      </c>
      <c r="BI100" s="59">
        <f ca="1">AVERAGE(OFFSET($BH$3,0,0,'Données projet'!$E$11+1,1))-AVERAGE(OFFSET($H$3,0,0,'Données projet'!$E$11+1,1))</f>
        <v>681.47578137804555</v>
      </c>
      <c r="BJ100" s="59">
        <f t="shared" si="92"/>
        <v>300.88511065995885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26.588412041927928</v>
      </c>
      <c r="BQ100" s="21">
        <f>EXP(-LN(2)/25)*BQ99+(1-EXP(-LN(2)/25))/(LN(2)/25)*Calculateur!BL100*Calculateur!BN100*VLOOKUP('Données projet'!$B$11,Paramètres!$A$1:$I$89,3,0)*0.475*44/12</f>
        <v>25.937284084006841</v>
      </c>
      <c r="BR100" s="21">
        <f>EXP(-LN(2)/2)*BR99+(1-EXP(-LN(2)/2))/(LN(2)/2)*BL100*BO100*VLOOKUP('Données projet'!$B$11,Paramètres!$A$1:$I$89,3,0)*0.475*44/12</f>
        <v>2.0973495876303185</v>
      </c>
      <c r="BS100" s="22">
        <f t="shared" si="63"/>
        <v>54.623045713565091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3.5897435897435912</v>
      </c>
      <c r="BY100" s="12">
        <f>IF('Données projet'!$A$114&gt;35,BY99+BX100-CG99,IF(A100&lt;'Données projet'!$A$114,$BV$205^A100,IF(A100='Données projet'!$A$114,'Données projet'!$B$114,BY99+BX100-CG99)))</f>
        <v>285.38461538461559</v>
      </c>
      <c r="BZ100" s="13">
        <f>BY100*VLOOKUP('Données projet'!$B$12,Paramètres!$A$1:$I$89,3,0)*VLOOKUP('Données projet'!$B$12,Paramètres!$A$1:$I$89,5,0)</f>
        <v>191.43600000000015</v>
      </c>
      <c r="CA100" s="13">
        <f t="shared" si="93"/>
        <v>47.857292804386105</v>
      </c>
      <c r="CB100" s="20">
        <f t="shared" si="64"/>
        <v>416.76915163430607</v>
      </c>
      <c r="CC100" s="59">
        <f t="shared" si="65"/>
        <v>693.31457791368894</v>
      </c>
      <c r="CD100" s="59">
        <f ca="1">AVERAGE(OFFSET($CC$3,0,0,'Données projet'!$E$12+1,1))-AVERAGE(OFFSET($H$3,0,0,'Données projet'!$E$12+1,1))</f>
        <v>335.73816489539837</v>
      </c>
      <c r="CE100" s="59">
        <f t="shared" si="94"/>
        <v>254.09787950201044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7.0399368503059474</v>
      </c>
      <c r="CL100" s="21">
        <f>EXP(-LN(2)/25)*CL99+(1-EXP(-LN(2)/25))/(LN(2)/25)*Calculateur!CG100*Calculateur!CI100*VLOOKUP('Données projet'!$B$12,Paramètres!$A$1:$I$89,3,0)*0.475*44/12</f>
        <v>8.7846775959619077</v>
      </c>
      <c r="CM100" s="21">
        <f>EXP(-LN(2)/2)*CM99+(1-EXP(-LN(2)/2))/(LN(2)/2)*CG100*CJ100*VLOOKUP('Données projet'!$B$12,Paramètres!$A$1:$I$89,3,0)*0.475*44/12</f>
        <v>1.1201880938460895</v>
      </c>
      <c r="CN100" s="22">
        <f t="shared" si="66"/>
        <v>16.944802540113944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1.1368683772161603E-13</v>
      </c>
      <c r="CU100" s="17">
        <f>CT100*VLOOKUP('Données projet'!$B$13,Paramètres!$A$1:$I$89,3,0)*VLOOKUP('Données projet'!$B$13,Paramètres!$A$1:$I$89,5,0)</f>
        <v>6.7984728957526396E-14</v>
      </c>
      <c r="CV100" s="13">
        <f t="shared" si="95"/>
        <v>1.0682447123141398E-12</v>
      </c>
      <c r="CW100" s="20">
        <f t="shared" si="67"/>
        <v>1.978932943548152E-12</v>
      </c>
      <c r="CX100" s="59">
        <f t="shared" si="68"/>
        <v>276.5454262793848</v>
      </c>
      <c r="CY100" s="59">
        <f ca="1">AVERAGE(OFFSET($CX$3,0,0,'Données projet'!$E$13+1,1))-AVERAGE(OFFSET($H$3,0,0,'Données projet'!$E$13+1,1))</f>
        <v>318.50474972254085</v>
      </c>
      <c r="CZ100" s="59">
        <f t="shared" si="96"/>
        <v>326.45858332753562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66.738115478368172</v>
      </c>
      <c r="DG100" s="21">
        <f>EXP(-LN(2)/25)*DG99+(1-EXP(-LN(2)/25))/(LN(2)/25)*Calculateur!DB100*Calculateur!DD100*VLOOKUP('Données projet'!$B$13,Paramètres!$A$1:$I$89,3,0)*0.475*44/12</f>
        <v>17.365383666019945</v>
      </c>
      <c r="DH100" s="21">
        <f>EXP(-LN(2)/2)*DH99+(1-EXP(-LN(2)/2))/(LN(2)/2)*DB100*DE100*VLOOKUP('Données projet'!$B$13,Paramètres!$A$1:$I$89,3,0)*0.475*44/12</f>
        <v>1.6173989421891288E-4</v>
      </c>
      <c r="DI100" s="22">
        <f t="shared" si="69"/>
        <v>84.103660884282334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3">
        <f>'Scénario référence'!$B$16*5+'Scénario référence'!$B$17*0+'Scénario référence'!$B$18*5</f>
        <v>5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67">
        <f t="shared" si="56"/>
        <v>183.33333333333334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5.6843418860808015E-14</v>
      </c>
      <c r="O101" s="13">
        <f>N101*VLOOKUP('Données projet'!$B$9,Paramètres!$A$1:$I$89,3,0)*VLOOKUP('Données projet'!$B$9,Paramètres!$A$1:$I$89,5,0)</f>
        <v>5.1431925385259088E-14</v>
      </c>
      <c r="P101" s="13">
        <f t="shared" si="87"/>
        <v>8.3482866290946129E-13</v>
      </c>
      <c r="Q101" s="20">
        <f t="shared" si="107"/>
        <v>1.5435705246133045E-12</v>
      </c>
      <c r="R101" s="59">
        <f t="shared" si="55"/>
        <v>276.83665893463291</v>
      </c>
      <c r="S101" s="59">
        <f ca="1">AVERAGE(OFFSET($R$3,0,0,'Données projet'!$E$9+1,1))-AVERAGE(OFFSET($H$3,0,0,'Données projet'!$E$9+1,1))</f>
        <v>214.60547318405733</v>
      </c>
      <c r="T101" s="59">
        <f t="shared" si="88"/>
        <v>306.35874106546646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5.4643311291853873</v>
      </c>
      <c r="AA101" s="21">
        <f>EXP(-LN(2)/25)*AA100+(1-EXP(-LN(2)/25))/(LN(2)/25)*Calculateur!V101*Calculateur!X101*VLOOKUP('Données projet'!$B$9,Paramètres!$A$1:$I$89,3,0)*0.475*44/12</f>
        <v>3.040530669152786</v>
      </c>
      <c r="AB101" s="21">
        <f>EXP(-LN(2)/2)*AB100+(1-EXP(-LN(2)/2))/(LN(2)/2)*V101*Y101*VLOOKUP('Données projet'!$B$9,Paramètres!$A$1:$I$89,3,0)*0.475*44/12</f>
        <v>1.4530747040950303E-7</v>
      </c>
      <c r="AC101" s="22">
        <f t="shared" si="57"/>
        <v>8.5048619436456434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8.9420000000000019</v>
      </c>
      <c r="AI101" s="13">
        <f>IF('Données projet'!$A$62&gt;35,AI100+AH101-AQ100,IF(A101&lt;'Données projet'!$A$62,$AF$205^A101,IF(A101='Données projet'!$A$62,'Données projet'!$B$62,AI100+AH101-AQ100)))</f>
        <v>348.54800000000051</v>
      </c>
      <c r="AJ101" s="13">
        <f>AI101*VLOOKUP('Données projet'!$B$10,Paramètres!$A$1:$I$89,3,0)*VLOOKUP('Données projet'!$B$10,Paramètres!$A$1:$I$89,5,0)</f>
        <v>353.42767200000054</v>
      </c>
      <c r="AK101" s="13">
        <f t="shared" si="89"/>
        <v>82.26790367650959</v>
      </c>
      <c r="AL101" s="20">
        <f t="shared" si="58"/>
        <v>758.83646096992186</v>
      </c>
      <c r="AM101" s="59">
        <f t="shared" si="59"/>
        <v>1035.6731199045532</v>
      </c>
      <c r="AN101" s="59">
        <f ca="1">AVERAGE(OFFSET($AM$3,0,0,'Données projet'!$E$10+1,1))-AVERAGE(OFFSET($H$3,0,0,'Données projet'!$E$10+1,1))</f>
        <v>752.45542076695506</v>
      </c>
      <c r="AO101" s="59">
        <f t="shared" si="90"/>
        <v>329.70629768420724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29.213050300733155</v>
      </c>
      <c r="AV101" s="21">
        <f>EXP(-LN(2)/25)*AV100+(1-EXP(-LN(2)/25))/(LN(2)/25)*Calculateur!AQ101*Calculateur!AS101*VLOOKUP('Données projet'!$B$10,Paramètres!$A$1:$I$89,3,0)*0.475*44/12</f>
        <v>28.272789648940812</v>
      </c>
      <c r="AW101" s="21">
        <f>EXP(-LN(2)/2)*AW100+(1-EXP(-LN(2)/2))/(LN(2)/2)*AQ101*AT101*VLOOKUP('Données projet'!$B$10,Paramètres!$A$1:$I$89,3,0)*0.475*44/12</f>
        <v>1.6620389230274746</v>
      </c>
      <c r="AX101" s="21">
        <f t="shared" si="60"/>
        <v>59.14787887270144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8.9420000000000019</v>
      </c>
      <c r="BD101" s="12">
        <f>IF('Données projet'!$A$88&gt;35,BD100+BC101-BL100,IF(A101&lt;'Données projet'!$A$88,$BA$205^A101,IF(A101='Données projet'!$A$88,'Données projet'!$B$88,BD100+BC101-BL100)))</f>
        <v>348.54800000000051</v>
      </c>
      <c r="BE101" s="13">
        <f>BD101*VLOOKUP('Données projet'!$B$11,Paramètres!$A$1:$I$89,3,0)*VLOOKUP('Données projet'!$B$11,Paramètres!$A$1:$I$89,5,0)</f>
        <v>315.36623040000046</v>
      </c>
      <c r="BF101" s="13">
        <f t="shared" si="91"/>
        <v>74.38839081830163</v>
      </c>
      <c r="BG101" s="20">
        <f t="shared" si="61"/>
        <v>678.82263195520943</v>
      </c>
      <c r="BH101" s="59">
        <f t="shared" si="62"/>
        <v>955.6592908898408</v>
      </c>
      <c r="BI101" s="59">
        <f ca="1">AVERAGE(OFFSET($BH$3,0,0,'Données projet'!$E$11+1,1))-AVERAGE(OFFSET($H$3,0,0,'Données projet'!$E$11+1,1))</f>
        <v>681.47578137804555</v>
      </c>
      <c r="BJ101" s="59">
        <f t="shared" si="92"/>
        <v>300.88511065995885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26.067029499115737</v>
      </c>
      <c r="BQ101" s="21">
        <f>EXP(-LN(2)/25)*BQ100+(1-EXP(-LN(2)/25))/(LN(2)/25)*Calculateur!BL101*Calculateur!BN101*VLOOKUP('Données projet'!$B$11,Paramètres!$A$1:$I$89,3,0)*0.475*44/12</f>
        <v>25.228027686747183</v>
      </c>
      <c r="BR101" s="21">
        <f>EXP(-LN(2)/2)*BR100+(1-EXP(-LN(2)/2))/(LN(2)/2)*BL101*BO101*VLOOKUP('Données projet'!$B$11,Paramètres!$A$1:$I$89,3,0)*0.475*44/12</f>
        <v>1.4830501159322074</v>
      </c>
      <c r="BS101" s="22">
        <f t="shared" si="63"/>
        <v>52.778107301795124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3.5897435897435912</v>
      </c>
      <c r="BY101" s="12">
        <f>IF('Données projet'!$A$114&gt;35,BY100+BX101-CG100,IF(A101&lt;'Données projet'!$A$114,$BV$205^A101,IF(A101='Données projet'!$A$114,'Données projet'!$B$114,BY100+BX101-CG100)))</f>
        <v>288.97435897435918</v>
      </c>
      <c r="BZ101" s="13">
        <f>BY101*VLOOKUP('Données projet'!$B$12,Paramètres!$A$1:$I$89,3,0)*VLOOKUP('Données projet'!$B$12,Paramètres!$A$1:$I$89,5,0)</f>
        <v>193.84400000000014</v>
      </c>
      <c r="CA101" s="13">
        <f t="shared" si="93"/>
        <v>48.388813443554845</v>
      </c>
      <c r="CB101" s="20">
        <f t="shared" si="64"/>
        <v>421.88881674752491</v>
      </c>
      <c r="CC101" s="59">
        <f t="shared" si="65"/>
        <v>698.72547568215623</v>
      </c>
      <c r="CD101" s="59">
        <f ca="1">AVERAGE(OFFSET($CC$3,0,0,'Données projet'!$E$12+1,1))-AVERAGE(OFFSET($H$3,0,0,'Données projet'!$E$12+1,1))</f>
        <v>335.73816489539837</v>
      </c>
      <c r="CE101" s="59">
        <f t="shared" si="94"/>
        <v>254.09787950201044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6.901887982608935</v>
      </c>
      <c r="CL101" s="21">
        <f>EXP(-LN(2)/25)*CL100+(1-EXP(-LN(2)/25))/(LN(2)/25)*Calculateur!CG101*Calculateur!CI101*VLOOKUP('Données projet'!$B$12,Paramètres!$A$1:$I$89,3,0)*0.475*44/12</f>
        <v>8.5444601251342114</v>
      </c>
      <c r="CM101" s="21">
        <f>EXP(-LN(2)/2)*CM100+(1-EXP(-LN(2)/2))/(LN(2)/2)*CG101*CJ101*VLOOKUP('Données projet'!$B$12,Paramètres!$A$1:$I$89,3,0)*0.475*44/12</f>
        <v>0.79209259736300264</v>
      </c>
      <c r="CN101" s="22">
        <f t="shared" si="66"/>
        <v>16.23844070510615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1.1368683772161603E-13</v>
      </c>
      <c r="CU101" s="17">
        <f>CT101*VLOOKUP('Données projet'!$B$13,Paramètres!$A$1:$I$89,3,0)*VLOOKUP('Données projet'!$B$13,Paramètres!$A$1:$I$89,5,0)</f>
        <v>6.7984728957526396E-14</v>
      </c>
      <c r="CV101" s="13">
        <f t="shared" si="95"/>
        <v>1.0682447123141398E-12</v>
      </c>
      <c r="CW101" s="20">
        <f t="shared" si="67"/>
        <v>1.978932943548152E-12</v>
      </c>
      <c r="CX101" s="59">
        <f t="shared" si="68"/>
        <v>276.83665893463336</v>
      </c>
      <c r="CY101" s="59">
        <f ca="1">AVERAGE(OFFSET($CX$3,0,0,'Données projet'!$E$13+1,1))-AVERAGE(OFFSET($H$3,0,0,'Données projet'!$E$13+1,1))</f>
        <v>318.50474972254085</v>
      </c>
      <c r="CZ101" s="59">
        <f t="shared" si="96"/>
        <v>326.45858332753562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65.429421740068406</v>
      </c>
      <c r="DG101" s="21">
        <f>EXP(-LN(2)/25)*DG100+(1-EXP(-LN(2)/25))/(LN(2)/25)*Calculateur!DB101*Calculateur!DD101*VLOOKUP('Données projet'!$B$13,Paramètres!$A$1:$I$89,3,0)*0.475*44/12</f>
        <v>16.890526336466792</v>
      </c>
      <c r="DH101" s="21">
        <f>EXP(-LN(2)/2)*DH100+(1-EXP(-LN(2)/2))/(LN(2)/2)*DB101*DE101*VLOOKUP('Données projet'!$B$13,Paramètres!$A$1:$I$89,3,0)*0.475*44/12</f>
        <v>1.1436737599058818E-4</v>
      </c>
      <c r="DI101" s="22">
        <f t="shared" si="69"/>
        <v>82.320062443911183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3">
        <f>'Scénario référence'!$B$16*5+'Scénario référence'!$B$17*0+'Scénario référence'!$B$18*5</f>
        <v>5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67">
        <f t="shared" si="56"/>
        <v>183.33333333333334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5.6843418860808015E-14</v>
      </c>
      <c r="O102" s="13">
        <f>N102*VLOOKUP('Données projet'!$B$9,Paramètres!$A$1:$I$89,3,0)*VLOOKUP('Données projet'!$B$9,Paramètres!$A$1:$I$89,5,0)</f>
        <v>5.1431925385259088E-14</v>
      </c>
      <c r="P102" s="13">
        <f t="shared" si="87"/>
        <v>8.3482866290946129E-13</v>
      </c>
      <c r="Q102" s="20">
        <f t="shared" si="107"/>
        <v>1.5435705246133045E-12</v>
      </c>
      <c r="R102" s="59">
        <f t="shared" si="55"/>
        <v>277.12283935441167</v>
      </c>
      <c r="S102" s="59">
        <f ca="1">AVERAGE(OFFSET($R$3,0,0,'Données projet'!$E$9+1,1))-AVERAGE(OFFSET($H$3,0,0,'Données projet'!$E$9+1,1))</f>
        <v>214.60547318405733</v>
      </c>
      <c r="T102" s="59">
        <f t="shared" si="88"/>
        <v>306.35874106546646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5.3571789286549532</v>
      </c>
      <c r="AA102" s="21">
        <f>EXP(-LN(2)/25)*AA101+(1-EXP(-LN(2)/25))/(LN(2)/25)*Calculateur!V102*Calculateur!X102*VLOOKUP('Données projet'!$B$9,Paramètres!$A$1:$I$89,3,0)*0.475*44/12</f>
        <v>2.9573871981102444</v>
      </c>
      <c r="AB102" s="21">
        <f>EXP(-LN(2)/2)*AB101+(1-EXP(-LN(2)/2))/(LN(2)/2)*V102*Y102*VLOOKUP('Données projet'!$B$9,Paramètres!$A$1:$I$89,3,0)*0.475*44/12</f>
        <v>1.0274789768362319E-7</v>
      </c>
      <c r="AC102" s="22">
        <f t="shared" si="57"/>
        <v>8.314566229513094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8.9420000000000019</v>
      </c>
      <c r="AI102" s="13">
        <f>IF('Données projet'!$A$62&gt;35,AI101+AH102-AQ101,IF(A102&lt;'Données projet'!$A$62,$AF$205^A102,IF(A102='Données projet'!$A$62,'Données projet'!$B$62,AI101+AH102-AQ101)))</f>
        <v>357.49000000000052</v>
      </c>
      <c r="AJ102" s="13">
        <f>AI102*VLOOKUP('Données projet'!$B$10,Paramètres!$A$1:$I$89,3,0)*VLOOKUP('Données projet'!$B$10,Paramètres!$A$1:$I$89,5,0)</f>
        <v>362.49486000000059</v>
      </c>
      <c r="AK102" s="13">
        <f t="shared" si="89"/>
        <v>84.130056787487845</v>
      </c>
      <c r="AL102" s="20">
        <f t="shared" si="58"/>
        <v>777.87173007154217</v>
      </c>
      <c r="AM102" s="59">
        <f t="shared" si="59"/>
        <v>1054.9945694259522</v>
      </c>
      <c r="AN102" s="59">
        <f ca="1">AVERAGE(OFFSET($AM$3,0,0,'Données projet'!$E$10+1,1))-AVERAGE(OFFSET($H$3,0,0,'Données projet'!$E$10+1,1))</f>
        <v>752.45542076695506</v>
      </c>
      <c r="AO102" s="59">
        <f t="shared" si="90"/>
        <v>329.70629768420724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28.640200202537059</v>
      </c>
      <c r="AV102" s="21">
        <f>EXP(-LN(2)/25)*AV101+(1-EXP(-LN(2)/25))/(LN(2)/25)*Calculateur!AQ102*Calculateur!AS102*VLOOKUP('Données projet'!$B$10,Paramètres!$A$1:$I$89,3,0)*0.475*44/12</f>
        <v>27.499668729189136</v>
      </c>
      <c r="AW102" s="21">
        <f>EXP(-LN(2)/2)*AW101+(1-EXP(-LN(2)/2))/(LN(2)/2)*AQ102*AT102*VLOOKUP('Données projet'!$B$10,Paramètres!$A$1:$I$89,3,0)*0.475*44/12</f>
        <v>1.1752389930687137</v>
      </c>
      <c r="AX102" s="21">
        <f t="shared" si="60"/>
        <v>57.315107924794916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8.9420000000000019</v>
      </c>
      <c r="BD102" s="12">
        <f>IF('Données projet'!$A$88&gt;35,BD101+BC102-BL101,IF(A102&lt;'Données projet'!$A$88,$BA$205^A102,IF(A102='Données projet'!$A$88,'Données projet'!$B$88,BD101+BC102-BL101)))</f>
        <v>357.49000000000052</v>
      </c>
      <c r="BE102" s="13">
        <f>BD102*VLOOKUP('Données projet'!$B$11,Paramètres!$A$1:$I$89,3,0)*VLOOKUP('Données projet'!$B$11,Paramètres!$A$1:$I$89,5,0)</f>
        <v>323.45695200000046</v>
      </c>
      <c r="BF102" s="13">
        <f t="shared" si="91"/>
        <v>76.072189325282608</v>
      </c>
      <c r="BG102" s="20">
        <f t="shared" si="61"/>
        <v>695.84658780820121</v>
      </c>
      <c r="BH102" s="59">
        <f t="shared" si="62"/>
        <v>972.96942716261128</v>
      </c>
      <c r="BI102" s="59">
        <f ca="1">AVERAGE(OFFSET($BH$3,0,0,'Données projet'!$E$11+1,1))-AVERAGE(OFFSET($H$3,0,0,'Données projet'!$E$11+1,1))</f>
        <v>681.47578137804555</v>
      </c>
      <c r="BJ102" s="59">
        <f t="shared" si="92"/>
        <v>300.88511065995885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25.555870949956144</v>
      </c>
      <c r="BQ102" s="21">
        <f>EXP(-LN(2)/25)*BQ101+(1-EXP(-LN(2)/25))/(LN(2)/25)*Calculateur!BL102*Calculateur!BN102*VLOOKUP('Données projet'!$B$11,Paramètres!$A$1:$I$89,3,0)*0.475*44/12</f>
        <v>24.538165942968764</v>
      </c>
      <c r="BR102" s="21">
        <f>EXP(-LN(2)/2)*BR101+(1-EXP(-LN(2)/2))/(LN(2)/2)*BL102*BO102*VLOOKUP('Données projet'!$B$11,Paramètres!$A$1:$I$89,3,0)*0.475*44/12</f>
        <v>1.0486747938151593</v>
      </c>
      <c r="BS102" s="22">
        <f t="shared" si="63"/>
        <v>51.142711686740064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3.5897435897435912</v>
      </c>
      <c r="BY102" s="12">
        <f>IF('Données projet'!$A$114&gt;35,BY101+BX102-CG101,IF(A102&lt;'Données projet'!$A$114,$BV$205^A102,IF(A102='Données projet'!$A$114,'Données projet'!$B$114,BY101+BX102-CG101)))</f>
        <v>292.56410256410277</v>
      </c>
      <c r="BZ102" s="13">
        <f>BY102*VLOOKUP('Données projet'!$B$12,Paramètres!$A$1:$I$89,3,0)*VLOOKUP('Données projet'!$B$12,Paramètres!$A$1:$I$89,5,0)</f>
        <v>196.25200000000015</v>
      </c>
      <c r="CA102" s="13">
        <f t="shared" si="93"/>
        <v>48.919566058185396</v>
      </c>
      <c r="CB102" s="20">
        <f t="shared" si="64"/>
        <v>427.00714421800649</v>
      </c>
      <c r="CC102" s="59">
        <f t="shared" si="65"/>
        <v>704.12998357241668</v>
      </c>
      <c r="CD102" s="59">
        <f ca="1">AVERAGE(OFFSET($CC$3,0,0,'Données projet'!$E$12+1,1))-AVERAGE(OFFSET($H$3,0,0,'Données projet'!$E$12+1,1))</f>
        <v>335.73816489539837</v>
      </c>
      <c r="CE102" s="59">
        <f t="shared" si="94"/>
        <v>254.09787950201044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6.7665461690059665</v>
      </c>
      <c r="CL102" s="21">
        <f>EXP(-LN(2)/25)*CL101+(1-EXP(-LN(2)/25))/(LN(2)/25)*Calculateur!CG102*Calculateur!CI102*VLOOKUP('Données projet'!$B$12,Paramètres!$A$1:$I$89,3,0)*0.475*44/12</f>
        <v>8.3108114136787865</v>
      </c>
      <c r="CM102" s="21">
        <f>EXP(-LN(2)/2)*CM101+(1-EXP(-LN(2)/2))/(LN(2)/2)*CG102*CJ102*VLOOKUP('Données projet'!$B$12,Paramètres!$A$1:$I$89,3,0)*0.475*44/12</f>
        <v>0.56009404692304487</v>
      </c>
      <c r="CN102" s="22">
        <f t="shared" si="66"/>
        <v>15.637451629607797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1.1368683772161603E-13</v>
      </c>
      <c r="CU102" s="17">
        <f>CT102*VLOOKUP('Données projet'!$B$13,Paramètres!$A$1:$I$89,3,0)*VLOOKUP('Données projet'!$B$13,Paramètres!$A$1:$I$89,5,0)</f>
        <v>6.7984728957526396E-14</v>
      </c>
      <c r="CV102" s="13">
        <f t="shared" si="95"/>
        <v>1.0682447123141398E-12</v>
      </c>
      <c r="CW102" s="20">
        <f t="shared" si="67"/>
        <v>1.978932943548152E-12</v>
      </c>
      <c r="CX102" s="59">
        <f t="shared" si="68"/>
        <v>277.12283935441212</v>
      </c>
      <c r="CY102" s="59">
        <f ca="1">AVERAGE(OFFSET($CX$3,0,0,'Données projet'!$E$13+1,1))-AVERAGE(OFFSET($H$3,0,0,'Données projet'!$E$13+1,1))</f>
        <v>318.50474972254085</v>
      </c>
      <c r="CZ102" s="59">
        <f t="shared" si="96"/>
        <v>326.45858332753562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64.146390687752344</v>
      </c>
      <c r="DG102" s="21">
        <f>EXP(-LN(2)/25)*DG101+(1-EXP(-LN(2)/25))/(LN(2)/25)*Calculateur!DB102*Calculateur!DD102*VLOOKUP('Données projet'!$B$13,Paramètres!$A$1:$I$89,3,0)*0.475*44/12</f>
        <v>16.428654005561931</v>
      </c>
      <c r="DH102" s="21">
        <f>EXP(-LN(2)/2)*DH101+(1-EXP(-LN(2)/2))/(LN(2)/2)*DB102*DE102*VLOOKUP('Données projet'!$B$13,Paramètres!$A$1:$I$89,3,0)*0.475*44/12</f>
        <v>8.0869947109456442E-5</v>
      </c>
      <c r="DI102" s="22">
        <f t="shared" si="69"/>
        <v>80.575125563261395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3">
        <f>'Scénario référence'!$B$16*5+'Scénario référence'!$B$17*0+'Scénario référence'!$B$18*5</f>
        <v>5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67">
        <f t="shared" si="56"/>
        <v>183.33333333333334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5.6843418860808015E-14</v>
      </c>
      <c r="O103" s="13">
        <f>N103*VLOOKUP('Données projet'!$B$9,Paramètres!$A$1:$I$89,3,0)*VLOOKUP('Données projet'!$B$9,Paramètres!$A$1:$I$89,5,0)</f>
        <v>5.1431925385259088E-14</v>
      </c>
      <c r="P103" s="13">
        <f t="shared" si="87"/>
        <v>8.3482866290946129E-13</v>
      </c>
      <c r="Q103" s="20">
        <f t="shared" si="107"/>
        <v>1.5435705246133045E-12</v>
      </c>
      <c r="R103" s="59">
        <f t="shared" si="55"/>
        <v>277.40405518371074</v>
      </c>
      <c r="S103" s="59">
        <f ca="1">AVERAGE(OFFSET($R$3,0,0,'Données projet'!$E$9+1,1))-AVERAGE(OFFSET($H$3,0,0,'Données projet'!$E$9+1,1))</f>
        <v>214.60547318405733</v>
      </c>
      <c r="T103" s="59">
        <f t="shared" si="88"/>
        <v>306.35874106546646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5.2521279174205313</v>
      </c>
      <c r="AA103" s="21">
        <f>EXP(-LN(2)/25)*AA102+(1-EXP(-LN(2)/25))/(LN(2)/25)*Calculateur!V103*Calculateur!X103*VLOOKUP('Données projet'!$B$9,Paramètres!$A$1:$I$89,3,0)*0.475*44/12</f>
        <v>2.8765172896556863</v>
      </c>
      <c r="AB103" s="21">
        <f>EXP(-LN(2)/2)*AB102+(1-EXP(-LN(2)/2))/(LN(2)/2)*V103*Y103*VLOOKUP('Données projet'!$B$9,Paramètres!$A$1:$I$89,3,0)*0.475*44/12</f>
        <v>7.2653735204751516E-8</v>
      </c>
      <c r="AC103" s="22">
        <f t="shared" si="57"/>
        <v>8.1286452797299535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8.9420000000000019</v>
      </c>
      <c r="AI103" s="13">
        <f>IF('Données projet'!$A$62&gt;35,AI102+AH103-AQ102,IF(A103&lt;'Données projet'!$A$62,$AF$205^A103,IF(A103='Données projet'!$A$62,'Données projet'!$B$62,AI102+AH103-AQ102)))</f>
        <v>366.43200000000053</v>
      </c>
      <c r="AJ103" s="13">
        <f>AI103*VLOOKUP('Données projet'!$B$10,Paramètres!$A$1:$I$89,3,0)*VLOOKUP('Données projet'!$B$10,Paramètres!$A$1:$I$89,5,0)</f>
        <v>371.56204800000057</v>
      </c>
      <c r="AK103" s="13">
        <f t="shared" si="89"/>
        <v>85.986795441367093</v>
      </c>
      <c r="AL103" s="20">
        <f t="shared" si="58"/>
        <v>796.89756899371525</v>
      </c>
      <c r="AM103" s="59">
        <f t="shared" si="59"/>
        <v>1074.3016241774244</v>
      </c>
      <c r="AN103" s="59">
        <f ca="1">AVERAGE(OFFSET($AM$3,0,0,'Données projet'!$E$10+1,1))-AVERAGE(OFFSET($H$3,0,0,'Données projet'!$E$10+1,1))</f>
        <v>752.45542076695506</v>
      </c>
      <c r="AO103" s="59">
        <f t="shared" si="90"/>
        <v>329.70629768420724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28.078583345362532</v>
      </c>
      <c r="AV103" s="21">
        <f>EXP(-LN(2)/25)*AV102+(1-EXP(-LN(2)/25))/(LN(2)/25)*Calculateur!AQ103*Calculateur!AS103*VLOOKUP('Données projet'!$B$10,Paramètres!$A$1:$I$89,3,0)*0.475*44/12</f>
        <v>26.747688841644731</v>
      </c>
      <c r="AW103" s="21">
        <f>EXP(-LN(2)/2)*AW102+(1-EXP(-LN(2)/2))/(LN(2)/2)*AQ103*AT103*VLOOKUP('Données projet'!$B$10,Paramètres!$A$1:$I$89,3,0)*0.475*44/12</f>
        <v>0.8310194615137374</v>
      </c>
      <c r="AX103" s="21">
        <f t="shared" si="60"/>
        <v>55.657291648521003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8.9420000000000019</v>
      </c>
      <c r="BD103" s="12">
        <f>IF('Données projet'!$A$88&gt;35,BD102+BC103-BL102,IF(A103&lt;'Données projet'!$A$88,$BA$205^A103,IF(A103='Données projet'!$A$88,'Données projet'!$B$88,BD102+BC103-BL102)))</f>
        <v>366.43200000000053</v>
      </c>
      <c r="BE103" s="13">
        <f>BD103*VLOOKUP('Données projet'!$B$11,Paramètres!$A$1:$I$89,3,0)*VLOOKUP('Données projet'!$B$11,Paramètres!$A$1:$I$89,5,0)</f>
        <v>331.54767360000045</v>
      </c>
      <c r="BF103" s="13">
        <f t="shared" si="91"/>
        <v>77.751091964826287</v>
      </c>
      <c r="BG103" s="20">
        <f t="shared" si="61"/>
        <v>712.86201669207321</v>
      </c>
      <c r="BH103" s="59">
        <f t="shared" si="62"/>
        <v>990.26607187578247</v>
      </c>
      <c r="BI103" s="59">
        <f ca="1">AVERAGE(OFFSET($BH$3,0,0,'Données projet'!$E$11+1,1))-AVERAGE(OFFSET($H$3,0,0,'Données projet'!$E$11+1,1))</f>
        <v>681.47578137804555</v>
      </c>
      <c r="BJ103" s="59">
        <f t="shared" si="92"/>
        <v>300.88511065995885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25.054735908169643</v>
      </c>
      <c r="BQ103" s="21">
        <f>EXP(-LN(2)/25)*BQ102+(1-EXP(-LN(2)/25))/(LN(2)/25)*Calculateur!BL103*Calculateur!BN103*VLOOKUP('Données projet'!$B$11,Paramètres!$A$1:$I$89,3,0)*0.475*44/12</f>
        <v>23.86716850485222</v>
      </c>
      <c r="BR103" s="21">
        <f>EXP(-LN(2)/2)*BR102+(1-EXP(-LN(2)/2))/(LN(2)/2)*BL103*BO103*VLOOKUP('Données projet'!$B$11,Paramètres!$A$1:$I$89,3,0)*0.475*44/12</f>
        <v>0.74152505796610368</v>
      </c>
      <c r="BS103" s="22">
        <f t="shared" si="63"/>
        <v>49.663429470987964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>
        <f>VLOOKUP(A103,'Données projet'!$A$113:$I$133,2,0)</f>
        <v>296.15384615384613</v>
      </c>
      <c r="BW103" s="12">
        <f>VLOOKUP(A103,'Données projet'!$A$113:$I$133,9,0)</f>
        <v>3.5897435897435912</v>
      </c>
      <c r="BX103" s="12">
        <f t="array" ref="BX103">INDEX(BW:BW,MIN(IF(ISNUMBER(BW103:BW299),ROW(BW103:BW299),"")))</f>
        <v>3.5897435897435912</v>
      </c>
      <c r="BY103" s="12">
        <f>IF('Données projet'!$A$114&gt;35,BY102+BX103-CG102,IF(A103&lt;'Données projet'!$A$114,$BV$205^A103,IF(A103='Données projet'!$A$114,'Données projet'!$B$114,BY102+BX103-CG102)))</f>
        <v>296.15384615384636</v>
      </c>
      <c r="BZ103" s="13">
        <f>BY103*VLOOKUP('Données projet'!$B$12,Paramètres!$A$1:$I$89,3,0)*VLOOKUP('Données projet'!$B$12,Paramètres!$A$1:$I$89,5,0)</f>
        <v>198.66000000000014</v>
      </c>
      <c r="CA103" s="13">
        <f t="shared" si="93"/>
        <v>49.449561161821755</v>
      </c>
      <c r="CB103" s="20">
        <f t="shared" si="64"/>
        <v>432.12415235683983</v>
      </c>
      <c r="CC103" s="59">
        <f t="shared" si="65"/>
        <v>709.52820754054903</v>
      </c>
      <c r="CD103" s="59">
        <f ca="1">AVERAGE(OFFSET($CC$3,0,0,'Données projet'!$E$12+1,1))-AVERAGE(OFFSET($H$3,0,0,'Données projet'!$E$12+1,1))</f>
        <v>335.73816489539837</v>
      </c>
      <c r="CE103" s="59">
        <f t="shared" si="94"/>
        <v>254.09787950201044</v>
      </c>
      <c r="CF103" s="15">
        <f>IF(ISNA(VLOOKUP(A103,'Données projet'!$A$113:$I$133,3,0)),0,VLOOKUP(A103,'Données projet'!$A$113:$I$133,3,0))</f>
        <v>18</v>
      </c>
      <c r="CG103" s="15">
        <f>IF(ISNA(VLOOKUP(A103,'Données projet'!$A$113:$I$133,4,0)),0,VLOOKUP(A103,'Données projet'!$A$113:$I$133,4,0))</f>
        <v>10.897435897435898</v>
      </c>
      <c r="CH103" s="16">
        <f>IF(ISNA(VLOOKUP(A103,'Données projet'!$A$113:$I$133,5,0)),0%,VLOOKUP(A103,'Données projet'!$A$113:$I$133,5,0)*VLOOKUP('Données projet'!$B$12,Paramètres!$A$1:$I$89,7,0))</f>
        <v>0.13250000000000001</v>
      </c>
      <c r="CI103" s="16">
        <f>IF(ISNA(VLOOKUP(A103,'Données projet'!$A$113:$I$133,6,0)),0%,VLOOKUP(A103,'Données projet'!$A$113:$I$133,6,0)*VLOOKUP('Données projet'!$B$12,Paramètres!$A$1:$I$89,7,0))</f>
        <v>0.13250000000000001</v>
      </c>
      <c r="CJ103" s="16">
        <f>IF(ISNA(VLOOKUP(A103,'Données projet'!$A$113:$I$133,7,0)),0%,VLOOKUP(A103,'Données projet'!$A$113:$I$133,7,0))</f>
        <v>0.25</v>
      </c>
      <c r="CK103" s="21">
        <f>EXP(-LN(2)/35)*CK102+(1-EXP(-LN(2)/35))/(LN(2)/35)*CG103*CH103*VLOOKUP('Données projet'!$B$12,Paramètres!$A$1:$I$89,3,0)*0.475*44/12</f>
        <v>7.7045892986735245</v>
      </c>
      <c r="CL103" s="21">
        <f>EXP(-LN(2)/25)*CL102+(1-EXP(-LN(2)/25))/(LN(2)/25)*Calculateur!CG103*Calculateur!CI103*VLOOKUP('Données projet'!$B$12,Paramètres!$A$1:$I$89,3,0)*0.475*44/12</f>
        <v>9.1500669355606696</v>
      </c>
      <c r="CM103" s="21">
        <f>EXP(-LN(2)/2)*CM102+(1-EXP(-LN(2)/2))/(LN(2)/2)*CG103*CJ103*VLOOKUP('Données projet'!$B$12,Paramètres!$A$1:$I$89,3,0)*0.475*44/12</f>
        <v>2.1203417351228482</v>
      </c>
      <c r="CN103" s="22">
        <f t="shared" si="66"/>
        <v>18.974997969357045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1.1368683772161603E-13</v>
      </c>
      <c r="CU103" s="17">
        <f>CT103*VLOOKUP('Données projet'!$B$13,Paramètres!$A$1:$I$89,3,0)*VLOOKUP('Données projet'!$B$13,Paramètres!$A$1:$I$89,5,0)</f>
        <v>6.7984728957526396E-14</v>
      </c>
      <c r="CV103" s="13">
        <f t="shared" si="95"/>
        <v>1.0682447123141398E-12</v>
      </c>
      <c r="CW103" s="20">
        <f t="shared" si="67"/>
        <v>1.978932943548152E-12</v>
      </c>
      <c r="CX103" s="59">
        <f t="shared" si="68"/>
        <v>277.40405518371119</v>
      </c>
      <c r="CY103" s="59">
        <f ca="1">AVERAGE(OFFSET($CX$3,0,0,'Données projet'!$E$13+1,1))-AVERAGE(OFFSET($H$3,0,0,'Données projet'!$E$13+1,1))</f>
        <v>318.50474972254085</v>
      </c>
      <c r="CZ103" s="59">
        <f t="shared" si="96"/>
        <v>326.45858332753562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62.888519091800525</v>
      </c>
      <c r="DG103" s="21">
        <f>EXP(-LN(2)/25)*DG102+(1-EXP(-LN(2)/25))/(LN(2)/25)*Calculateur!DB103*Calculateur!DD103*VLOOKUP('Données projet'!$B$13,Paramètres!$A$1:$I$89,3,0)*0.475*44/12</f>
        <v>15.979411597834474</v>
      </c>
      <c r="DH103" s="21">
        <f>EXP(-LN(2)/2)*DH102+(1-EXP(-LN(2)/2))/(LN(2)/2)*DB103*DE103*VLOOKUP('Données projet'!$B$13,Paramètres!$A$1:$I$89,3,0)*0.475*44/12</f>
        <v>5.7183687995294088E-5</v>
      </c>
      <c r="DI103" s="22">
        <f t="shared" si="69"/>
        <v>78.867987873323003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3">
        <f>'Scénario référence'!$B$16*5+'Scénario référence'!$B$17*0+'Scénario référence'!$B$18*5</f>
        <v>5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67">
        <f t="shared" si="56"/>
        <v>183.33333333333334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5.6843418860808015E-14</v>
      </c>
      <c r="O104" s="13">
        <f>N104*VLOOKUP('Données projet'!$B$9,Paramètres!$A$1:$I$89,3,0)*VLOOKUP('Données projet'!$B$9,Paramètres!$A$1:$I$89,5,0)</f>
        <v>5.1431925385259088E-14</v>
      </c>
      <c r="P104" s="13">
        <f t="shared" si="87"/>
        <v>8.3482866290946129E-13</v>
      </c>
      <c r="Q104" s="20">
        <f t="shared" si="107"/>
        <v>1.5435705246133045E-12</v>
      </c>
      <c r="R104" s="59">
        <f t="shared" si="55"/>
        <v>277.68039254707594</v>
      </c>
      <c r="S104" s="59">
        <f ca="1">AVERAGE(OFFSET($R$3,0,0,'Données projet'!$E$9+1,1))-AVERAGE(OFFSET($H$3,0,0,'Données projet'!$E$9+1,1))</f>
        <v>214.60547318405733</v>
      </c>
      <c r="T104" s="59">
        <f t="shared" si="88"/>
        <v>306.35874106546646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5.1491368924416268</v>
      </c>
      <c r="AA104" s="21">
        <f>EXP(-LN(2)/25)*AA103+(1-EXP(-LN(2)/25))/(LN(2)/25)*Calculateur!V104*Calculateur!X104*VLOOKUP('Données projet'!$B$9,Paramètres!$A$1:$I$89,3,0)*0.475*44/12</f>
        <v>2.7978587731005815</v>
      </c>
      <c r="AB104" s="21">
        <f>EXP(-LN(2)/2)*AB103+(1-EXP(-LN(2)/2))/(LN(2)/2)*V104*Y104*VLOOKUP('Données projet'!$B$9,Paramètres!$A$1:$I$89,3,0)*0.475*44/12</f>
        <v>5.1373948841811595E-8</v>
      </c>
      <c r="AC104" s="22">
        <f t="shared" si="57"/>
        <v>7.9469957169161569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8.9420000000000019</v>
      </c>
      <c r="AI104" s="13">
        <f>IF('Données projet'!$A$62&gt;35,AI103+AH104-AQ103,IF(A104&lt;'Données projet'!$A$62,$AF$205^A104,IF(A104='Données projet'!$A$62,'Données projet'!$B$62,AI103+AH104-AQ103)))</f>
        <v>375.37400000000054</v>
      </c>
      <c r="AJ104" s="13">
        <f>AI104*VLOOKUP('Données projet'!$B$10,Paramètres!$A$1:$I$89,3,0)*VLOOKUP('Données projet'!$B$10,Paramètres!$A$1:$I$89,5,0)</f>
        <v>380.62923600000056</v>
      </c>
      <c r="AK104" s="13">
        <f t="shared" si="89"/>
        <v>87.83826696657087</v>
      </c>
      <c r="AL104" s="20">
        <f t="shared" si="58"/>
        <v>815.91423433344517</v>
      </c>
      <c r="AM104" s="59">
        <f t="shared" si="59"/>
        <v>1093.5946268805196</v>
      </c>
      <c r="AN104" s="59">
        <f ca="1">AVERAGE(OFFSET($AM$3,0,0,'Données projet'!$E$10+1,1))-AVERAGE(OFFSET($H$3,0,0,'Données projet'!$E$10+1,1))</f>
        <v>752.45542076695506</v>
      </c>
      <c r="AO104" s="59">
        <f t="shared" si="90"/>
        <v>329.70629768420724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27.527979452204736</v>
      </c>
      <c r="AV104" s="21">
        <f>EXP(-LN(2)/25)*AV103+(1-EXP(-LN(2)/25))/(LN(2)/25)*Calculateur!AQ104*Calculateur!AS104*VLOOKUP('Données projet'!$B$10,Paramètres!$A$1:$I$89,3,0)*0.475*44/12</f>
        <v>26.016271883670132</v>
      </c>
      <c r="AW104" s="21">
        <f>EXP(-LN(2)/2)*AW103+(1-EXP(-LN(2)/2))/(LN(2)/2)*AQ104*AT104*VLOOKUP('Données projet'!$B$10,Paramètres!$A$1:$I$89,3,0)*0.475*44/12</f>
        <v>0.58761949653435686</v>
      </c>
      <c r="AX104" s="21">
        <f t="shared" si="60"/>
        <v>54.131870832409227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8.9420000000000019</v>
      </c>
      <c r="BD104" s="12">
        <f>IF('Données projet'!$A$88&gt;35,BD103+BC104-BL103,IF(A104&lt;'Données projet'!$A$88,$BA$205^A104,IF(A104='Données projet'!$A$88,'Données projet'!$B$88,BD103+BC104-BL103)))</f>
        <v>375.37400000000054</v>
      </c>
      <c r="BE104" s="13">
        <f>BD104*VLOOKUP('Données projet'!$B$11,Paramètres!$A$1:$I$89,3,0)*VLOOKUP('Données projet'!$B$11,Paramètres!$A$1:$I$89,5,0)</f>
        <v>339.6383952000005</v>
      </c>
      <c r="BF104" s="13">
        <f t="shared" si="91"/>
        <v>79.425231954431325</v>
      </c>
      <c r="BG104" s="20">
        <f t="shared" si="61"/>
        <v>729.86915062730213</v>
      </c>
      <c r="BH104" s="59">
        <f t="shared" si="62"/>
        <v>1007.5495431743766</v>
      </c>
      <c r="BI104" s="59">
        <f ca="1">AVERAGE(OFFSET($BH$3,0,0,'Données projet'!$E$11+1,1))-AVERAGE(OFFSET($H$3,0,0,'Données projet'!$E$11+1,1))</f>
        <v>681.47578137804555</v>
      </c>
      <c r="BJ104" s="59">
        <f t="shared" si="92"/>
        <v>300.88511065995885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24.563427818890382</v>
      </c>
      <c r="BQ104" s="21">
        <f>EXP(-LN(2)/25)*BQ103+(1-EXP(-LN(2)/25))/(LN(2)/25)*Calculateur!BL104*Calculateur!BN104*VLOOKUP('Données projet'!$B$11,Paramètres!$A$1:$I$89,3,0)*0.475*44/12</f>
        <v>23.214519526967194</v>
      </c>
      <c r="BR104" s="21">
        <f>EXP(-LN(2)/2)*BR103+(1-EXP(-LN(2)/2))/(LN(2)/2)*BL104*BO104*VLOOKUP('Données projet'!$B$11,Paramètres!$A$1:$I$89,3,0)*0.475*44/12</f>
        <v>0.52433739690757963</v>
      </c>
      <c r="BS104" s="22">
        <f t="shared" si="63"/>
        <v>48.302284742765153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3.2051282051282102</v>
      </c>
      <c r="BY104" s="12">
        <f>IF('Données projet'!$A$114&gt;35,BY103+BX104-CG103,IF(A104&lt;'Données projet'!$A$114,$BV$205^A104,IF(A104='Données projet'!$A$114,'Données projet'!$B$114,BY103+BX104-CG103)))</f>
        <v>288.46153846153868</v>
      </c>
      <c r="BZ104" s="13">
        <f>BY104*VLOOKUP('Données projet'!$B$12,Paramètres!$A$1:$I$89,3,0)*VLOOKUP('Données projet'!$B$12,Paramètres!$A$1:$I$89,5,0)</f>
        <v>193.50000000000014</v>
      </c>
      <c r="CA104" s="13">
        <f t="shared" si="93"/>
        <v>48.312929194247467</v>
      </c>
      <c r="CB104" s="20">
        <f t="shared" si="64"/>
        <v>421.15751834664792</v>
      </c>
      <c r="CC104" s="59">
        <f t="shared" si="65"/>
        <v>698.83791089372232</v>
      </c>
      <c r="CD104" s="59">
        <f ca="1">AVERAGE(OFFSET($CC$3,0,0,'Données projet'!$E$12+1,1))-AVERAGE(OFFSET($H$3,0,0,'Données projet'!$E$12+1,1))</f>
        <v>335.73816489539837</v>
      </c>
      <c r="CE104" s="59">
        <f t="shared" si="94"/>
        <v>254.09787950201044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7.5535070018619876</v>
      </c>
      <c r="CL104" s="21">
        <f>EXP(-LN(2)/25)*CL103+(1-EXP(-LN(2)/25))/(LN(2)/25)*Calculateur!CG104*Calculateur!CI104*VLOOKUP('Données projet'!$B$12,Paramètres!$A$1:$I$89,3,0)*0.475*44/12</f>
        <v>8.8998578740266563</v>
      </c>
      <c r="CM104" s="21">
        <f>EXP(-LN(2)/2)*CM103+(1-EXP(-LN(2)/2))/(LN(2)/2)*CG104*CJ104*VLOOKUP('Données projet'!$B$12,Paramètres!$A$1:$I$89,3,0)*0.475*44/12</f>
        <v>1.4993080193382164</v>
      </c>
      <c r="CN104" s="22">
        <f t="shared" si="66"/>
        <v>17.952672895226861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1.1368683772161603E-13</v>
      </c>
      <c r="CU104" s="17">
        <f>CT104*VLOOKUP('Données projet'!$B$13,Paramètres!$A$1:$I$89,3,0)*VLOOKUP('Données projet'!$B$13,Paramètres!$A$1:$I$89,5,0)</f>
        <v>6.7984728957526396E-14</v>
      </c>
      <c r="CV104" s="13">
        <f t="shared" si="95"/>
        <v>1.0682447123141398E-12</v>
      </c>
      <c r="CW104" s="20">
        <f t="shared" si="67"/>
        <v>1.978932943548152E-12</v>
      </c>
      <c r="CX104" s="59">
        <f t="shared" si="68"/>
        <v>277.68039254707639</v>
      </c>
      <c r="CY104" s="59">
        <f ca="1">AVERAGE(OFFSET($CX$3,0,0,'Données projet'!$E$13+1,1))-AVERAGE(OFFSET($H$3,0,0,'Données projet'!$E$13+1,1))</f>
        <v>318.50474972254085</v>
      </c>
      <c r="CZ104" s="59">
        <f t="shared" si="96"/>
        <v>326.45858332753562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61.655313590619407</v>
      </c>
      <c r="DG104" s="21">
        <f>EXP(-LN(2)/25)*DG103+(1-EXP(-LN(2)/25))/(LN(2)/25)*Calculateur!DB104*Calculateur!DD104*VLOOKUP('Données projet'!$B$13,Paramètres!$A$1:$I$89,3,0)*0.475*44/12</f>
        <v>15.542453747370956</v>
      </c>
      <c r="DH104" s="21">
        <f>EXP(-LN(2)/2)*DH103+(1-EXP(-LN(2)/2))/(LN(2)/2)*DB104*DE104*VLOOKUP('Données projet'!$B$13,Paramètres!$A$1:$I$89,3,0)*0.475*44/12</f>
        <v>4.0434973554728221E-5</v>
      </c>
      <c r="DI104" s="22">
        <f t="shared" si="69"/>
        <v>77.197807772963927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3">
        <f>'Scénario référence'!$B$16*5+'Scénario référence'!$B$17*0+'Scénario référence'!$B$18*5</f>
        <v>5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67">
        <f t="shared" si="56"/>
        <v>183.33333333333334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5.6843418860808015E-14</v>
      </c>
      <c r="O105" s="13">
        <f>N105*VLOOKUP('Données projet'!$B$9,Paramètres!$A$1:$I$89,3,0)*VLOOKUP('Données projet'!$B$9,Paramètres!$A$1:$I$89,5,0)</f>
        <v>5.1431925385259088E-14</v>
      </c>
      <c r="P105" s="13">
        <f t="shared" si="87"/>
        <v>8.3482866290946129E-13</v>
      </c>
      <c r="Q105" s="20">
        <f t="shared" si="107"/>
        <v>1.5435705246133045E-12</v>
      </c>
      <c r="R105" s="59">
        <f t="shared" si="55"/>
        <v>277.95193607498447</v>
      </c>
      <c r="S105" s="59">
        <f ca="1">AVERAGE(OFFSET($R$3,0,0,'Données projet'!$E$9+1,1))-AVERAGE(OFFSET($H$3,0,0,'Données projet'!$E$9+1,1))</f>
        <v>214.60547318405733</v>
      </c>
      <c r="T105" s="59">
        <f t="shared" si="88"/>
        <v>306.35874106546646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5.0481654586442364</v>
      </c>
      <c r="AA105" s="21">
        <f>EXP(-LN(2)/25)*AA104+(1-EXP(-LN(2)/25))/(LN(2)/25)*Calculateur!V105*Calculateur!X105*VLOOKUP('Données projet'!$B$9,Paramètres!$A$1:$I$89,3,0)*0.475*44/12</f>
        <v>2.721351177817148</v>
      </c>
      <c r="AB105" s="21">
        <f>EXP(-LN(2)/2)*AB104+(1-EXP(-LN(2)/2))/(LN(2)/2)*V105*Y105*VLOOKUP('Données projet'!$B$9,Paramètres!$A$1:$I$89,3,0)*0.475*44/12</f>
        <v>3.6326867602375758E-8</v>
      </c>
      <c r="AC105" s="22">
        <f t="shared" si="57"/>
        <v>7.7695166727882521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8.9420000000000019</v>
      </c>
      <c r="AI105" s="13">
        <f>IF('Données projet'!$A$62&gt;35,AI104+AH105-AQ104,IF(A105&lt;'Données projet'!$A$62,$AF$205^A105,IF(A105='Données projet'!$A$62,'Données projet'!$B$62,AI104+AH105-AQ104)))</f>
        <v>384.31600000000054</v>
      </c>
      <c r="AJ105" s="13">
        <f>AI105*VLOOKUP('Données projet'!$B$10,Paramètres!$A$1:$I$89,3,0)*VLOOKUP('Données projet'!$B$10,Paramètres!$A$1:$I$89,5,0)</f>
        <v>389.6964240000006</v>
      </c>
      <c r="AK105" s="13">
        <f t="shared" si="89"/>
        <v>89.684611271990661</v>
      </c>
      <c r="AL105" s="20">
        <f t="shared" si="58"/>
        <v>834.9219697653848</v>
      </c>
      <c r="AM105" s="59">
        <f t="shared" si="59"/>
        <v>1112.8739058403678</v>
      </c>
      <c r="AN105" s="59">
        <f ca="1">AVERAGE(OFFSET($AM$3,0,0,'Données projet'!$E$10+1,1))-AVERAGE(OFFSET($H$3,0,0,'Données projet'!$E$10+1,1))</f>
        <v>752.45542076695506</v>
      </c>
      <c r="AO105" s="59">
        <f t="shared" si="90"/>
        <v>329.70629768420724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26.988172565556553</v>
      </c>
      <c r="AV105" s="21">
        <f>EXP(-LN(2)/25)*AV104+(1-EXP(-LN(2)/25))/(LN(2)/25)*Calculateur!AQ105*Calculateur!AS105*VLOOKUP('Données projet'!$B$10,Paramètres!$A$1:$I$89,3,0)*0.475*44/12</f>
        <v>25.304855560874895</v>
      </c>
      <c r="AW105" s="21">
        <f>EXP(-LN(2)/2)*AW104+(1-EXP(-LN(2)/2))/(LN(2)/2)*AQ105*AT105*VLOOKUP('Données projet'!$B$10,Paramètres!$A$1:$I$89,3,0)*0.475*44/12</f>
        <v>0.4155097307568687</v>
      </c>
      <c r="AX105" s="21">
        <f t="shared" si="60"/>
        <v>52.708537857188318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8.9420000000000019</v>
      </c>
      <c r="BD105" s="12">
        <f>IF('Données projet'!$A$88&gt;35,BD104+BC105-BL104,IF(A105&lt;'Données projet'!$A$88,$BA$205^A105,IF(A105='Données projet'!$A$88,'Données projet'!$B$88,BD104+BC105-BL104)))</f>
        <v>384.31600000000054</v>
      </c>
      <c r="BE105" s="13">
        <f>BD105*VLOOKUP('Données projet'!$B$11,Paramètres!$A$1:$I$89,3,0)*VLOOKUP('Données projet'!$B$11,Paramètres!$A$1:$I$89,5,0)</f>
        <v>347.7291168000005</v>
      </c>
      <c r="BF105" s="13">
        <f t="shared" si="91"/>
        <v>81.094735802697301</v>
      </c>
      <c r="BG105" s="20">
        <f t="shared" si="61"/>
        <v>746.86820994969855</v>
      </c>
      <c r="BH105" s="59">
        <f t="shared" si="62"/>
        <v>1024.8201460246814</v>
      </c>
      <c r="BI105" s="59">
        <f ca="1">AVERAGE(OFFSET($BH$3,0,0,'Données projet'!$E$11+1,1))-AVERAGE(OFFSET($H$3,0,0,'Données projet'!$E$11+1,1))</f>
        <v>681.47578137804555</v>
      </c>
      <c r="BJ105" s="59">
        <f t="shared" si="92"/>
        <v>300.88511065995885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24.081753981573542</v>
      </c>
      <c r="BQ105" s="21">
        <f>EXP(-LN(2)/25)*BQ104+(1-EXP(-LN(2)/25))/(LN(2)/25)*Calculateur!BL105*Calculateur!BN105*VLOOKUP('Données projet'!$B$11,Paramètres!$A$1:$I$89,3,0)*0.475*44/12</f>
        <v>22.579717269703753</v>
      </c>
      <c r="BR105" s="21">
        <f>EXP(-LN(2)/2)*BR104+(1-EXP(-LN(2)/2))/(LN(2)/2)*BL105*BO105*VLOOKUP('Données projet'!$B$11,Paramètres!$A$1:$I$89,3,0)*0.475*44/12</f>
        <v>0.37076252898305184</v>
      </c>
      <c r="BS105" s="22">
        <f t="shared" si="63"/>
        <v>47.032233780260341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3.2051282051282102</v>
      </c>
      <c r="BY105" s="12">
        <f>IF('Données projet'!$A$114&gt;35,BY104+BX105-CG104,IF(A105&lt;'Données projet'!$A$114,$BV$205^A105,IF(A105='Données projet'!$A$114,'Données projet'!$B$114,BY104+BX105-CG104)))</f>
        <v>291.66666666666691</v>
      </c>
      <c r="BZ105" s="13">
        <f>BY105*VLOOKUP('Données projet'!$B$12,Paramètres!$A$1:$I$89,3,0)*VLOOKUP('Données projet'!$B$12,Paramètres!$A$1:$I$89,5,0)</f>
        <v>195.65000000000018</v>
      </c>
      <c r="CA105" s="13">
        <f t="shared" si="93"/>
        <v>48.786949327182981</v>
      </c>
      <c r="CB105" s="20">
        <f t="shared" si="64"/>
        <v>425.72768674484399</v>
      </c>
      <c r="CC105" s="59">
        <f t="shared" si="65"/>
        <v>703.67962281982693</v>
      </c>
      <c r="CD105" s="59">
        <f ca="1">AVERAGE(OFFSET($CC$3,0,0,'Données projet'!$E$12+1,1))-AVERAGE(OFFSET($H$3,0,0,'Données projet'!$E$12+1,1))</f>
        <v>335.73816489539837</v>
      </c>
      <c r="CE105" s="59">
        <f t="shared" si="94"/>
        <v>254.09787950201044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7.4053873367398237</v>
      </c>
      <c r="CL105" s="21">
        <f>EXP(-LN(2)/25)*CL104+(1-EXP(-LN(2)/25))/(LN(2)/25)*Calculateur!CG105*Calculateur!CI105*VLOOKUP('Données projet'!$B$12,Paramètres!$A$1:$I$89,3,0)*0.475*44/12</f>
        <v>8.6564907924382126</v>
      </c>
      <c r="CM105" s="21">
        <f>EXP(-LN(2)/2)*CM104+(1-EXP(-LN(2)/2))/(LN(2)/2)*CG105*CJ105*VLOOKUP('Données projet'!$B$12,Paramètres!$A$1:$I$89,3,0)*0.475*44/12</f>
        <v>1.0601708675614243</v>
      </c>
      <c r="CN105" s="22">
        <f t="shared" si="66"/>
        <v>17.122048996739462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1.1368683772161603E-13</v>
      </c>
      <c r="CU105" s="17">
        <f>CT105*VLOOKUP('Données projet'!$B$13,Paramètres!$A$1:$I$89,3,0)*VLOOKUP('Données projet'!$B$13,Paramètres!$A$1:$I$89,5,0)</f>
        <v>6.7984728957526396E-14</v>
      </c>
      <c r="CV105" s="13">
        <f t="shared" si="95"/>
        <v>1.0682447123141398E-12</v>
      </c>
      <c r="CW105" s="20">
        <f t="shared" si="67"/>
        <v>1.978932943548152E-12</v>
      </c>
      <c r="CX105" s="59">
        <f t="shared" si="68"/>
        <v>277.95193607498493</v>
      </c>
      <c r="CY105" s="59">
        <f ca="1">AVERAGE(OFFSET($CX$3,0,0,'Données projet'!$E$13+1,1))-AVERAGE(OFFSET($H$3,0,0,'Données projet'!$E$13+1,1))</f>
        <v>318.50474972254085</v>
      </c>
      <c r="CZ105" s="59">
        <f t="shared" si="96"/>
        <v>326.45858332753562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60.446290497135365</v>
      </c>
      <c r="DG105" s="21">
        <f>EXP(-LN(2)/25)*DG104+(1-EXP(-LN(2)/25))/(LN(2)/25)*Calculateur!DB105*Calculateur!DD105*VLOOKUP('Données projet'!$B$13,Paramètres!$A$1:$I$89,3,0)*0.475*44/12</f>
        <v>15.117444532306978</v>
      </c>
      <c r="DH105" s="21">
        <f>EXP(-LN(2)/2)*DH104+(1-EXP(-LN(2)/2))/(LN(2)/2)*DB105*DE105*VLOOKUP('Données projet'!$B$13,Paramètres!$A$1:$I$89,3,0)*0.475*44/12</f>
        <v>2.8591843997647044E-5</v>
      </c>
      <c r="DI105" s="22">
        <f t="shared" si="69"/>
        <v>75.563763621286341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3">
        <f>'Scénario référence'!$B$16*5+'Scénario référence'!$B$17*0+'Scénario référence'!$B$18*5</f>
        <v>5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67">
        <f t="shared" si="56"/>
        <v>183.33333333333334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5.6843418860808015E-14</v>
      </c>
      <c r="O106" s="13">
        <f>N106*VLOOKUP('Données projet'!$B$9,Paramètres!$A$1:$I$89,3,0)*VLOOKUP('Données projet'!$B$9,Paramètres!$A$1:$I$89,5,0)</f>
        <v>5.1431925385259088E-14</v>
      </c>
      <c r="P106" s="13">
        <f t="shared" si="87"/>
        <v>8.3482866290946129E-13</v>
      </c>
      <c r="Q106" s="20">
        <f t="shared" si="107"/>
        <v>1.5435705246133045E-12</v>
      </c>
      <c r="R106" s="59">
        <f t="shared" si="55"/>
        <v>278.21876892976422</v>
      </c>
      <c r="S106" s="59">
        <f ca="1">AVERAGE(OFFSET($R$3,0,0,'Données projet'!$E$9+1,1))-AVERAGE(OFFSET($H$3,0,0,'Données projet'!$E$9+1,1))</f>
        <v>214.60547318405733</v>
      </c>
      <c r="T106" s="59">
        <f t="shared" si="88"/>
        <v>306.35874106546646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4.9491740130771191</v>
      </c>
      <c r="AA106" s="21">
        <f>EXP(-LN(2)/25)*AA105+(1-EXP(-LN(2)/25))/(LN(2)/25)*Calculateur!V106*Calculateur!X106*VLOOKUP('Données projet'!$B$9,Paramètres!$A$1:$I$89,3,0)*0.475*44/12</f>
        <v>2.6469356867500995</v>
      </c>
      <c r="AB106" s="21">
        <f>EXP(-LN(2)/2)*AB105+(1-EXP(-LN(2)/2))/(LN(2)/2)*V106*Y106*VLOOKUP('Données projet'!$B$9,Paramètres!$A$1:$I$89,3,0)*0.475*44/12</f>
        <v>2.5686974420905798E-8</v>
      </c>
      <c r="AC106" s="22">
        <f t="shared" si="57"/>
        <v>7.5961097255141929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8.9420000000000019</v>
      </c>
      <c r="AI106" s="13">
        <f>IF('Données projet'!$A$62&gt;35,AI105+AH106-AQ105,IF(A106&lt;'Données projet'!$A$62,$AF$205^A106,IF(A106='Données projet'!$A$62,'Données projet'!$B$62,AI105+AH106-AQ105)))</f>
        <v>393.25800000000055</v>
      </c>
      <c r="AJ106" s="13">
        <f>AI106*VLOOKUP('Données projet'!$B$10,Paramètres!$A$1:$I$89,3,0)*VLOOKUP('Données projet'!$B$10,Paramètres!$A$1:$I$89,5,0)</f>
        <v>398.76361200000059</v>
      </c>
      <c r="AK106" s="13">
        <f t="shared" si="89"/>
        <v>91.525961384445637</v>
      </c>
      <c r="AL106" s="20">
        <f t="shared" si="58"/>
        <v>853.92100697791045</v>
      </c>
      <c r="AM106" s="59">
        <f t="shared" si="59"/>
        <v>1132.1397759076731</v>
      </c>
      <c r="AN106" s="59">
        <f ca="1">AVERAGE(OFFSET($AM$3,0,0,'Données projet'!$E$10+1,1))-AVERAGE(OFFSET($H$3,0,0,'Données projet'!$E$10+1,1))</f>
        <v>752.45542076695506</v>
      </c>
      <c r="AO106" s="59">
        <f t="shared" si="90"/>
        <v>329.70629768420724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26.458950962705849</v>
      </c>
      <c r="AV106" s="21">
        <f>EXP(-LN(2)/25)*AV105+(1-EXP(-LN(2)/25))/(LN(2)/25)*Calculateur!AQ106*Calculateur!AS106*VLOOKUP('Données projet'!$B$10,Paramètres!$A$1:$I$89,3,0)*0.475*44/12</f>
        <v>24.612892954838252</v>
      </c>
      <c r="AW106" s="21">
        <f>EXP(-LN(2)/2)*AW105+(1-EXP(-LN(2)/2))/(LN(2)/2)*AQ106*AT106*VLOOKUP('Données projet'!$B$10,Paramètres!$A$1:$I$89,3,0)*0.475*44/12</f>
        <v>0.29380974826717843</v>
      </c>
      <c r="AX106" s="21">
        <f t="shared" si="60"/>
        <v>51.36565366581128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8.9420000000000019</v>
      </c>
      <c r="BD106" s="12">
        <f>IF('Données projet'!$A$88&gt;35,BD105+BC106-BL105,IF(A106&lt;'Données projet'!$A$88,$BA$205^A106,IF(A106='Données projet'!$A$88,'Données projet'!$B$88,BD105+BC106-BL105)))</f>
        <v>393.25800000000055</v>
      </c>
      <c r="BE106" s="13">
        <f>BD106*VLOOKUP('Données projet'!$B$11,Paramètres!$A$1:$I$89,3,0)*VLOOKUP('Données projet'!$B$11,Paramètres!$A$1:$I$89,5,0)</f>
        <v>355.81983840000049</v>
      </c>
      <c r="BF106" s="13">
        <f t="shared" si="91"/>
        <v>82.759723795307863</v>
      </c>
      <c r="BG106" s="20">
        <f t="shared" si="61"/>
        <v>763.85940415682887</v>
      </c>
      <c r="BH106" s="59">
        <f t="shared" si="62"/>
        <v>1042.0781730865915</v>
      </c>
      <c r="BI106" s="59">
        <f ca="1">AVERAGE(OFFSET($BH$3,0,0,'Données projet'!$E$11+1,1))-AVERAGE(OFFSET($H$3,0,0,'Données projet'!$E$11+1,1))</f>
        <v>681.47578137804555</v>
      </c>
      <c r="BJ106" s="59">
        <f t="shared" si="92"/>
        <v>300.88511065995885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23.60952547441445</v>
      </c>
      <c r="BQ106" s="21">
        <f>EXP(-LN(2)/25)*BQ105+(1-EXP(-LN(2)/25))/(LN(2)/25)*Calculateur!BL106*Calculateur!BN106*VLOOKUP('Données projet'!$B$11,Paramètres!$A$1:$I$89,3,0)*0.475*44/12</f>
        <v>21.96227371354798</v>
      </c>
      <c r="BR106" s="21">
        <f>EXP(-LN(2)/2)*BR105+(1-EXP(-LN(2)/2))/(LN(2)/2)*BL106*BO106*VLOOKUP('Données projet'!$B$11,Paramètres!$A$1:$I$89,3,0)*0.475*44/12</f>
        <v>0.26216869845378982</v>
      </c>
      <c r="BS106" s="22">
        <f t="shared" si="63"/>
        <v>45.833967886416218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3.2051282051282102</v>
      </c>
      <c r="BY106" s="12">
        <f>IF('Données projet'!$A$114&gt;35,BY105+BX106-CG105,IF(A106&lt;'Données projet'!$A$114,$BV$205^A106,IF(A106='Données projet'!$A$114,'Données projet'!$B$114,BY105+BX106-CG105)))</f>
        <v>294.87179487179515</v>
      </c>
      <c r="BZ106" s="13">
        <f>BY106*VLOOKUP('Données projet'!$B$12,Paramètres!$A$1:$I$89,3,0)*VLOOKUP('Données projet'!$B$12,Paramètres!$A$1:$I$89,5,0)</f>
        <v>197.80000000000018</v>
      </c>
      <c r="CA106" s="13">
        <f t="shared" si="93"/>
        <v>49.260363505790551</v>
      </c>
      <c r="CB106" s="20">
        <f t="shared" si="64"/>
        <v>430.29679977258553</v>
      </c>
      <c r="CC106" s="59">
        <f t="shared" si="65"/>
        <v>708.51556870234822</v>
      </c>
      <c r="CD106" s="59">
        <f ca="1">AVERAGE(OFFSET($CC$3,0,0,'Données projet'!$E$12+1,1))-AVERAGE(OFFSET($H$3,0,0,'Données projet'!$E$12+1,1))</f>
        <v>335.73816489539837</v>
      </c>
      <c r="CE106" s="59">
        <f t="shared" si="94"/>
        <v>254.09787950201044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7.2601722079066304</v>
      </c>
      <c r="CL106" s="21">
        <f>EXP(-LN(2)/25)*CL105+(1-EXP(-LN(2)/25))/(LN(2)/25)*Calculateur!CG106*Calculateur!CI106*VLOOKUP('Données projet'!$B$12,Paramètres!$A$1:$I$89,3,0)*0.475*44/12</f>
        <v>8.4197785964939236</v>
      </c>
      <c r="CM106" s="21">
        <f>EXP(-LN(2)/2)*CM105+(1-EXP(-LN(2)/2))/(LN(2)/2)*CG106*CJ106*VLOOKUP('Données projet'!$B$12,Paramètres!$A$1:$I$89,3,0)*0.475*44/12</f>
        <v>0.74965400966910833</v>
      </c>
      <c r="CN106" s="22">
        <f t="shared" si="66"/>
        <v>16.429604814069663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1.1368683772161603E-13</v>
      </c>
      <c r="CU106" s="17">
        <f>CT106*VLOOKUP('Données projet'!$B$13,Paramètres!$A$1:$I$89,3,0)*VLOOKUP('Données projet'!$B$13,Paramètres!$A$1:$I$89,5,0)</f>
        <v>6.7984728957526396E-14</v>
      </c>
      <c r="CV106" s="13">
        <f t="shared" si="95"/>
        <v>1.0682447123141398E-12</v>
      </c>
      <c r="CW106" s="20">
        <f t="shared" si="67"/>
        <v>1.978932943548152E-12</v>
      </c>
      <c r="CX106" s="59">
        <f t="shared" si="68"/>
        <v>278.21876892976468</v>
      </c>
      <c r="CY106" s="59">
        <f ca="1">AVERAGE(OFFSET($CX$3,0,0,'Données projet'!$E$13+1,1))-AVERAGE(OFFSET($H$3,0,0,'Données projet'!$E$13+1,1))</f>
        <v>318.50474972254085</v>
      </c>
      <c r="CZ106" s="59">
        <f t="shared" si="96"/>
        <v>326.45858332753562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59.260975609083275</v>
      </c>
      <c r="DG106" s="21">
        <f>EXP(-LN(2)/25)*DG105+(1-EXP(-LN(2)/25))/(LN(2)/25)*Calculateur!DB106*Calculateur!DD106*VLOOKUP('Données projet'!$B$13,Paramètres!$A$1:$I$89,3,0)*0.475*44/12</f>
        <v>14.704057216579187</v>
      </c>
      <c r="DH106" s="21">
        <f>EXP(-LN(2)/2)*DH105+(1-EXP(-LN(2)/2))/(LN(2)/2)*DB106*DE106*VLOOKUP('Données projet'!$B$13,Paramètres!$A$1:$I$89,3,0)*0.475*44/12</f>
        <v>2.021748677736411E-5</v>
      </c>
      <c r="DI106" s="22">
        <f t="shared" si="69"/>
        <v>73.96505304314924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3">
        <f>'Scénario référence'!$B$16*5+'Scénario référence'!$B$17*0+'Scénario référence'!$B$18*5</f>
        <v>5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67">
        <f t="shared" si="56"/>
        <v>183.33333333333334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5.6843418860808015E-14</v>
      </c>
      <c r="O107" s="13">
        <f>N107*VLOOKUP('Données projet'!$B$9,Paramètres!$A$1:$I$89,3,0)*VLOOKUP('Données projet'!$B$9,Paramètres!$A$1:$I$89,5,0)</f>
        <v>5.1431925385259088E-14</v>
      </c>
      <c r="P107" s="13">
        <f t="shared" si="87"/>
        <v>8.3482866290946129E-13</v>
      </c>
      <c r="Q107" s="20">
        <f t="shared" si="107"/>
        <v>1.5435705246133045E-12</v>
      </c>
      <c r="R107" s="59">
        <f t="shared" si="55"/>
        <v>278.48097283106245</v>
      </c>
      <c r="S107" s="59">
        <f ca="1">AVERAGE(OFFSET($R$3,0,0,'Données projet'!$E$9+1,1))-AVERAGE(OFFSET($H$3,0,0,'Données projet'!$E$9+1,1))</f>
        <v>214.60547318405733</v>
      </c>
      <c r="T107" s="59">
        <f t="shared" si="88"/>
        <v>306.35874106546646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4.8521237293787527</v>
      </c>
      <c r="AA107" s="21">
        <f>EXP(-LN(2)/25)*AA106+(1-EXP(-LN(2)/25))/(LN(2)/25)*Calculateur!V107*Calculateur!X107*VLOOKUP('Données projet'!$B$9,Paramètres!$A$1:$I$89,3,0)*0.475*44/12</f>
        <v>2.57455509119962</v>
      </c>
      <c r="AB107" s="21">
        <f>EXP(-LN(2)/2)*AB106+(1-EXP(-LN(2)/2))/(LN(2)/2)*V107*Y107*VLOOKUP('Données projet'!$B$9,Paramètres!$A$1:$I$89,3,0)*0.475*44/12</f>
        <v>1.8163433801187879E-8</v>
      </c>
      <c r="AC107" s="22">
        <f t="shared" si="57"/>
        <v>7.4266788387418057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>
        <f>VLOOKUP(A107,'Données projet'!$A$61:$I$81,2,0)</f>
        <v>402.2</v>
      </c>
      <c r="AG107" s="12">
        <f>VLOOKUP(A107,'Données projet'!$A$61:$I$81,9,0)</f>
        <v>8.9420000000000019</v>
      </c>
      <c r="AH107" s="12">
        <f t="array" ref="AH107">INDEX(AG:AG,MIN(IF(ISNUMBER(AG107:AG303),ROW(AG107:AG303),"")))</f>
        <v>8.9420000000000019</v>
      </c>
      <c r="AI107" s="13">
        <f>IF('Données projet'!$A$62&gt;35,AI106+AH107-AQ106,IF(A107&lt;'Données projet'!$A$62,$AF$205^A107,IF(A107='Données projet'!$A$62,'Données projet'!$B$62,AI106+AH107-AQ106)))</f>
        <v>402.20000000000056</v>
      </c>
      <c r="AJ107" s="13">
        <f>AI107*VLOOKUP('Données projet'!$B$10,Paramètres!$A$1:$I$89,3,0)*VLOOKUP('Données projet'!$B$10,Paramètres!$A$1:$I$89,5,0)</f>
        <v>407.83080000000058</v>
      </c>
      <c r="AK107" s="13">
        <f t="shared" si="89"/>
        <v>93.362443935880506</v>
      </c>
      <c r="AL107" s="20">
        <f t="shared" si="58"/>
        <v>872.91156652165955</v>
      </c>
      <c r="AM107" s="59">
        <f t="shared" si="59"/>
        <v>1151.3925393527204</v>
      </c>
      <c r="AN107" s="59">
        <f ca="1">AVERAGE(OFFSET($AM$3,0,0,'Données projet'!$E$10+1,1))-AVERAGE(OFFSET($H$3,0,0,'Données projet'!$E$10+1,1))</f>
        <v>752.45542076695506</v>
      </c>
      <c r="AO107" s="59">
        <f t="shared" si="90"/>
        <v>329.70629768420724</v>
      </c>
      <c r="AP107" s="15">
        <f>IF(ISNA(VLOOKUP(A107,'Données projet'!$A$61:$I$81,3,0)),0,VLOOKUP(A107,'Données projet'!$A$61:$I$81,3,0))</f>
        <v>8</v>
      </c>
      <c r="AQ107" s="15">
        <f>IF(ISNA(VLOOKUP(A107,'Données projet'!$A$61:$I$81,4,0)),0,VLOOKUP(A107,'Données projet'!$A$61:$I$81,4,0))</f>
        <v>66.089999999999975</v>
      </c>
      <c r="AR107" s="16">
        <f>IF(ISNA(VLOOKUP(A107,'Données projet'!$A$61:$I$81,5,0)),0%,VLOOKUP(A107,'Données projet'!$A$61:$I$81,5,0)*VLOOKUP('Données projet'!$B$10,Paramètres!$A$1:$I$89,7,0))</f>
        <v>0.15049999999999999</v>
      </c>
      <c r="AS107" s="16">
        <f>IF(ISNA(VLOOKUP(A107,'Données projet'!$A$61:$I$81,6,0)),0%,VLOOKUP(A107,'Données projet'!$A$61:$I$81,6,0)*VLOOKUP('Données projet'!$B$10,Paramètres!$A$1:$I$89,7,0))</f>
        <v>8.6000000000000007E-2</v>
      </c>
      <c r="AT107" s="16">
        <f>IF(ISNA(VLOOKUP(A107,'Données projet'!$A$61:$I$81,7,0)),0%,VLOOKUP(A107,'Données projet'!$A$61:$I$81,7,0))</f>
        <v>0.1</v>
      </c>
      <c r="AU107" s="21">
        <f>EXP(-LN(2)/35)*AU106+(1-EXP(-LN(2)/35))/(LN(2)/35)*AQ107*AR107*VLOOKUP('Données projet'!$B$10,Paramètres!$A$1:$I$89,3,0)*0.475*44/12</f>
        <v>37.089656501151985</v>
      </c>
      <c r="AV107" s="21">
        <f>EXP(-LN(2)/25)*AV106+(1-EXP(-LN(2)/25))/(LN(2)/25)*Calculateur!AQ107*Calculateur!AS107*VLOOKUP('Données projet'!$B$10,Paramètres!$A$1:$I$89,3,0)*0.475*44/12</f>
        <v>30.285937476393563</v>
      </c>
      <c r="AW107" s="21">
        <f>EXP(-LN(2)/2)*AW106+(1-EXP(-LN(2)/2))/(LN(2)/2)*AQ107*AT107*VLOOKUP('Données projet'!$B$10,Paramètres!$A$1:$I$89,3,0)*0.475*44/12</f>
        <v>6.5308250153062213</v>
      </c>
      <c r="AX107" s="21">
        <f t="shared" si="60"/>
        <v>73.906418992851769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>
        <f>VLOOKUP(A107,'Données projet'!$A$87:$I$107,2,0)</f>
        <v>402.2</v>
      </c>
      <c r="BB107" s="12">
        <f>VLOOKUP(A107,'Données projet'!$A$87:$I$107,9,0)</f>
        <v>8.9420000000000019</v>
      </c>
      <c r="BC107" s="12">
        <f t="array" ref="BC107">INDEX(BB:BB,MIN(IF(ISNUMBER(BB107:BB303),ROW(BB107:BB303),"")))</f>
        <v>8.9420000000000019</v>
      </c>
      <c r="BD107" s="12">
        <f>IF('Données projet'!$A$88&gt;35,BD106+BC107-BL106,IF(A107&lt;'Données projet'!$A$88,$BA$205^A107,IF(A107='Données projet'!$A$88,'Données projet'!$B$88,BD106+BC107-BL106)))</f>
        <v>402.20000000000056</v>
      </c>
      <c r="BE107" s="13">
        <f>BD107*VLOOKUP('Données projet'!$B$11,Paramètres!$A$1:$I$89,3,0)*VLOOKUP('Données projet'!$B$11,Paramètres!$A$1:$I$89,5,0)</f>
        <v>363.91056000000049</v>
      </c>
      <c r="BF107" s="13">
        <f t="shared" si="91"/>
        <v>84.42031043556446</v>
      </c>
      <c r="BG107" s="20">
        <f t="shared" si="61"/>
        <v>780.84293267527562</v>
      </c>
      <c r="BH107" s="59">
        <f t="shared" si="62"/>
        <v>1059.3239055063366</v>
      </c>
      <c r="BI107" s="59">
        <f ca="1">AVERAGE(OFFSET($BH$3,0,0,'Données projet'!$E$11+1,1))-AVERAGE(OFFSET($H$3,0,0,'Données projet'!$E$11+1,1))</f>
        <v>681.47578137804555</v>
      </c>
      <c r="BJ107" s="59">
        <f t="shared" si="92"/>
        <v>300.88511065995885</v>
      </c>
      <c r="BK107" s="15">
        <f>IF(ISNA(VLOOKUP(A107,'Données projet'!$A$87:$I$107,3,0)),0,VLOOKUP(A107,'Données projet'!$A$87:$I$107,3,0))</f>
        <v>8</v>
      </c>
      <c r="BL107" s="15">
        <f>IF(ISNA(VLOOKUP(A107,'Données projet'!$A$87:$I$107,4,0)),0,VLOOKUP(A107,'Données projet'!$A$87:$I$107,4,0))</f>
        <v>66.089999999999975</v>
      </c>
      <c r="BM107" s="16">
        <f>IF(ISNA(VLOOKUP(A107,'Données projet'!$A$87:$I$107,5,0)),0%,VLOOKUP(A107,'Données projet'!$A$87:$I$107,5,0)*VLOOKUP('Données projet'!$B$11,Paramètres!$A$1:$I$89,7,0))</f>
        <v>0.15049999999999999</v>
      </c>
      <c r="BN107" s="16">
        <f>IF(ISNA(VLOOKUP(A107,'Données projet'!$A$87:$I$107,6,0)),0%,VLOOKUP(A107,'Données projet'!$A$87:$I$107,6,0)*VLOOKUP('Données projet'!$B$11,Paramètres!$A$1:$I$89,7,0))</f>
        <v>8.6000000000000007E-2</v>
      </c>
      <c r="BO107" s="16">
        <f>IF(ISNA(VLOOKUP(A107,'Données projet'!$A$87:$I$107,7,0)),0%,VLOOKUP(A107,'Données projet'!$A$87:$I$107,7,0))</f>
        <v>0.1</v>
      </c>
      <c r="BP107" s="21">
        <f>EXP(-LN(2)/35)*BP106+(1-EXP(-LN(2)/35))/(LN(2)/35)*BL107*BM107*VLOOKUP('Données projet'!$B$11,Paramètres!$A$1:$I$89,3,0)*0.475*44/12</f>
        <v>33.09538580102793</v>
      </c>
      <c r="BQ107" s="21">
        <f>EXP(-LN(2)/25)*BQ106+(1-EXP(-LN(2)/25))/(LN(2)/25)*Calculateur!BL107*Calculateur!BN107*VLOOKUP('Données projet'!$B$11,Paramètres!$A$1:$I$89,3,0)*0.475*44/12</f>
        <v>27.024374978935796</v>
      </c>
      <c r="BR107" s="21">
        <f>EXP(-LN(2)/2)*BR106+(1-EXP(-LN(2)/2))/(LN(2)/2)*BL107*BO107*VLOOKUP('Données projet'!$B$11,Paramètres!$A$1:$I$89,3,0)*0.475*44/12</f>
        <v>5.8275053982732432</v>
      </c>
      <c r="BS107" s="22">
        <f t="shared" si="63"/>
        <v>65.947266178236973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3.2051282051282102</v>
      </c>
      <c r="BY107" s="12">
        <f>IF('Données projet'!$A$114&gt;35,BY106+BX107-CG106,IF(A107&lt;'Données projet'!$A$114,$BV$205^A107,IF(A107='Données projet'!$A$114,'Données projet'!$B$114,BY106+BX107-CG106)))</f>
        <v>298.07692307692338</v>
      </c>
      <c r="BZ107" s="13">
        <f>BY107*VLOOKUP('Données projet'!$B$12,Paramètres!$A$1:$I$89,3,0)*VLOOKUP('Données projet'!$B$12,Paramètres!$A$1:$I$89,5,0)</f>
        <v>199.95000000000019</v>
      </c>
      <c r="CA107" s="13">
        <f t="shared" si="93"/>
        <v>49.733179078835356</v>
      </c>
      <c r="CB107" s="20">
        <f t="shared" si="64"/>
        <v>434.86487022897182</v>
      </c>
      <c r="CC107" s="59">
        <f t="shared" si="65"/>
        <v>713.34584306003273</v>
      </c>
      <c r="CD107" s="59">
        <f ca="1">AVERAGE(OFFSET($CC$3,0,0,'Données projet'!$E$12+1,1))-AVERAGE(OFFSET($H$3,0,0,'Données projet'!$E$12+1,1))</f>
        <v>335.73816489539837</v>
      </c>
      <c r="CE107" s="59">
        <f t="shared" si="94"/>
        <v>254.09787950201044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7.1178046591773727</v>
      </c>
      <c r="CL107" s="21">
        <f>EXP(-LN(2)/25)*CL106+(1-EXP(-LN(2)/25))/(LN(2)/25)*Calculateur!CG107*Calculateur!CI107*VLOOKUP('Données projet'!$B$12,Paramètres!$A$1:$I$89,3,0)*0.475*44/12</f>
        <v>8.1895393079958847</v>
      </c>
      <c r="CM107" s="21">
        <f>EXP(-LN(2)/2)*CM106+(1-EXP(-LN(2)/2))/(LN(2)/2)*CG107*CJ107*VLOOKUP('Données projet'!$B$12,Paramètres!$A$1:$I$89,3,0)*0.475*44/12</f>
        <v>0.53008543378071216</v>
      </c>
      <c r="CN107" s="22">
        <f t="shared" si="66"/>
        <v>15.837429400953969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1.1368683772161603E-13</v>
      </c>
      <c r="CU107" s="17">
        <f>CT107*VLOOKUP('Données projet'!$B$13,Paramètres!$A$1:$I$89,3,0)*VLOOKUP('Données projet'!$B$13,Paramètres!$A$1:$I$89,5,0)</f>
        <v>6.7984728957526396E-14</v>
      </c>
      <c r="CV107" s="13">
        <f t="shared" si="95"/>
        <v>1.0682447123141398E-12</v>
      </c>
      <c r="CW107" s="20">
        <f t="shared" si="67"/>
        <v>1.978932943548152E-12</v>
      </c>
      <c r="CX107" s="59">
        <f t="shared" si="68"/>
        <v>278.4809728310629</v>
      </c>
      <c r="CY107" s="59">
        <f ca="1">AVERAGE(OFFSET($CX$3,0,0,'Données projet'!$E$13+1,1))-AVERAGE(OFFSET($H$3,0,0,'Données projet'!$E$13+1,1))</f>
        <v>318.50474972254085</v>
      </c>
      <c r="CZ107" s="59">
        <f t="shared" si="96"/>
        <v>326.45858332753562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58.098904023015187</v>
      </c>
      <c r="DG107" s="21">
        <f>EXP(-LN(2)/25)*DG106+(1-EXP(-LN(2)/25))/(LN(2)/25)*Calculateur!DB107*Calculateur!DD107*VLOOKUP('Données projet'!$B$13,Paramètres!$A$1:$I$89,3,0)*0.475*44/12</f>
        <v>14.301973998739067</v>
      </c>
      <c r="DH107" s="21">
        <f>EXP(-LN(2)/2)*DH106+(1-EXP(-LN(2)/2))/(LN(2)/2)*DB107*DE107*VLOOKUP('Données projet'!$B$13,Paramètres!$A$1:$I$89,3,0)*0.475*44/12</f>
        <v>1.4295921998823522E-5</v>
      </c>
      <c r="DI107" s="22">
        <f t="shared" si="69"/>
        <v>72.400892317676252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3">
        <f>'Scénario référence'!$B$16*5+'Scénario référence'!$B$17*0+'Scénario référence'!$B$18*5</f>
        <v>5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67">
        <f t="shared" si="56"/>
        <v>183.33333333333334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5.6843418860808015E-14</v>
      </c>
      <c r="O108" s="13">
        <f>N108*VLOOKUP('Données projet'!$B$9,Paramètres!$A$1:$I$89,3,0)*VLOOKUP('Données projet'!$B$9,Paramètres!$A$1:$I$89,5,0)</f>
        <v>5.1431925385259088E-14</v>
      </c>
      <c r="P108" s="13">
        <f t="shared" si="87"/>
        <v>8.3482866290946129E-13</v>
      </c>
      <c r="Q108" s="20">
        <f t="shared" si="107"/>
        <v>1.5435705246133045E-12</v>
      </c>
      <c r="R108" s="59">
        <f t="shared" si="55"/>
        <v>278.7386280808733</v>
      </c>
      <c r="S108" s="59">
        <f ca="1">AVERAGE(OFFSET($R$3,0,0,'Données projet'!$E$9+1,1))-AVERAGE(OFFSET($H$3,0,0,'Données projet'!$E$9+1,1))</f>
        <v>214.60547318405733</v>
      </c>
      <c r="T108" s="59">
        <f t="shared" si="88"/>
        <v>306.35874106546646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4.7569765425488839</v>
      </c>
      <c r="AA108" s="21">
        <f>EXP(-LN(2)/25)*AA107+(1-EXP(-LN(2)/25))/(LN(2)/25)*Calculateur!V108*Calculateur!X108*VLOOKUP('Données projet'!$B$9,Paramètres!$A$1:$I$89,3,0)*0.475*44/12</f>
        <v>2.5041537468407982</v>
      </c>
      <c r="AB108" s="21">
        <f>EXP(-LN(2)/2)*AB107+(1-EXP(-LN(2)/2))/(LN(2)/2)*V108*Y108*VLOOKUP('Données projet'!$B$9,Paramètres!$A$1:$I$89,3,0)*0.475*44/12</f>
        <v>1.2843487210452899E-8</v>
      </c>
      <c r="AC108" s="22">
        <f t="shared" si="57"/>
        <v>7.2611303022331688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8.8449999999999989</v>
      </c>
      <c r="AI108" s="13">
        <f>IF('Données projet'!$A$62&gt;35,AI107+AH108-AQ107,IF(A108&lt;'Données projet'!$A$62,$AF$205^A108,IF(A108='Données projet'!$A$62,'Données projet'!$B$62,AI107+AH108-AQ107)))</f>
        <v>344.95500000000055</v>
      </c>
      <c r="AJ108" s="13">
        <f>AI108*VLOOKUP('Données projet'!$B$10,Paramètres!$A$1:$I$89,3,0)*VLOOKUP('Données projet'!$B$10,Paramètres!$A$1:$I$89,5,0)</f>
        <v>349.78437000000059</v>
      </c>
      <c r="AK108" s="13">
        <f t="shared" si="89"/>
        <v>81.518109189230415</v>
      </c>
      <c r="AL108" s="20">
        <f t="shared" si="58"/>
        <v>751.18515125457725</v>
      </c>
      <c r="AM108" s="59">
        <f t="shared" si="59"/>
        <v>1029.9237793354491</v>
      </c>
      <c r="AN108" s="59">
        <f ca="1">AVERAGE(OFFSET($AM$3,0,0,'Données projet'!$E$10+1,1))-AVERAGE(OFFSET($H$3,0,0,'Données projet'!$E$10+1,1))</f>
        <v>752.45542076695506</v>
      </c>
      <c r="AO108" s="59">
        <f t="shared" si="90"/>
        <v>329.70629768420724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36.362350959621075</v>
      </c>
      <c r="AV108" s="21">
        <f>EXP(-LN(2)/25)*AV107+(1-EXP(-LN(2)/25))/(LN(2)/25)*Calculateur!AQ108*Calculateur!AS108*VLOOKUP('Données projet'!$B$10,Paramètres!$A$1:$I$89,3,0)*0.475*44/12</f>
        <v>29.457766923433351</v>
      </c>
      <c r="AW108" s="21">
        <f>EXP(-LN(2)/2)*AW107+(1-EXP(-LN(2)/2))/(LN(2)/2)*AQ108*AT108*VLOOKUP('Données projet'!$B$10,Paramètres!$A$1:$I$89,3,0)*0.475*44/12</f>
        <v>4.6179906550657677</v>
      </c>
      <c r="AX108" s="21">
        <f t="shared" si="60"/>
        <v>70.43810853812019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8.8449999999999989</v>
      </c>
      <c r="BD108" s="12">
        <f>IF('Données projet'!$A$88&gt;35,BD107+BC108-BL107,IF(A108&lt;'Données projet'!$A$88,$BA$205^A108,IF(A108='Données projet'!$A$88,'Données projet'!$B$88,BD107+BC108-BL107)))</f>
        <v>344.95500000000055</v>
      </c>
      <c r="BE108" s="13">
        <f>BD108*VLOOKUP('Données projet'!$B$11,Paramètres!$A$1:$I$89,3,0)*VLOOKUP('Données projet'!$B$11,Paramètres!$A$1:$I$89,5,0)</f>
        <v>312.11528400000049</v>
      </c>
      <c r="BF108" s="13">
        <f t="shared" si="91"/>
        <v>73.71041067221141</v>
      </c>
      <c r="BG108" s="20">
        <f t="shared" si="61"/>
        <v>671.97975155410234</v>
      </c>
      <c r="BH108" s="59">
        <f t="shared" si="62"/>
        <v>950.7183796349741</v>
      </c>
      <c r="BI108" s="59">
        <f ca="1">AVERAGE(OFFSET($BH$3,0,0,'Données projet'!$E$11+1,1))-AVERAGE(OFFSET($H$3,0,0,'Données projet'!$E$11+1,1))</f>
        <v>681.47578137804555</v>
      </c>
      <c r="BJ108" s="59">
        <f t="shared" si="92"/>
        <v>300.88511065995885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32.44640547166189</v>
      </c>
      <c r="BQ108" s="21">
        <f>EXP(-LN(2)/25)*BQ107+(1-EXP(-LN(2)/25))/(LN(2)/25)*Calculateur!BL108*Calculateur!BN108*VLOOKUP('Données projet'!$B$11,Paramètres!$A$1:$I$89,3,0)*0.475*44/12</f>
        <v>26.285392023986681</v>
      </c>
      <c r="BR108" s="21">
        <f>EXP(-LN(2)/2)*BR107+(1-EXP(-LN(2)/2))/(LN(2)/2)*BL108*BO108*VLOOKUP('Données projet'!$B$11,Paramètres!$A$1:$I$89,3,0)*0.475*44/12</f>
        <v>4.1206685845202227</v>
      </c>
      <c r="BS108" s="22">
        <f t="shared" si="63"/>
        <v>62.852466080168796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>
        <f>VLOOKUP(A108,'Données projet'!$A$113:$I$133,2,0)</f>
        <v>301.28205128205127</v>
      </c>
      <c r="BW108" s="12">
        <f>VLOOKUP(A108,'Données projet'!$A$113:$I$133,9,0)</f>
        <v>3.2051282051282102</v>
      </c>
      <c r="BX108" s="12">
        <f t="array" ref="BX108">INDEX(BW:BW,MIN(IF(ISNUMBER(BW108:BW304),ROW(BW108:BW304),"")))</f>
        <v>3.2051282051282102</v>
      </c>
      <c r="BY108" s="12">
        <f>IF('Données projet'!$A$114&gt;35,BY107+BX108-CG107,IF(A108&lt;'Données projet'!$A$114,$BV$205^A108,IF(A108='Données projet'!$A$114,'Données projet'!$B$114,BY107+BX108-CG107)))</f>
        <v>301.28205128205161</v>
      </c>
      <c r="BZ108" s="13">
        <f>BY108*VLOOKUP('Données projet'!$B$12,Paramètres!$A$1:$I$89,3,0)*VLOOKUP('Données projet'!$B$12,Paramètres!$A$1:$I$89,5,0)</f>
        <v>202.10000000000022</v>
      </c>
      <c r="CA108" s="13">
        <f t="shared" si="93"/>
        <v>50.205403227941737</v>
      </c>
      <c r="CB108" s="20">
        <f t="shared" si="64"/>
        <v>439.43191062199884</v>
      </c>
      <c r="CC108" s="59">
        <f t="shared" si="65"/>
        <v>718.17053870287054</v>
      </c>
      <c r="CD108" s="59">
        <f ca="1">AVERAGE(OFFSET($CC$3,0,0,'Données projet'!$E$12+1,1))-AVERAGE(OFFSET($H$3,0,0,'Données projet'!$E$12+1,1))</f>
        <v>335.73816489539837</v>
      </c>
      <c r="CE108" s="59">
        <f t="shared" si="94"/>
        <v>254.09787950201044</v>
      </c>
      <c r="CF108" s="15">
        <f>IF(ISNA(VLOOKUP(A108,'Données projet'!$A$113:$I$133,3,0)),0,VLOOKUP(A108,'Données projet'!$A$113:$I$133,3,0))</f>
        <v>19</v>
      </c>
      <c r="CG108" s="15">
        <f>IF(ISNA(VLOOKUP(A108,'Données projet'!$A$113:$I$133,4,0)),0,VLOOKUP(A108,'Données projet'!$A$113:$I$133,4,0))</f>
        <v>10.897435897435898</v>
      </c>
      <c r="CH108" s="16">
        <f>IF(ISNA(VLOOKUP(A108,'Données projet'!$A$113:$I$133,5,0)),0%,VLOOKUP(A108,'Données projet'!$A$113:$I$133,5,0)*VLOOKUP('Données projet'!$B$12,Paramètres!$A$1:$I$89,7,0))</f>
        <v>0.13250000000000001</v>
      </c>
      <c r="CI108" s="16">
        <f>IF(ISNA(VLOOKUP(A108,'Données projet'!$A$113:$I$133,6,0)),0%,VLOOKUP(A108,'Données projet'!$A$113:$I$133,6,0)*VLOOKUP('Données projet'!$B$12,Paramètres!$A$1:$I$89,7,0))</f>
        <v>0.13250000000000001</v>
      </c>
      <c r="CJ108" s="16">
        <f>IF(ISNA(VLOOKUP(A108,'Données projet'!$A$113:$I$133,7,0)),0%,VLOOKUP(A108,'Données projet'!$A$113:$I$133,7,0))</f>
        <v>0.25</v>
      </c>
      <c r="CK108" s="21">
        <f>EXP(-LN(2)/35)*CK107+(1-EXP(-LN(2)/35))/(LN(2)/35)*CG108*CH108*VLOOKUP('Données projet'!$B$12,Paramètres!$A$1:$I$89,3,0)*0.475*44/12</f>
        <v>8.0489598240991924</v>
      </c>
      <c r="CL108" s="21">
        <f>EXP(-LN(2)/25)*CL107+(1-EXP(-LN(2)/25))/(LN(2)/25)*Calculateur!CG108*Calculateur!CI108*VLOOKUP('Données projet'!$B$12,Paramètres!$A$1:$I$89,3,0)*0.475*44/12</f>
        <v>9.0321110219850897</v>
      </c>
      <c r="CM108" s="21">
        <f>EXP(-LN(2)/2)*CM107+(1-EXP(-LN(2)/2))/(LN(2)/2)*CG108*CJ108*VLOOKUP('Données projet'!$B$12,Paramètres!$A$1:$I$89,3,0)*0.475*44/12</f>
        <v>2.0991224412759011</v>
      </c>
      <c r="CN108" s="22">
        <f t="shared" si="66"/>
        <v>19.180193287360183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1.1368683772161603E-13</v>
      </c>
      <c r="CU108" s="17">
        <f>CT108*VLOOKUP('Données projet'!$B$13,Paramètres!$A$1:$I$89,3,0)*VLOOKUP('Données projet'!$B$13,Paramètres!$A$1:$I$89,5,0)</f>
        <v>6.7984728957526396E-14</v>
      </c>
      <c r="CV108" s="13">
        <f t="shared" si="95"/>
        <v>1.0682447123141398E-12</v>
      </c>
      <c r="CW108" s="20">
        <f t="shared" si="67"/>
        <v>1.978932943548152E-12</v>
      </c>
      <c r="CX108" s="59">
        <f t="shared" si="68"/>
        <v>278.73862808087375</v>
      </c>
      <c r="CY108" s="59">
        <f ca="1">AVERAGE(OFFSET($CX$3,0,0,'Données projet'!$E$13+1,1))-AVERAGE(OFFSET($H$3,0,0,'Données projet'!$E$13+1,1))</f>
        <v>318.50474972254085</v>
      </c>
      <c r="CZ108" s="59">
        <f t="shared" si="96"/>
        <v>326.45858332753562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56.959619951956213</v>
      </c>
      <c r="DG108" s="21">
        <f>EXP(-LN(2)/25)*DG107+(1-EXP(-LN(2)/25))/(LN(2)/25)*Calculateur!DB108*Calculateur!DD108*VLOOKUP('Données projet'!$B$13,Paramètres!$A$1:$I$89,3,0)*0.475*44/12</f>
        <v>13.910885767635422</v>
      </c>
      <c r="DH108" s="21">
        <f>EXP(-LN(2)/2)*DH107+(1-EXP(-LN(2)/2))/(LN(2)/2)*DB108*DE108*VLOOKUP('Données projet'!$B$13,Paramètres!$A$1:$I$89,3,0)*0.475*44/12</f>
        <v>1.0108743388682055E-5</v>
      </c>
      <c r="DI108" s="22">
        <f t="shared" si="69"/>
        <v>70.870515828335016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3">
        <f>'Scénario référence'!$B$16*5+'Scénario référence'!$B$17*0+'Scénario référence'!$B$18*5</f>
        <v>5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67">
        <f t="shared" si="56"/>
        <v>183.33333333333334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5.6843418860808015E-14</v>
      </c>
      <c r="O109" s="13">
        <f>N109*VLOOKUP('Données projet'!$B$9,Paramètres!$A$1:$I$89,3,0)*VLOOKUP('Données projet'!$B$9,Paramètres!$A$1:$I$89,5,0)</f>
        <v>5.1431925385259088E-14</v>
      </c>
      <c r="P109" s="13">
        <f t="shared" si="87"/>
        <v>8.3482866290946129E-13</v>
      </c>
      <c r="Q109" s="20">
        <f t="shared" si="107"/>
        <v>1.5435705246133045E-12</v>
      </c>
      <c r="R109" s="59">
        <f t="shared" si="55"/>
        <v>278.99181358813064</v>
      </c>
      <c r="S109" s="59">
        <f ca="1">AVERAGE(OFFSET($R$3,0,0,'Données projet'!$E$9+1,1))-AVERAGE(OFFSET($H$3,0,0,'Données projet'!$E$9+1,1))</f>
        <v>214.60547318405733</v>
      </c>
      <c r="T109" s="59">
        <f t="shared" si="88"/>
        <v>306.35874106546646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4.6636951340186954</v>
      </c>
      <c r="AA109" s="21">
        <f>EXP(-LN(2)/25)*AA108+(1-EXP(-LN(2)/25))/(LN(2)/25)*Calculateur!V109*Calculateur!X109*VLOOKUP('Données projet'!$B$9,Paramètres!$A$1:$I$89,3,0)*0.475*44/12</f>
        <v>2.4356775309457142</v>
      </c>
      <c r="AB109" s="21">
        <f>EXP(-LN(2)/2)*AB108+(1-EXP(-LN(2)/2))/(LN(2)/2)*V109*Y109*VLOOKUP('Données projet'!$B$9,Paramètres!$A$1:$I$89,3,0)*0.475*44/12</f>
        <v>9.0817169005939395E-9</v>
      </c>
      <c r="AC109" s="22">
        <f t="shared" si="57"/>
        <v>7.0993726740461263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8.8449999999999989</v>
      </c>
      <c r="AI109" s="13">
        <f>IF('Données projet'!$A$62&gt;35,AI108+AH109-AQ108,IF(A109&lt;'Données projet'!$A$62,$AF$205^A109,IF(A109='Données projet'!$A$62,'Données projet'!$B$62,AI108+AH109-AQ108)))</f>
        <v>353.80000000000052</v>
      </c>
      <c r="AJ109" s="13">
        <f>AI109*VLOOKUP('Données projet'!$B$10,Paramètres!$A$1:$I$89,3,0)*VLOOKUP('Données projet'!$B$10,Paramètres!$A$1:$I$89,5,0)</f>
        <v>358.75320000000056</v>
      </c>
      <c r="AK109" s="13">
        <f t="shared" si="89"/>
        <v>83.362286707455894</v>
      </c>
      <c r="AL109" s="20">
        <f t="shared" si="58"/>
        <v>770.01780601548671</v>
      </c>
      <c r="AM109" s="59">
        <f t="shared" si="59"/>
        <v>1049.0096196036159</v>
      </c>
      <c r="AN109" s="59">
        <f ca="1">AVERAGE(OFFSET($AM$3,0,0,'Données projet'!$E$10+1,1))-AVERAGE(OFFSET($H$3,0,0,'Données projet'!$E$10+1,1))</f>
        <v>752.45542076695506</v>
      </c>
      <c r="AO109" s="59">
        <f t="shared" si="90"/>
        <v>329.70629768420724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35.649307436147012</v>
      </c>
      <c r="AV109" s="21">
        <f>EXP(-LN(2)/25)*AV108+(1-EXP(-LN(2)/25))/(LN(2)/25)*Calculateur!AQ109*Calculateur!AS109*VLOOKUP('Données projet'!$B$10,Paramètres!$A$1:$I$89,3,0)*0.475*44/12</f>
        <v>28.652242737795429</v>
      </c>
      <c r="AW109" s="21">
        <f>EXP(-LN(2)/2)*AW108+(1-EXP(-LN(2)/2))/(LN(2)/2)*AQ109*AT109*VLOOKUP('Données projet'!$B$10,Paramètres!$A$1:$I$89,3,0)*0.475*44/12</f>
        <v>3.2654125076531111</v>
      </c>
      <c r="AX109" s="21">
        <f t="shared" si="60"/>
        <v>67.566962681595555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8.8449999999999989</v>
      </c>
      <c r="BD109" s="12">
        <f>IF('Données projet'!$A$88&gt;35,BD108+BC109-BL108,IF(A109&lt;'Données projet'!$A$88,$BA$205^A109,IF(A109='Données projet'!$A$88,'Données projet'!$B$88,BD108+BC109-BL108)))</f>
        <v>353.80000000000052</v>
      </c>
      <c r="BE109" s="13">
        <f>BD109*VLOOKUP('Données projet'!$B$11,Paramètres!$A$1:$I$89,3,0)*VLOOKUP('Données projet'!$B$11,Paramètres!$A$1:$I$89,5,0)</f>
        <v>320.11824000000047</v>
      </c>
      <c r="BF109" s="13">
        <f t="shared" si="91"/>
        <v>75.377955265343587</v>
      </c>
      <c r="BG109" s="20">
        <f t="shared" si="61"/>
        <v>688.82254008714096</v>
      </c>
      <c r="BH109" s="59">
        <f t="shared" si="62"/>
        <v>967.81435367527001</v>
      </c>
      <c r="BI109" s="59">
        <f ca="1">AVERAGE(OFFSET($BH$3,0,0,'Données projet'!$E$11+1,1))-AVERAGE(OFFSET($H$3,0,0,'Données projet'!$E$11+1,1))</f>
        <v>681.47578137804555</v>
      </c>
      <c r="BJ109" s="59">
        <f t="shared" si="92"/>
        <v>300.88511065995885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31.810151250715805</v>
      </c>
      <c r="BQ109" s="21">
        <f>EXP(-LN(2)/25)*BQ108+(1-EXP(-LN(2)/25))/(LN(2)/25)*Calculateur!BL109*Calculateur!BN109*VLOOKUP('Données projet'!$B$11,Paramètres!$A$1:$I$89,3,0)*0.475*44/12</f>
        <v>25.566616596802074</v>
      </c>
      <c r="BR109" s="21">
        <f>EXP(-LN(2)/2)*BR108+(1-EXP(-LN(2)/2))/(LN(2)/2)*BL109*BO109*VLOOKUP('Données projet'!$B$11,Paramètres!$A$1:$I$89,3,0)*0.475*44/12</f>
        <v>2.9137526991366216</v>
      </c>
      <c r="BS109" s="22">
        <f t="shared" si="63"/>
        <v>60.290520546654506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3.333333333333337</v>
      </c>
      <c r="BY109" s="12">
        <f>IF('Données projet'!$A$114&gt;35,BY108+BX109-CG108,IF(A109&lt;'Données projet'!$A$114,$BV$205^A109,IF(A109='Données projet'!$A$114,'Données projet'!$B$114,BY108+BX109-CG108)))</f>
        <v>293.71794871794901</v>
      </c>
      <c r="BZ109" s="13">
        <f>BY109*VLOOKUP('Données projet'!$B$12,Paramètres!$A$1:$I$89,3,0)*VLOOKUP('Données projet'!$B$12,Paramètres!$A$1:$I$89,5,0)</f>
        <v>197.02600000000021</v>
      </c>
      <c r="CA109" s="13">
        <f t="shared" si="93"/>
        <v>49.090003740998405</v>
      </c>
      <c r="CB109" s="20">
        <f t="shared" si="64"/>
        <v>428.65203984890587</v>
      </c>
      <c r="CC109" s="59">
        <f t="shared" si="65"/>
        <v>707.64385343703498</v>
      </c>
      <c r="CD109" s="59">
        <f ca="1">AVERAGE(OFFSET($CC$3,0,0,'Données projet'!$E$12+1,1))-AVERAGE(OFFSET($H$3,0,0,'Données projet'!$E$12+1,1))</f>
        <v>335.73816489539837</v>
      </c>
      <c r="CE109" s="59">
        <f t="shared" si="94"/>
        <v>254.09787950201044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7.8911246313293386</v>
      </c>
      <c r="CL109" s="21">
        <f>EXP(-LN(2)/25)*CL108+(1-EXP(-LN(2)/25))/(LN(2)/25)*Calculateur!CG109*Calculateur!CI109*VLOOKUP('Données projet'!$B$12,Paramètres!$A$1:$I$89,3,0)*0.475*44/12</f>
        <v>8.7851274711108314</v>
      </c>
      <c r="CM109" s="21">
        <f>EXP(-LN(2)/2)*CM108+(1-EXP(-LN(2)/2))/(LN(2)/2)*CG109*CJ109*VLOOKUP('Données projet'!$B$12,Paramètres!$A$1:$I$89,3,0)*0.475*44/12</f>
        <v>1.4843037127670502</v>
      </c>
      <c r="CN109" s="22">
        <f t="shared" si="66"/>
        <v>18.160555815207221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1.1368683772161603E-13</v>
      </c>
      <c r="CU109" s="17">
        <f>CT109*VLOOKUP('Données projet'!$B$13,Paramètres!$A$1:$I$89,3,0)*VLOOKUP('Données projet'!$B$13,Paramètres!$A$1:$I$89,5,0)</f>
        <v>6.7984728957526396E-14</v>
      </c>
      <c r="CV109" s="13">
        <f t="shared" si="95"/>
        <v>1.0682447123141398E-12</v>
      </c>
      <c r="CW109" s="20">
        <f t="shared" si="67"/>
        <v>1.978932943548152E-12</v>
      </c>
      <c r="CX109" s="59">
        <f t="shared" si="68"/>
        <v>278.99181358813109</v>
      </c>
      <c r="CY109" s="59">
        <f ca="1">AVERAGE(OFFSET($CX$3,0,0,'Données projet'!$E$13+1,1))-AVERAGE(OFFSET($H$3,0,0,'Données projet'!$E$13+1,1))</f>
        <v>318.50474972254085</v>
      </c>
      <c r="CZ109" s="59">
        <f t="shared" si="96"/>
        <v>326.45858332753562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55.842676546636042</v>
      </c>
      <c r="DG109" s="21">
        <f>EXP(-LN(2)/25)*DG108+(1-EXP(-LN(2)/25))/(LN(2)/25)*Calculateur!DB109*Calculateur!DD109*VLOOKUP('Données projet'!$B$13,Paramètres!$A$1:$I$89,3,0)*0.475*44/12</f>
        <v>13.530491864777742</v>
      </c>
      <c r="DH109" s="21">
        <f>EXP(-LN(2)/2)*DH108+(1-EXP(-LN(2)/2))/(LN(2)/2)*DB109*DE109*VLOOKUP('Données projet'!$B$13,Paramètres!$A$1:$I$89,3,0)*0.475*44/12</f>
        <v>7.147960999411761E-6</v>
      </c>
      <c r="DI109" s="22">
        <f t="shared" si="69"/>
        <v>69.373175559374786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3">
        <f>'Scénario référence'!$B$16*5+'Scénario référence'!$B$17*0+'Scénario référence'!$B$18*5</f>
        <v>5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67">
        <f t="shared" si="56"/>
        <v>183.33333333333334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5.6843418860808015E-14</v>
      </c>
      <c r="O110" s="13">
        <f>N110*VLOOKUP('Données projet'!$B$9,Paramètres!$A$1:$I$89,3,0)*VLOOKUP('Données projet'!$B$9,Paramètres!$A$1:$I$89,5,0)</f>
        <v>5.1431925385259088E-14</v>
      </c>
      <c r="P110" s="13">
        <f t="shared" si="87"/>
        <v>8.3482866290946129E-13</v>
      </c>
      <c r="Q110" s="20">
        <f t="shared" si="107"/>
        <v>1.5435705246133045E-12</v>
      </c>
      <c r="R110" s="59">
        <f t="shared" si="55"/>
        <v>279.24060689287518</v>
      </c>
      <c r="S110" s="59">
        <f ca="1">AVERAGE(OFFSET($R$3,0,0,'Données projet'!$E$9+1,1))-AVERAGE(OFFSET($H$3,0,0,'Données projet'!$E$9+1,1))</f>
        <v>214.60547318405733</v>
      </c>
      <c r="T110" s="59">
        <f t="shared" si="88"/>
        <v>306.35874106546646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4.5722429170137424</v>
      </c>
      <c r="AA110" s="21">
        <f>EXP(-LN(2)/25)*AA109+(1-EXP(-LN(2)/25))/(LN(2)/25)*Calculateur!V110*Calculateur!X110*VLOOKUP('Données projet'!$B$9,Paramètres!$A$1:$I$89,3,0)*0.475*44/12</f>
        <v>2.369073800775289</v>
      </c>
      <c r="AB110" s="21">
        <f>EXP(-LN(2)/2)*AB109+(1-EXP(-LN(2)/2))/(LN(2)/2)*V110*Y110*VLOOKUP('Données projet'!$B$9,Paramètres!$A$1:$I$89,3,0)*0.475*44/12</f>
        <v>6.4217436052264494E-9</v>
      </c>
      <c r="AC110" s="22">
        <f t="shared" si="57"/>
        <v>6.9413167242107754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8.8449999999999989</v>
      </c>
      <c r="AI110" s="13">
        <f>IF('Données projet'!$A$62&gt;35,AI109+AH110-AQ109,IF(A110&lt;'Données projet'!$A$62,$AF$205^A110,IF(A110='Données projet'!$A$62,'Données projet'!$B$62,AI109+AH110-AQ109)))</f>
        <v>362.64500000000055</v>
      </c>
      <c r="AJ110" s="13">
        <f>AI110*VLOOKUP('Données projet'!$B$10,Paramètres!$A$1:$I$89,3,0)*VLOOKUP('Données projet'!$B$10,Paramètres!$A$1:$I$89,5,0)</f>
        <v>367.72203000000059</v>
      </c>
      <c r="AK110" s="13">
        <f t="shared" si="89"/>
        <v>85.201104879888135</v>
      </c>
      <c r="AL110" s="20">
        <f t="shared" si="58"/>
        <v>788.84112658247284</v>
      </c>
      <c r="AM110" s="59">
        <f t="shared" si="59"/>
        <v>1068.0817334753465</v>
      </c>
      <c r="AN110" s="59">
        <f ca="1">AVERAGE(OFFSET($AM$3,0,0,'Données projet'!$E$10+1,1))-AVERAGE(OFFSET($H$3,0,0,'Données projet'!$E$10+1,1))</f>
        <v>752.45542076695506</v>
      </c>
      <c r="AO110" s="59">
        <f t="shared" si="90"/>
        <v>329.70629768420724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34.950246261254669</v>
      </c>
      <c r="AV110" s="21">
        <f>EXP(-LN(2)/25)*AV109+(1-EXP(-LN(2)/25))/(LN(2)/25)*Calculateur!AQ110*Calculateur!AS110*VLOOKUP('Données projet'!$B$10,Paramètres!$A$1:$I$89,3,0)*0.475*44/12</f>
        <v>27.868745653374454</v>
      </c>
      <c r="AW110" s="21">
        <f>EXP(-LN(2)/2)*AW109+(1-EXP(-LN(2)/2))/(LN(2)/2)*AQ110*AT110*VLOOKUP('Données projet'!$B$10,Paramètres!$A$1:$I$89,3,0)*0.475*44/12</f>
        <v>2.3089953275328838</v>
      </c>
      <c r="AX110" s="21">
        <f t="shared" si="60"/>
        <v>65.127987242162007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8.8449999999999989</v>
      </c>
      <c r="BD110" s="12">
        <f>IF('Données projet'!$A$88&gt;35,BD109+BC110-BL109,IF(A110&lt;'Données projet'!$A$88,$BA$205^A110,IF(A110='Données projet'!$A$88,'Données projet'!$B$88,BD109+BC110-BL109)))</f>
        <v>362.64500000000055</v>
      </c>
      <c r="BE110" s="13">
        <f>BD110*VLOOKUP('Données projet'!$B$11,Paramètres!$A$1:$I$89,3,0)*VLOOKUP('Données projet'!$B$11,Paramètres!$A$1:$I$89,5,0)</f>
        <v>328.12119600000045</v>
      </c>
      <c r="BF110" s="13">
        <f t="shared" si="91"/>
        <v>77.040653823854953</v>
      </c>
      <c r="BG110" s="20">
        <f t="shared" si="61"/>
        <v>705.65688844321483</v>
      </c>
      <c r="BH110" s="59">
        <f t="shared" si="62"/>
        <v>984.89749533608847</v>
      </c>
      <c r="BI110" s="59">
        <f ca="1">AVERAGE(OFFSET($BH$3,0,0,'Données projet'!$E$11+1,1))-AVERAGE(OFFSET($H$3,0,0,'Données projet'!$E$11+1,1))</f>
        <v>681.47578137804555</v>
      </c>
      <c r="BJ110" s="59">
        <f t="shared" si="92"/>
        <v>300.88511065995885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31.186373586965715</v>
      </c>
      <c r="BQ110" s="21">
        <f>EXP(-LN(2)/25)*BQ109+(1-EXP(-LN(2)/25))/(LN(2)/25)*Calculateur!BL110*Calculateur!BN110*VLOOKUP('Données projet'!$B$11,Paramètres!$A$1:$I$89,3,0)*0.475*44/12</f>
        <v>24.867496121472588</v>
      </c>
      <c r="BR110" s="21">
        <f>EXP(-LN(2)/2)*BR109+(1-EXP(-LN(2)/2))/(LN(2)/2)*BL110*BO110*VLOOKUP('Données projet'!$B$11,Paramètres!$A$1:$I$89,3,0)*0.475*44/12</f>
        <v>2.0603342922601113</v>
      </c>
      <c r="BS110" s="22">
        <f t="shared" si="63"/>
        <v>58.114204000698408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3.333333333333337</v>
      </c>
      <c r="BY110" s="12">
        <f>IF('Données projet'!$A$114&gt;35,BY109+BX110-CG109,IF(A110&lt;'Données projet'!$A$114,$BV$205^A110,IF(A110='Données projet'!$A$114,'Données projet'!$B$114,BY109+BX110-CG109)))</f>
        <v>297.05128205128233</v>
      </c>
      <c r="BZ110" s="13">
        <f>BY110*VLOOKUP('Données projet'!$B$12,Paramètres!$A$1:$I$89,3,0)*VLOOKUP('Données projet'!$B$12,Paramètres!$A$1:$I$89,5,0)</f>
        <v>199.2620000000002</v>
      </c>
      <c r="CA110" s="13">
        <f t="shared" si="93"/>
        <v>49.581942782884362</v>
      </c>
      <c r="CB110" s="20">
        <f t="shared" si="64"/>
        <v>433.40320034685732</v>
      </c>
      <c r="CC110" s="59">
        <f t="shared" si="65"/>
        <v>712.6438072397309</v>
      </c>
      <c r="CD110" s="59">
        <f ca="1">AVERAGE(OFFSET($CC$3,0,0,'Données projet'!$E$12+1,1))-AVERAGE(OFFSET($H$3,0,0,'Données projet'!$E$12+1,1))</f>
        <v>335.73816489539837</v>
      </c>
      <c r="CE110" s="59">
        <f t="shared" si="94"/>
        <v>254.09787950201044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7.7363844904197405</v>
      </c>
      <c r="CL110" s="21">
        <f>EXP(-LN(2)/25)*CL109+(1-EXP(-LN(2)/25))/(LN(2)/25)*Calculateur!CG110*Calculateur!CI110*VLOOKUP('Données projet'!$B$12,Paramètres!$A$1:$I$89,3,0)*0.475*44/12</f>
        <v>8.5448976984235312</v>
      </c>
      <c r="CM110" s="21">
        <f>EXP(-LN(2)/2)*CM109+(1-EXP(-LN(2)/2))/(LN(2)/2)*CG110*CJ110*VLOOKUP('Données projet'!$B$12,Paramètres!$A$1:$I$89,3,0)*0.475*44/12</f>
        <v>1.0495612206379508</v>
      </c>
      <c r="CN110" s="22">
        <f t="shared" si="66"/>
        <v>17.330843409481222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1.1368683772161603E-13</v>
      </c>
      <c r="CU110" s="17">
        <f>CT110*VLOOKUP('Données projet'!$B$13,Paramètres!$A$1:$I$89,3,0)*VLOOKUP('Données projet'!$B$13,Paramètres!$A$1:$I$89,5,0)</f>
        <v>6.7984728957526396E-14</v>
      </c>
      <c r="CV110" s="13">
        <f t="shared" si="95"/>
        <v>1.0682447123141398E-12</v>
      </c>
      <c r="CW110" s="20">
        <f t="shared" si="67"/>
        <v>1.978932943548152E-12</v>
      </c>
      <c r="CX110" s="59">
        <f t="shared" si="68"/>
        <v>279.24060689287563</v>
      </c>
      <c r="CY110" s="59">
        <f ca="1">AVERAGE(OFFSET($CX$3,0,0,'Données projet'!$E$13+1,1))-AVERAGE(OFFSET($H$3,0,0,'Données projet'!$E$13+1,1))</f>
        <v>318.50474972254085</v>
      </c>
      <c r="CZ110" s="59">
        <f t="shared" si="96"/>
        <v>326.45858332753562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54.747635720225993</v>
      </c>
      <c r="DG110" s="21">
        <f>EXP(-LN(2)/25)*DG109+(1-EXP(-LN(2)/25))/(LN(2)/25)*Calculateur!DB110*Calculateur!DD110*VLOOKUP('Données projet'!$B$13,Paramètres!$A$1:$I$89,3,0)*0.475*44/12</f>
        <v>13.160499853197752</v>
      </c>
      <c r="DH110" s="21">
        <f>EXP(-LN(2)/2)*DH109+(1-EXP(-LN(2)/2))/(LN(2)/2)*DB110*DE110*VLOOKUP('Données projet'!$B$13,Paramètres!$A$1:$I$89,3,0)*0.475*44/12</f>
        <v>5.0543716943410276E-6</v>
      </c>
      <c r="DI110" s="22">
        <f t="shared" si="69"/>
        <v>67.908140627795447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3">
        <f>'Scénario référence'!$B$16*5+'Scénario référence'!$B$17*0+'Scénario référence'!$B$18*5</f>
        <v>5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67">
        <f t="shared" si="56"/>
        <v>183.33333333333334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5.6843418860808015E-14</v>
      </c>
      <c r="O111" s="13">
        <f>N111*VLOOKUP('Données projet'!$B$9,Paramètres!$A$1:$I$89,3,0)*VLOOKUP('Données projet'!$B$9,Paramètres!$A$1:$I$89,5,0)</f>
        <v>5.1431925385259088E-14</v>
      </c>
      <c r="P111" s="13">
        <f t="shared" si="87"/>
        <v>8.3482866290946129E-13</v>
      </c>
      <c r="Q111" s="20">
        <f t="shared" si="107"/>
        <v>1.5435705246133045E-12</v>
      </c>
      <c r="R111" s="59">
        <f t="shared" si="55"/>
        <v>279.48508419000086</v>
      </c>
      <c r="S111" s="59">
        <f ca="1">AVERAGE(OFFSET($R$3,0,0,'Données projet'!$E$9+1,1))-AVERAGE(OFFSET($H$3,0,0,'Données projet'!$E$9+1,1))</f>
        <v>214.60547318405733</v>
      </c>
      <c r="T111" s="59">
        <f t="shared" si="88"/>
        <v>306.35874106546646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4.4825840222039117</v>
      </c>
      <c r="AA111" s="21">
        <f>EXP(-LN(2)/25)*AA110+(1-EXP(-LN(2)/25))/(LN(2)/25)*Calculateur!V111*Calculateur!X111*VLOOKUP('Données projet'!$B$9,Paramètres!$A$1:$I$89,3,0)*0.475*44/12</f>
        <v>2.304291353108912</v>
      </c>
      <c r="AB111" s="21">
        <f>EXP(-LN(2)/2)*AB110+(1-EXP(-LN(2)/2))/(LN(2)/2)*V111*Y111*VLOOKUP('Données projet'!$B$9,Paramètres!$A$1:$I$89,3,0)*0.475*44/12</f>
        <v>4.5408584502969697E-9</v>
      </c>
      <c r="AC111" s="22">
        <f t="shared" si="57"/>
        <v>6.7868753798536821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8.8449999999999989</v>
      </c>
      <c r="AI111" s="13">
        <f>IF('Données projet'!$A$62&gt;35,AI110+AH111-AQ110,IF(A111&lt;'Données projet'!$A$62,$AF$205^A111,IF(A111='Données projet'!$A$62,'Données projet'!$B$62,AI110+AH111-AQ110)))</f>
        <v>371.49000000000058</v>
      </c>
      <c r="AJ111" s="13">
        <f>AI111*VLOOKUP('Données projet'!$B$10,Paramètres!$A$1:$I$89,3,0)*VLOOKUP('Données projet'!$B$10,Paramètres!$A$1:$I$89,5,0)</f>
        <v>376.69086000000061</v>
      </c>
      <c r="AK111" s="13">
        <f t="shared" si="89"/>
        <v>87.034709459862782</v>
      </c>
      <c r="AL111" s="20">
        <f t="shared" si="58"/>
        <v>807.65536680926198</v>
      </c>
      <c r="AM111" s="59">
        <f t="shared" si="59"/>
        <v>1087.1404509992612</v>
      </c>
      <c r="AN111" s="59">
        <f ca="1">AVERAGE(OFFSET($AM$3,0,0,'Données projet'!$E$10+1,1))-AVERAGE(OFFSET($H$3,0,0,'Données projet'!$E$10+1,1))</f>
        <v>752.45542076695506</v>
      </c>
      <c r="AO111" s="59">
        <f t="shared" si="90"/>
        <v>329.70629768420724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34.264893249616755</v>
      </c>
      <c r="AV111" s="21">
        <f>EXP(-LN(2)/25)*AV110+(1-EXP(-LN(2)/25))/(LN(2)/25)*Calculateur!AQ111*Calculateur!AS111*VLOOKUP('Données projet'!$B$10,Paramètres!$A$1:$I$89,3,0)*0.475*44/12</f>
        <v>27.106673337929291</v>
      </c>
      <c r="AW111" s="21">
        <f>EXP(-LN(2)/2)*AW110+(1-EXP(-LN(2)/2))/(LN(2)/2)*AQ111*AT111*VLOOKUP('Données projet'!$B$10,Paramètres!$A$1:$I$89,3,0)*0.475*44/12</f>
        <v>1.6327062538265555</v>
      </c>
      <c r="AX111" s="21">
        <f t="shared" si="60"/>
        <v>63.004272841372597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8.8449999999999989</v>
      </c>
      <c r="BD111" s="12">
        <f>IF('Données projet'!$A$88&gt;35,BD110+BC111-BL110,IF(A111&lt;'Données projet'!$A$88,$BA$205^A111,IF(A111='Données projet'!$A$88,'Données projet'!$B$88,BD110+BC111-BL110)))</f>
        <v>371.49000000000058</v>
      </c>
      <c r="BE111" s="13">
        <f>BD111*VLOOKUP('Données projet'!$B$11,Paramètres!$A$1:$I$89,3,0)*VLOOKUP('Données projet'!$B$11,Paramètres!$A$1:$I$89,5,0)</f>
        <v>336.12415200000049</v>
      </c>
      <c r="BF111" s="13">
        <f t="shared" si="91"/>
        <v>78.698638141016232</v>
      </c>
      <c r="BG111" s="20">
        <f t="shared" si="61"/>
        <v>722.4830261622709</v>
      </c>
      <c r="BH111" s="59">
        <f t="shared" si="62"/>
        <v>1001.9681103522703</v>
      </c>
      <c r="BI111" s="59">
        <f ca="1">AVERAGE(OFFSET($BH$3,0,0,'Données projet'!$E$11+1,1))-AVERAGE(OFFSET($H$3,0,0,'Données projet'!$E$11+1,1))</f>
        <v>681.47578137804555</v>
      </c>
      <c r="BJ111" s="59">
        <f t="shared" si="92"/>
        <v>300.88511065995885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30.574827822734957</v>
      </c>
      <c r="BQ111" s="21">
        <f>EXP(-LN(2)/25)*BQ110+(1-EXP(-LN(2)/25))/(LN(2)/25)*Calculateur!BL111*Calculateur!BN111*VLOOKUP('Données projet'!$B$11,Paramètres!$A$1:$I$89,3,0)*0.475*44/12</f>
        <v>24.187493132306134</v>
      </c>
      <c r="BR111" s="21">
        <f>EXP(-LN(2)/2)*BR110+(1-EXP(-LN(2)/2))/(LN(2)/2)*BL111*BO111*VLOOKUP('Données projet'!$B$11,Paramètres!$A$1:$I$89,3,0)*0.475*44/12</f>
        <v>1.4568763495683108</v>
      </c>
      <c r="BS111" s="22">
        <f t="shared" si="63"/>
        <v>56.219197304609402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3.333333333333337</v>
      </c>
      <c r="BY111" s="12">
        <f>IF('Données projet'!$A$114&gt;35,BY110+BX111-CG110,IF(A111&lt;'Données projet'!$A$114,$BV$205^A111,IF(A111='Données projet'!$A$114,'Données projet'!$B$114,BY110+BX111-CG110)))</f>
        <v>300.38461538461564</v>
      </c>
      <c r="BZ111" s="13">
        <f>BY111*VLOOKUP('Données projet'!$B$12,Paramètres!$A$1:$I$89,3,0)*VLOOKUP('Données projet'!$B$12,Paramètres!$A$1:$I$89,5,0)</f>
        <v>201.49800000000019</v>
      </c>
      <c r="CA111" s="13">
        <f t="shared" si="93"/>
        <v>50.073239673089446</v>
      </c>
      <c r="CB111" s="20">
        <f t="shared" si="64"/>
        <v>438.15324243063105</v>
      </c>
      <c r="CC111" s="59">
        <f t="shared" si="65"/>
        <v>717.63832662063032</v>
      </c>
      <c r="CD111" s="59">
        <f ca="1">AVERAGE(OFFSET($CC$3,0,0,'Données projet'!$E$12+1,1))-AVERAGE(OFFSET($H$3,0,0,'Données projet'!$E$12+1,1))</f>
        <v>335.73816489539837</v>
      </c>
      <c r="CE111" s="59">
        <f t="shared" si="94"/>
        <v>254.09787950201044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7.5846787092912127</v>
      </c>
      <c r="CL111" s="21">
        <f>EXP(-LN(2)/25)*CL110+(1-EXP(-LN(2)/25))/(LN(2)/25)*Calculateur!CG111*Calculateur!CI111*VLOOKUP('Données projet'!$B$12,Paramètres!$A$1:$I$89,3,0)*0.475*44/12</f>
        <v>8.3112370215034996</v>
      </c>
      <c r="CM111" s="21">
        <f>EXP(-LN(2)/2)*CM110+(1-EXP(-LN(2)/2))/(LN(2)/2)*CG111*CJ111*VLOOKUP('Données projet'!$B$12,Paramètres!$A$1:$I$89,3,0)*0.475*44/12</f>
        <v>0.74215185638352521</v>
      </c>
      <c r="CN111" s="22">
        <f t="shared" si="66"/>
        <v>16.638067587178238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1.1368683772161603E-13</v>
      </c>
      <c r="CU111" s="17">
        <f>CT111*VLOOKUP('Données projet'!$B$13,Paramètres!$A$1:$I$89,3,0)*VLOOKUP('Données projet'!$B$13,Paramètres!$A$1:$I$89,5,0)</f>
        <v>6.7984728957526396E-14</v>
      </c>
      <c r="CV111" s="13">
        <f t="shared" si="95"/>
        <v>1.0682447123141398E-12</v>
      </c>
      <c r="CW111" s="20">
        <f t="shared" si="67"/>
        <v>1.978932943548152E-12</v>
      </c>
      <c r="CX111" s="59">
        <f t="shared" si="68"/>
        <v>279.48508419000132</v>
      </c>
      <c r="CY111" s="59">
        <f ca="1">AVERAGE(OFFSET($CX$3,0,0,'Données projet'!$E$13+1,1))-AVERAGE(OFFSET($H$3,0,0,'Données projet'!$E$13+1,1))</f>
        <v>318.50474972254085</v>
      </c>
      <c r="CZ111" s="59">
        <f t="shared" si="96"/>
        <v>326.45858332753562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53.674067976512887</v>
      </c>
      <c r="DG111" s="21">
        <f>EXP(-LN(2)/25)*DG110+(1-EXP(-LN(2)/25))/(LN(2)/25)*Calculateur!DB111*Calculateur!DD111*VLOOKUP('Données projet'!$B$13,Paramètres!$A$1:$I$89,3,0)*0.475*44/12</f>
        <v>12.800625292631452</v>
      </c>
      <c r="DH111" s="21">
        <f>EXP(-LN(2)/2)*DH110+(1-EXP(-LN(2)/2))/(LN(2)/2)*DB111*DE111*VLOOKUP('Données projet'!$B$13,Paramètres!$A$1:$I$89,3,0)*0.475*44/12</f>
        <v>3.5739804997058805E-6</v>
      </c>
      <c r="DI111" s="22">
        <f t="shared" si="69"/>
        <v>66.474696843124832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3">
        <f>'Scénario référence'!$B$16*5+'Scénario référence'!$B$17*0+'Scénario référence'!$B$18*5</f>
        <v>5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67">
        <f t="shared" si="56"/>
        <v>183.33333333333334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5.6843418860808015E-14</v>
      </c>
      <c r="O112" s="13">
        <f>N112*VLOOKUP('Données projet'!$B$9,Paramètres!$A$1:$I$89,3,0)*VLOOKUP('Données projet'!$B$9,Paramètres!$A$1:$I$89,5,0)</f>
        <v>5.1431925385259088E-14</v>
      </c>
      <c r="P112" s="13">
        <f t="shared" si="87"/>
        <v>8.3482866290946129E-13</v>
      </c>
      <c r="Q112" s="20">
        <f t="shared" si="107"/>
        <v>1.5435705246133045E-12</v>
      </c>
      <c r="R112" s="59">
        <f t="shared" si="55"/>
        <v>279.72532035259081</v>
      </c>
      <c r="S112" s="59">
        <f ca="1">AVERAGE(OFFSET($R$3,0,0,'Données projet'!$E$9+1,1))-AVERAGE(OFFSET($H$3,0,0,'Données projet'!$E$9+1,1))</f>
        <v>214.60547318405733</v>
      </c>
      <c r="T112" s="59">
        <f t="shared" si="88"/>
        <v>306.35874106546646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4.3946832836347758</v>
      </c>
      <c r="AA112" s="21">
        <f>EXP(-LN(2)/25)*AA111+(1-EXP(-LN(2)/25))/(LN(2)/25)*Calculateur!V112*Calculateur!X112*VLOOKUP('Données projet'!$B$9,Paramètres!$A$1:$I$89,3,0)*0.475*44/12</f>
        <v>2.2412803848807332</v>
      </c>
      <c r="AB112" s="21">
        <f>EXP(-LN(2)/2)*AB111+(1-EXP(-LN(2)/2))/(LN(2)/2)*V112*Y112*VLOOKUP('Données projet'!$B$9,Paramètres!$A$1:$I$89,3,0)*0.475*44/12</f>
        <v>3.2108718026132247E-9</v>
      </c>
      <c r="AC112" s="22">
        <f t="shared" si="57"/>
        <v>6.6359636717263806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8.8449999999999989</v>
      </c>
      <c r="AI112" s="13">
        <f>IF('Données projet'!$A$62&gt;35,AI111+AH112-AQ111,IF(A112&lt;'Données projet'!$A$62,$AF$205^A112,IF(A112='Données projet'!$A$62,'Données projet'!$B$62,AI111+AH112-AQ111)))</f>
        <v>380.3350000000006</v>
      </c>
      <c r="AJ112" s="13">
        <f>AI112*VLOOKUP('Données projet'!$B$10,Paramètres!$A$1:$I$89,3,0)*VLOOKUP('Données projet'!$B$10,Paramètres!$A$1:$I$89,5,0)</f>
        <v>385.65969000000064</v>
      </c>
      <c r="AK112" s="13">
        <f t="shared" si="89"/>
        <v>88.86323886421664</v>
      </c>
      <c r="AL112" s="20">
        <f t="shared" si="58"/>
        <v>826.4607677718451</v>
      </c>
      <c r="AM112" s="59">
        <f t="shared" si="59"/>
        <v>1106.1860881244343</v>
      </c>
      <c r="AN112" s="59">
        <f ca="1">AVERAGE(OFFSET($AM$3,0,0,'Données projet'!$E$10+1,1))-AVERAGE(OFFSET($H$3,0,0,'Données projet'!$E$10+1,1))</f>
        <v>752.45542076695506</v>
      </c>
      <c r="AO112" s="59">
        <f t="shared" si="90"/>
        <v>329.70629768420724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33.592979592512997</v>
      </c>
      <c r="AV112" s="21">
        <f>EXP(-LN(2)/25)*AV111+(1-EXP(-LN(2)/25))/(LN(2)/25)*Calculateur!AQ112*Calculateur!AS112*VLOOKUP('Données projet'!$B$10,Paramètres!$A$1:$I$89,3,0)*0.475*44/12</f>
        <v>26.365439930025616</v>
      </c>
      <c r="AW112" s="21">
        <f>EXP(-LN(2)/2)*AW111+(1-EXP(-LN(2)/2))/(LN(2)/2)*AQ112*AT112*VLOOKUP('Données projet'!$B$10,Paramètres!$A$1:$I$89,3,0)*0.475*44/12</f>
        <v>1.1544976637664419</v>
      </c>
      <c r="AX112" s="21">
        <f t="shared" si="60"/>
        <v>61.112917186305054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8.8449999999999989</v>
      </c>
      <c r="BD112" s="12">
        <f>IF('Données projet'!$A$88&gt;35,BD111+BC112-BL111,IF(A112&lt;'Données projet'!$A$88,$BA$205^A112,IF(A112='Données projet'!$A$88,'Données projet'!$B$88,BD111+BC112-BL111)))</f>
        <v>380.3350000000006</v>
      </c>
      <c r="BE112" s="13">
        <f>BD112*VLOOKUP('Données projet'!$B$11,Paramètres!$A$1:$I$89,3,0)*VLOOKUP('Données projet'!$B$11,Paramètres!$A$1:$I$89,5,0)</f>
        <v>344.12710800000053</v>
      </c>
      <c r="BF112" s="13">
        <f t="shared" si="91"/>
        <v>80.352033376279337</v>
      </c>
      <c r="BG112" s="20">
        <f t="shared" si="61"/>
        <v>739.30117123035416</v>
      </c>
      <c r="BH112" s="59">
        <f t="shared" si="62"/>
        <v>1019.0264915829434</v>
      </c>
      <c r="BI112" s="59">
        <f ca="1">AVERAGE(OFFSET($BH$3,0,0,'Données projet'!$E$11+1,1))-AVERAGE(OFFSET($H$3,0,0,'Données projet'!$E$11+1,1))</f>
        <v>681.47578137804555</v>
      </c>
      <c r="BJ112" s="59">
        <f t="shared" si="92"/>
        <v>300.88511065995885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29.97527409793468</v>
      </c>
      <c r="BQ112" s="21">
        <f>EXP(-LN(2)/25)*BQ111+(1-EXP(-LN(2)/25))/(LN(2)/25)*Calculateur!BL112*Calculateur!BN112*VLOOKUP('Données projet'!$B$11,Paramètres!$A$1:$I$89,3,0)*0.475*44/12</f>
        <v>23.526084860638239</v>
      </c>
      <c r="BR112" s="21">
        <f>EXP(-LN(2)/2)*BR111+(1-EXP(-LN(2)/2))/(LN(2)/2)*BL112*BO112*VLOOKUP('Données projet'!$B$11,Paramètres!$A$1:$I$89,3,0)*0.475*44/12</f>
        <v>1.0301671461300557</v>
      </c>
      <c r="BS112" s="22">
        <f t="shared" si="63"/>
        <v>54.531526104702976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3.333333333333337</v>
      </c>
      <c r="BY112" s="12">
        <f>IF('Données projet'!$A$114&gt;35,BY111+BX112-CG111,IF(A112&lt;'Données projet'!$A$114,$BV$205^A112,IF(A112='Données projet'!$A$114,'Données projet'!$B$114,BY111+BX112-CG111)))</f>
        <v>303.71794871794896</v>
      </c>
      <c r="BZ112" s="13">
        <f>BY112*VLOOKUP('Données projet'!$B$12,Paramètres!$A$1:$I$89,3,0)*VLOOKUP('Données projet'!$B$12,Paramètres!$A$1:$I$89,5,0)</f>
        <v>203.73400000000015</v>
      </c>
      <c r="CA112" s="13">
        <f t="shared" si="93"/>
        <v>50.563902362141675</v>
      </c>
      <c r="CB112" s="20">
        <f t="shared" si="64"/>
        <v>442.90217994739697</v>
      </c>
      <c r="CC112" s="59">
        <f t="shared" si="65"/>
        <v>722.6275002999862</v>
      </c>
      <c r="CD112" s="59">
        <f ca="1">AVERAGE(OFFSET($CC$3,0,0,'Données projet'!$E$12+1,1))-AVERAGE(OFFSET($H$3,0,0,'Données projet'!$E$12+1,1))</f>
        <v>335.73816489539837</v>
      </c>
      <c r="CE112" s="59">
        <f t="shared" si="94"/>
        <v>254.09787950201044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7.4359477859992253</v>
      </c>
      <c r="CL112" s="21">
        <f>EXP(-LN(2)/25)*CL111+(1-EXP(-LN(2)/25))/(LN(2)/25)*Calculateur!CG112*Calculateur!CI112*VLOOKUP('Données projet'!$B$12,Paramètres!$A$1:$I$89,3,0)*0.475*44/12</f>
        <v>8.0839658080815262</v>
      </c>
      <c r="CM112" s="21">
        <f>EXP(-LN(2)/2)*CM111+(1-EXP(-LN(2)/2))/(LN(2)/2)*CG112*CJ112*VLOOKUP('Données projet'!$B$12,Paramètres!$A$1:$I$89,3,0)*0.475*44/12</f>
        <v>0.52478061031897549</v>
      </c>
      <c r="CN112" s="22">
        <f t="shared" si="66"/>
        <v>16.044694204399725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1.1368683772161603E-13</v>
      </c>
      <c r="CU112" s="17">
        <f>CT112*VLOOKUP('Données projet'!$B$13,Paramètres!$A$1:$I$89,3,0)*VLOOKUP('Données projet'!$B$13,Paramètres!$A$1:$I$89,5,0)</f>
        <v>6.7984728957526396E-14</v>
      </c>
      <c r="CV112" s="13">
        <f t="shared" si="95"/>
        <v>1.0682447123141398E-12</v>
      </c>
      <c r="CW112" s="20">
        <f t="shared" si="67"/>
        <v>1.978932943548152E-12</v>
      </c>
      <c r="CX112" s="59">
        <f t="shared" si="68"/>
        <v>279.72532035259127</v>
      </c>
      <c r="CY112" s="59">
        <f ca="1">AVERAGE(OFFSET($CX$3,0,0,'Données projet'!$E$13+1,1))-AVERAGE(OFFSET($H$3,0,0,'Données projet'!$E$13+1,1))</f>
        <v>318.50474972254085</v>
      </c>
      <c r="CZ112" s="59">
        <f t="shared" si="96"/>
        <v>326.45858332753562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52.62155224144233</v>
      </c>
      <c r="DG112" s="21">
        <f>EXP(-LN(2)/25)*DG111+(1-EXP(-LN(2)/25))/(LN(2)/25)*Calculateur!DB112*Calculateur!DD112*VLOOKUP('Données projet'!$B$13,Paramètres!$A$1:$I$89,3,0)*0.475*44/12</f>
        <v>12.450591520848816</v>
      </c>
      <c r="DH112" s="21">
        <f>EXP(-LN(2)/2)*DH111+(1-EXP(-LN(2)/2))/(LN(2)/2)*DB112*DE112*VLOOKUP('Données projet'!$B$13,Paramètres!$A$1:$I$89,3,0)*0.475*44/12</f>
        <v>2.5271858471705138E-6</v>
      </c>
      <c r="DI112" s="22">
        <f t="shared" si="69"/>
        <v>65.07214628947699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3">
        <f>'Scénario référence'!$B$16*5+'Scénario référence'!$B$17*0+'Scénario référence'!$B$18*5</f>
        <v>5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67">
        <f t="shared" si="56"/>
        <v>183.33333333333334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5.6843418860808015E-14</v>
      </c>
      <c r="O113" s="13">
        <f>N113*VLOOKUP('Données projet'!$B$9,Paramètres!$A$1:$I$89,3,0)*VLOOKUP('Données projet'!$B$9,Paramètres!$A$1:$I$89,5,0)</f>
        <v>5.1431925385259088E-14</v>
      </c>
      <c r="P113" s="13">
        <f t="shared" si="87"/>
        <v>8.3482866290946129E-13</v>
      </c>
      <c r="Q113" s="20">
        <f t="shared" si="107"/>
        <v>1.5435705246133045E-12</v>
      </c>
      <c r="R113" s="59">
        <f t="shared" si="55"/>
        <v>279.96138895484739</v>
      </c>
      <c r="S113" s="59">
        <f ca="1">AVERAGE(OFFSET($R$3,0,0,'Données projet'!$E$9+1,1))-AVERAGE(OFFSET($H$3,0,0,'Données projet'!$E$9+1,1))</f>
        <v>214.60547318405733</v>
      </c>
      <c r="T113" s="59">
        <f t="shared" si="88"/>
        <v>306.35874106546646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4.308506224934824</v>
      </c>
      <c r="AA113" s="21">
        <f>EXP(-LN(2)/25)*AA112+(1-EXP(-LN(2)/25))/(LN(2)/25)*Calculateur!V113*Calculateur!X113*VLOOKUP('Données projet'!$B$9,Paramètres!$A$1:$I$89,3,0)*0.475*44/12</f>
        <v>2.1799924548923566</v>
      </c>
      <c r="AB113" s="21">
        <f>EXP(-LN(2)/2)*AB112+(1-EXP(-LN(2)/2))/(LN(2)/2)*V113*Y113*VLOOKUP('Données projet'!$B$9,Paramètres!$A$1:$I$89,3,0)*0.475*44/12</f>
        <v>2.2704292251484849E-9</v>
      </c>
      <c r="AC113" s="22">
        <f t="shared" si="57"/>
        <v>6.4884986820976103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8.8449999999999989</v>
      </c>
      <c r="AI113" s="13">
        <f>IF('Données projet'!$A$62&gt;35,AI112+AH113-AQ112,IF(A113&lt;'Données projet'!$A$62,$AF$205^A113,IF(A113='Données projet'!$A$62,'Données projet'!$B$62,AI112+AH113-AQ112)))</f>
        <v>389.18000000000063</v>
      </c>
      <c r="AJ113" s="13">
        <f>AI113*VLOOKUP('Données projet'!$B$10,Paramètres!$A$1:$I$89,3,0)*VLOOKUP('Données projet'!$B$10,Paramètres!$A$1:$I$89,5,0)</f>
        <v>394.62852000000066</v>
      </c>
      <c r="AK113" s="13">
        <f t="shared" si="89"/>
        <v>90.686824704469188</v>
      </c>
      <c r="AL113" s="20">
        <f t="shared" si="58"/>
        <v>845.25755869361831</v>
      </c>
      <c r="AM113" s="59">
        <f t="shared" si="59"/>
        <v>1125.2189476484641</v>
      </c>
      <c r="AN113" s="59">
        <f ca="1">AVERAGE(OFFSET($AM$3,0,0,'Données projet'!$E$10+1,1))-AVERAGE(OFFSET($H$3,0,0,'Données projet'!$E$10+1,1))</f>
        <v>752.45542076695506</v>
      </c>
      <c r="AO113" s="59">
        <f t="shared" si="90"/>
        <v>329.70629768420724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32.934241752398179</v>
      </c>
      <c r="AV113" s="21">
        <f>EXP(-LN(2)/25)*AV112+(1-EXP(-LN(2)/25))/(LN(2)/25)*Calculateur!AQ113*Calculateur!AS113*VLOOKUP('Données projet'!$B$10,Paramètres!$A$1:$I$89,3,0)*0.475*44/12</f>
        <v>25.644475588640837</v>
      </c>
      <c r="AW113" s="21">
        <f>EXP(-LN(2)/2)*AW112+(1-EXP(-LN(2)/2))/(LN(2)/2)*AQ113*AT113*VLOOKUP('Données projet'!$B$10,Paramètres!$A$1:$I$89,3,0)*0.475*44/12</f>
        <v>0.81635312691327777</v>
      </c>
      <c r="AX113" s="21">
        <f t="shared" si="60"/>
        <v>59.395070467952294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8.8449999999999989</v>
      </c>
      <c r="BD113" s="12">
        <f>IF('Données projet'!$A$88&gt;35,BD112+BC113-BL112,IF(A113&lt;'Données projet'!$A$88,$BA$205^A113,IF(A113='Données projet'!$A$88,'Données projet'!$B$88,BD112+BC113-BL112)))</f>
        <v>389.18000000000063</v>
      </c>
      <c r="BE113" s="13">
        <f>BD113*VLOOKUP('Données projet'!$B$11,Paramètres!$A$1:$I$89,3,0)*VLOOKUP('Données projet'!$B$11,Paramètres!$A$1:$I$89,5,0)</f>
        <v>352.13006400000057</v>
      </c>
      <c r="BF113" s="13">
        <f t="shared" si="91"/>
        <v>82.000958535583734</v>
      </c>
      <c r="BG113" s="20">
        <f t="shared" si="61"/>
        <v>756.11153091614267</v>
      </c>
      <c r="BH113" s="59">
        <f t="shared" si="62"/>
        <v>1036.0729198709885</v>
      </c>
      <c r="BI113" s="59">
        <f ca="1">AVERAGE(OFFSET($BH$3,0,0,'Données projet'!$E$11+1,1))-AVERAGE(OFFSET($H$3,0,0,'Données projet'!$E$11+1,1))</f>
        <v>681.47578137804555</v>
      </c>
      <c r="BJ113" s="59">
        <f t="shared" si="92"/>
        <v>300.88511065995885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29.387477255986074</v>
      </c>
      <c r="BQ113" s="21">
        <f>EXP(-LN(2)/25)*BQ112+(1-EXP(-LN(2)/25))/(LN(2)/25)*Calculateur!BL113*Calculateur!BN113*VLOOKUP('Données projet'!$B$11,Paramètres!$A$1:$I$89,3,0)*0.475*44/12</f>
        <v>22.882762832941054</v>
      </c>
      <c r="BR113" s="21">
        <f>EXP(-LN(2)/2)*BR112+(1-EXP(-LN(2)/2))/(LN(2)/2)*BL113*BO113*VLOOKUP('Données projet'!$B$11,Paramètres!$A$1:$I$89,3,0)*0.475*44/12</f>
        <v>0.7284381747841554</v>
      </c>
      <c r="BS113" s="22">
        <f t="shared" si="63"/>
        <v>52.998678263711277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>
        <f>VLOOKUP(A113,'Données projet'!$A$113:$I$133,2,0)</f>
        <v>307.05128205128204</v>
      </c>
      <c r="BW113" s="12">
        <f>VLOOKUP(A113,'Données projet'!$A$113:$I$133,9,0)</f>
        <v>3.333333333333337</v>
      </c>
      <c r="BX113" s="12">
        <f t="array" ref="BX113">INDEX(BW:BW,MIN(IF(ISNUMBER(BW113:BW309),ROW(BW113:BW309),"")))</f>
        <v>3.333333333333337</v>
      </c>
      <c r="BY113" s="12">
        <f>IF('Données projet'!$A$114&gt;35,BY112+BX113-CG112,IF(A113&lt;'Données projet'!$A$114,$BV$205^A113,IF(A113='Données projet'!$A$114,'Données projet'!$B$114,BY112+BX113-CG112)))</f>
        <v>307.05128205128227</v>
      </c>
      <c r="BZ113" s="13">
        <f>BY113*VLOOKUP('Données projet'!$B$12,Paramètres!$A$1:$I$89,3,0)*VLOOKUP('Données projet'!$B$12,Paramètres!$A$1:$I$89,5,0)</f>
        <v>205.97000000000017</v>
      </c>
      <c r="CA113" s="13">
        <f t="shared" si="93"/>
        <v>51.053938616003585</v>
      </c>
      <c r="CB113" s="20">
        <f t="shared" si="64"/>
        <v>447.65002642287322</v>
      </c>
      <c r="CC113" s="59">
        <f t="shared" si="65"/>
        <v>727.61141537771914</v>
      </c>
      <c r="CD113" s="59">
        <f ca="1">AVERAGE(OFFSET($CC$3,0,0,'Données projet'!$E$12+1,1))-AVERAGE(OFFSET($H$3,0,0,'Données projet'!$E$12+1,1))</f>
        <v>335.73816489539837</v>
      </c>
      <c r="CE113" s="59">
        <f t="shared" si="94"/>
        <v>254.09787950201044</v>
      </c>
      <c r="CF113" s="15">
        <f>IF(ISNA(VLOOKUP(A113,'Données projet'!$A$113:$I$133,3,0)),0,VLOOKUP(A113,'Données projet'!$A$113:$I$133,3,0))</f>
        <v>20</v>
      </c>
      <c r="CG113" s="15">
        <f>IF(ISNA(VLOOKUP(A113,'Données projet'!$A$113:$I$133,4,0)),0,VLOOKUP(A113,'Données projet'!$A$113:$I$133,4,0))</f>
        <v>307.05128205128204</v>
      </c>
      <c r="CH113" s="16">
        <f>IF(ISNA(VLOOKUP(A113,'Données projet'!$A$113:$I$133,5,0)),0%,VLOOKUP(A113,'Données projet'!$A$113:$I$133,5,0)*VLOOKUP('Données projet'!$B$12,Paramètres!$A$1:$I$89,7,0))</f>
        <v>0.13250000000000001</v>
      </c>
      <c r="CI113" s="16">
        <f>IF(ISNA(VLOOKUP(A113,'Données projet'!$A$113:$I$133,6,0)),0%,VLOOKUP(A113,'Données projet'!$A$113:$I$133,6,0)*VLOOKUP('Données projet'!$B$12,Paramètres!$A$1:$I$89,7,0))</f>
        <v>0.13250000000000001</v>
      </c>
      <c r="CJ113" s="16">
        <f>IF(ISNA(VLOOKUP(A113,'Données projet'!$A$113:$I$133,7,0)),0%,VLOOKUP(A113,'Données projet'!$A$113:$I$133,7,0))</f>
        <v>0.25</v>
      </c>
      <c r="CK113" s="21">
        <f>EXP(-LN(2)/35)*CK112+(1-EXP(-LN(2)/35))/(LN(2)/35)*CG113*CH113*VLOOKUP('Données projet'!$B$12,Paramètres!$A$1:$I$89,3,0)*0.475*44/12</f>
        <v>37.459553149989318</v>
      </c>
      <c r="CL113" s="21">
        <f>EXP(-LN(2)/25)*CL112+(1-EXP(-LN(2)/25))/(LN(2)/25)*Calculateur!CG113*Calculateur!CI113*VLOOKUP('Données projet'!$B$12,Paramètres!$A$1:$I$89,3,0)*0.475*44/12</f>
        <v>37.913540601472121</v>
      </c>
      <c r="CM113" s="21">
        <f>EXP(-LN(2)/2)*CM112+(1-EXP(-LN(2)/2))/(LN(2)/2)*CG113*CJ113*VLOOKUP('Données projet'!$B$12,Paramètres!$A$1:$I$89,3,0)*0.475*44/12</f>
        <v>48.955635578509714</v>
      </c>
      <c r="CN113" s="22">
        <f t="shared" si="66"/>
        <v>124.32872932997115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1.1368683772161603E-13</v>
      </c>
      <c r="CU113" s="17">
        <f>CT113*VLOOKUP('Données projet'!$B$13,Paramètres!$A$1:$I$89,3,0)*VLOOKUP('Données projet'!$B$13,Paramètres!$A$1:$I$89,5,0)</f>
        <v>6.7984728957526396E-14</v>
      </c>
      <c r="CV113" s="13">
        <f t="shared" si="95"/>
        <v>1.0682447123141398E-12</v>
      </c>
      <c r="CW113" s="20">
        <f t="shared" si="67"/>
        <v>1.978932943548152E-12</v>
      </c>
      <c r="CX113" s="59">
        <f t="shared" si="68"/>
        <v>279.96138895484785</v>
      </c>
      <c r="CY113" s="59">
        <f ca="1">AVERAGE(OFFSET($CX$3,0,0,'Données projet'!$E$13+1,1))-AVERAGE(OFFSET($H$3,0,0,'Données projet'!$E$13+1,1))</f>
        <v>318.50474972254085</v>
      </c>
      <c r="CZ113" s="59">
        <f t="shared" si="96"/>
        <v>326.45858332753562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51.589675697965298</v>
      </c>
      <c r="DG113" s="21">
        <f>EXP(-LN(2)/25)*DG112+(1-EXP(-LN(2)/25))/(LN(2)/25)*Calculateur!DB113*Calculateur!DD113*VLOOKUP('Données projet'!$B$13,Paramètres!$A$1:$I$89,3,0)*0.475*44/12</f>
        <v>12.110129440963053</v>
      </c>
      <c r="DH113" s="21">
        <f>EXP(-LN(2)/2)*DH112+(1-EXP(-LN(2)/2))/(LN(2)/2)*DB113*DE113*VLOOKUP('Données projet'!$B$13,Paramètres!$A$1:$I$89,3,0)*0.475*44/12</f>
        <v>1.7869902498529403E-6</v>
      </c>
      <c r="DI113" s="22">
        <f t="shared" si="69"/>
        <v>63.699806925918601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3">
        <f>'Scénario référence'!$B$16*5+'Scénario référence'!$B$17*0+'Scénario référence'!$B$18*5</f>
        <v>5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67">
        <f t="shared" si="56"/>
        <v>183.33333333333334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5.6843418860808015E-14</v>
      </c>
      <c r="O114" s="13">
        <f>N114*VLOOKUP('Données projet'!$B$9,Paramètres!$A$1:$I$89,3,0)*VLOOKUP('Données projet'!$B$9,Paramètres!$A$1:$I$89,5,0)</f>
        <v>5.1431925385259088E-14</v>
      </c>
      <c r="P114" s="13">
        <f t="shared" si="87"/>
        <v>8.3482866290946129E-13</v>
      </c>
      <c r="Q114" s="20">
        <f t="shared" si="107"/>
        <v>1.5435705246133045E-12</v>
      </c>
      <c r="R114" s="59">
        <f t="shared" si="55"/>
        <v>280.1933622946251</v>
      </c>
      <c r="S114" s="59">
        <f ca="1">AVERAGE(OFFSET($R$3,0,0,'Données projet'!$E$9+1,1))-AVERAGE(OFFSET($H$3,0,0,'Données projet'!$E$9+1,1))</f>
        <v>214.60547318405733</v>
      </c>
      <c r="T114" s="59">
        <f t="shared" si="88"/>
        <v>306.35874106546646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4.2240190457931632</v>
      </c>
      <c r="AA114" s="21">
        <f>EXP(-LN(2)/25)*AA113+(1-EXP(-LN(2)/25))/(LN(2)/25)*Calculateur!V114*Calculateur!X114*VLOOKUP('Données projet'!$B$9,Paramètres!$A$1:$I$89,3,0)*0.475*44/12</f>
        <v>2.1203804465725042</v>
      </c>
      <c r="AB114" s="21">
        <f>EXP(-LN(2)/2)*AB113+(1-EXP(-LN(2)/2))/(LN(2)/2)*V114*Y114*VLOOKUP('Données projet'!$B$9,Paramètres!$A$1:$I$89,3,0)*0.475*44/12</f>
        <v>1.6054359013066124E-9</v>
      </c>
      <c r="AC114" s="22">
        <f t="shared" si="57"/>
        <v>6.3443994939711033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8.8449999999999989</v>
      </c>
      <c r="AI114" s="13">
        <f>IF('Données projet'!$A$62&gt;35,AI113+AH114-AQ113,IF(A114&lt;'Données projet'!$A$62,$AF$205^A114,IF(A114='Données projet'!$A$62,'Données projet'!$B$62,AI113+AH114-AQ113)))</f>
        <v>398.02500000000066</v>
      </c>
      <c r="AJ114" s="13">
        <f>AI114*VLOOKUP('Données projet'!$B$10,Paramètres!$A$1:$I$89,3,0)*VLOOKUP('Données projet'!$B$10,Paramètres!$A$1:$I$89,5,0)</f>
        <v>403.59735000000074</v>
      </c>
      <c r="AK114" s="13">
        <f t="shared" si="89"/>
        <v>92.505592268354718</v>
      </c>
      <c r="AL114" s="20">
        <f t="shared" si="58"/>
        <v>864.04595778405246</v>
      </c>
      <c r="AM114" s="59">
        <f t="shared" si="59"/>
        <v>1144.239320078676</v>
      </c>
      <c r="AN114" s="59">
        <f ca="1">AVERAGE(OFFSET($AM$3,0,0,'Données projet'!$E$10+1,1))-AVERAGE(OFFSET($H$3,0,0,'Données projet'!$E$10+1,1))</f>
        <v>752.45542076695506</v>
      </c>
      <c r="AO114" s="59">
        <f t="shared" si="90"/>
        <v>329.70629768420724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32.288421359537601</v>
      </c>
      <c r="AV114" s="21">
        <f>EXP(-LN(2)/25)*AV113+(1-EXP(-LN(2)/25))/(LN(2)/25)*Calculateur!AQ114*Calculateur!AS114*VLOOKUP('Données projet'!$B$10,Paramètres!$A$1:$I$89,3,0)*0.475*44/12</f>
        <v>24.943226055085095</v>
      </c>
      <c r="AW114" s="21">
        <f>EXP(-LN(2)/2)*AW113+(1-EXP(-LN(2)/2))/(LN(2)/2)*AQ114*AT114*VLOOKUP('Données projet'!$B$10,Paramètres!$A$1:$I$89,3,0)*0.475*44/12</f>
        <v>0.57724883188322096</v>
      </c>
      <c r="AX114" s="21">
        <f t="shared" si="60"/>
        <v>57.808896246505924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8.8449999999999989</v>
      </c>
      <c r="BD114" s="12">
        <f>IF('Données projet'!$A$88&gt;35,BD113+BC114-BL113,IF(A114&lt;'Données projet'!$A$88,$BA$205^A114,IF(A114='Données projet'!$A$88,'Données projet'!$B$88,BD113+BC114-BL113)))</f>
        <v>398.02500000000066</v>
      </c>
      <c r="BE114" s="13">
        <f>BD114*VLOOKUP('Données projet'!$B$11,Paramètres!$A$1:$I$89,3,0)*VLOOKUP('Données projet'!$B$11,Paramètres!$A$1:$I$89,5,0)</f>
        <v>360.13302000000061</v>
      </c>
      <c r="BF114" s="13">
        <f t="shared" si="91"/>
        <v>83.645526906767415</v>
      </c>
      <c r="BG114" s="20">
        <f t="shared" si="61"/>
        <v>772.91430252928774</v>
      </c>
      <c r="BH114" s="59">
        <f t="shared" si="62"/>
        <v>1053.1076648239114</v>
      </c>
      <c r="BI114" s="59">
        <f ca="1">AVERAGE(OFFSET($BH$3,0,0,'Données projet'!$E$11+1,1))-AVERAGE(OFFSET($H$3,0,0,'Données projet'!$E$11+1,1))</f>
        <v>681.47578137804555</v>
      </c>
      <c r="BJ114" s="59">
        <f t="shared" si="92"/>
        <v>300.88511065995885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28.811206751587406</v>
      </c>
      <c r="BQ114" s="21">
        <f>EXP(-LN(2)/25)*BQ113+(1-EXP(-LN(2)/25))/(LN(2)/25)*Calculateur!BL114*Calculateur!BN114*VLOOKUP('Données projet'!$B$11,Paramètres!$A$1:$I$89,3,0)*0.475*44/12</f>
        <v>22.257032479922085</v>
      </c>
      <c r="BR114" s="21">
        <f>EXP(-LN(2)/2)*BR113+(1-EXP(-LN(2)/2))/(LN(2)/2)*BL114*BO114*VLOOKUP('Données projet'!$B$11,Paramètres!$A$1:$I$89,3,0)*0.475*44/12</f>
        <v>0.51508357306502783</v>
      </c>
      <c r="BS114" s="22">
        <f t="shared" si="63"/>
        <v>51.583322804574522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2.2737367544323206E-13</v>
      </c>
      <c r="BZ114" s="13">
        <f>BY114*VLOOKUP('Données projet'!$B$12,Paramètres!$A$1:$I$89,3,0)*VLOOKUP('Données projet'!$B$12,Paramètres!$A$1:$I$89,5,0)</f>
        <v>1.5252226148732008E-13</v>
      </c>
      <c r="CA114" s="13">
        <f t="shared" si="93"/>
        <v>2.1814502464536512E-12</v>
      </c>
      <c r="CB114" s="20">
        <f t="shared" si="64"/>
        <v>4.0650021179971913E-12</v>
      </c>
      <c r="CC114" s="59">
        <f t="shared" si="65"/>
        <v>280.19336229462766</v>
      </c>
      <c r="CD114" s="59">
        <f ca="1">AVERAGE(OFFSET($CC$3,0,0,'Données projet'!$E$12+1,1))-AVERAGE(OFFSET($H$3,0,0,'Données projet'!$E$12+1,1))</f>
        <v>335.73816489539837</v>
      </c>
      <c r="CE114" s="59">
        <f t="shared" si="94"/>
        <v>254.09787950201044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36.724994160789393</v>
      </c>
      <c r="CL114" s="21">
        <f>EXP(-LN(2)/25)*CL113+(1-EXP(-LN(2)/25))/(LN(2)/25)*Calculateur!CG114*Calculateur!CI114*VLOOKUP('Données projet'!$B$12,Paramètres!$A$1:$I$89,3,0)*0.475*44/12</f>
        <v>36.876792839938418</v>
      </c>
      <c r="CM114" s="21">
        <f>EXP(-LN(2)/2)*CM113+(1-EXP(-LN(2)/2))/(LN(2)/2)*CG114*CJ114*VLOOKUP('Données projet'!$B$12,Paramètres!$A$1:$I$89,3,0)*0.475*44/12</f>
        <v>34.616861894861628</v>
      </c>
      <c r="CN114" s="22">
        <f t="shared" si="66"/>
        <v>108.21864889558944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1.1368683772161603E-13</v>
      </c>
      <c r="CU114" s="17">
        <f>CT114*VLOOKUP('Données projet'!$B$13,Paramètres!$A$1:$I$89,3,0)*VLOOKUP('Données projet'!$B$13,Paramètres!$A$1:$I$89,5,0)</f>
        <v>6.7984728957526396E-14</v>
      </c>
      <c r="CV114" s="13">
        <f t="shared" si="95"/>
        <v>1.0682447123141398E-12</v>
      </c>
      <c r="CW114" s="20">
        <f t="shared" si="67"/>
        <v>1.978932943548152E-12</v>
      </c>
      <c r="CX114" s="59">
        <f t="shared" si="68"/>
        <v>280.19336229462556</v>
      </c>
      <c r="CY114" s="59">
        <f ca="1">AVERAGE(OFFSET($CX$3,0,0,'Données projet'!$E$13+1,1))-AVERAGE(OFFSET($H$3,0,0,'Données projet'!$E$13+1,1))</f>
        <v>318.50474972254085</v>
      </c>
      <c r="CZ114" s="59">
        <f t="shared" si="96"/>
        <v>326.45858332753562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50.578033624123307</v>
      </c>
      <c r="DG114" s="21">
        <f>EXP(-LN(2)/25)*DG113+(1-EXP(-LN(2)/25))/(LN(2)/25)*Calculateur!DB114*Calculateur!DD114*VLOOKUP('Données projet'!$B$13,Paramètres!$A$1:$I$89,3,0)*0.475*44/12</f>
        <v>11.77897731455589</v>
      </c>
      <c r="DH114" s="21">
        <f>EXP(-LN(2)/2)*DH113+(1-EXP(-LN(2)/2))/(LN(2)/2)*DB114*DE114*VLOOKUP('Données projet'!$B$13,Paramètres!$A$1:$I$89,3,0)*0.475*44/12</f>
        <v>1.2635929235852569E-6</v>
      </c>
      <c r="DI114" s="22">
        <f t="shared" si="69"/>
        <v>62.357012202272116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3">
        <f>'Scénario référence'!$B$16*5+'Scénario référence'!$B$17*0+'Scénario référence'!$B$18*5</f>
        <v>5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67">
        <f t="shared" si="56"/>
        <v>183.33333333333334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5.6843418860808015E-14</v>
      </c>
      <c r="O115" s="13">
        <f>N115*VLOOKUP('Données projet'!$B$9,Paramètres!$A$1:$I$89,3,0)*VLOOKUP('Données projet'!$B$9,Paramètres!$A$1:$I$89,5,0)</f>
        <v>5.1431925385259088E-14</v>
      </c>
      <c r="P115" s="13">
        <f t="shared" si="87"/>
        <v>8.3482866290946129E-13</v>
      </c>
      <c r="Q115" s="20">
        <f t="shared" si="107"/>
        <v>1.5435705246133045E-12</v>
      </c>
      <c r="R115" s="59">
        <f t="shared" si="55"/>
        <v>280.4213114155724</v>
      </c>
      <c r="S115" s="59">
        <f ca="1">AVERAGE(OFFSET($R$3,0,0,'Données projet'!$E$9+1,1))-AVERAGE(OFFSET($H$3,0,0,'Données projet'!$E$9+1,1))</f>
        <v>214.60547318405733</v>
      </c>
      <c r="T115" s="59">
        <f t="shared" si="88"/>
        <v>306.35874106546646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4.1411886087023788</v>
      </c>
      <c r="AA115" s="21">
        <f>EXP(-LN(2)/25)*AA114+(1-EXP(-LN(2)/25))/(LN(2)/25)*Calculateur!V115*Calculateur!X115*VLOOKUP('Données projet'!$B$9,Paramètres!$A$1:$I$89,3,0)*0.475*44/12</f>
        <v>2.0623985317550177</v>
      </c>
      <c r="AB115" s="21">
        <f>EXP(-LN(2)/2)*AB114+(1-EXP(-LN(2)/2))/(LN(2)/2)*V115*Y115*VLOOKUP('Données projet'!$B$9,Paramètres!$A$1:$I$89,3,0)*0.475*44/12</f>
        <v>1.1352146125742424E-9</v>
      </c>
      <c r="AC115" s="22">
        <f t="shared" si="57"/>
        <v>6.2035871415926112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8.8449999999999989</v>
      </c>
      <c r="AI115" s="13">
        <f>IF('Données projet'!$A$62&gt;35,AI114+AH115-AQ114,IF(A115&lt;'Données projet'!$A$62,$AF$205^A115,IF(A115='Données projet'!$A$62,'Données projet'!$B$62,AI114+AH115-AQ114)))</f>
        <v>406.87000000000069</v>
      </c>
      <c r="AJ115" s="13">
        <f>AI115*VLOOKUP('Données projet'!$B$10,Paramètres!$A$1:$I$89,3,0)*VLOOKUP('Données projet'!$B$10,Paramètres!$A$1:$I$89,5,0)</f>
        <v>412.56618000000077</v>
      </c>
      <c r="AK115" s="13">
        <f t="shared" si="89"/>
        <v>94.319660957344354</v>
      </c>
      <c r="AL115" s="20">
        <f t="shared" si="58"/>
        <v>882.82617300070933</v>
      </c>
      <c r="AM115" s="59">
        <f t="shared" si="59"/>
        <v>1163.2474844162803</v>
      </c>
      <c r="AN115" s="59">
        <f ca="1">AVERAGE(OFFSET($AM$3,0,0,'Données projet'!$E$10+1,1))-AVERAGE(OFFSET($H$3,0,0,'Données projet'!$E$10+1,1))</f>
        <v>752.45542076695506</v>
      </c>
      <c r="AO115" s="59">
        <f t="shared" si="90"/>
        <v>329.70629768420724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31.655265110669479</v>
      </c>
      <c r="AV115" s="21">
        <f>EXP(-LN(2)/25)*AV114+(1-EXP(-LN(2)/25))/(LN(2)/25)*Calculateur!AQ115*Calculateur!AS115*VLOOKUP('Données projet'!$B$10,Paramètres!$A$1:$I$89,3,0)*0.475*44/12</f>
        <v>24.261152226901544</v>
      </c>
      <c r="AW115" s="21">
        <f>EXP(-LN(2)/2)*AW114+(1-EXP(-LN(2)/2))/(LN(2)/2)*AQ115*AT115*VLOOKUP('Données projet'!$B$10,Paramètres!$A$1:$I$89,3,0)*0.475*44/12</f>
        <v>0.40817656345663889</v>
      </c>
      <c r="AX115" s="21">
        <f t="shared" si="60"/>
        <v>56.324593901027662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8.8449999999999989</v>
      </c>
      <c r="BD115" s="12">
        <f>IF('Données projet'!$A$88&gt;35,BD114+BC115-BL114,IF(A115&lt;'Données projet'!$A$88,$BA$205^A115,IF(A115='Données projet'!$A$88,'Données projet'!$B$88,BD114+BC115-BL114)))</f>
        <v>406.87000000000069</v>
      </c>
      <c r="BE115" s="13">
        <f>BD115*VLOOKUP('Données projet'!$B$11,Paramètres!$A$1:$I$89,3,0)*VLOOKUP('Données projet'!$B$11,Paramètres!$A$1:$I$89,5,0)</f>
        <v>368.1359760000006</v>
      </c>
      <c r="BF115" s="13">
        <f t="shared" si="91"/>
        <v>85.285846455183602</v>
      </c>
      <c r="BG115" s="20">
        <f t="shared" si="61"/>
        <v>789.70967410944593</v>
      </c>
      <c r="BH115" s="59">
        <f t="shared" si="62"/>
        <v>1070.1309855250167</v>
      </c>
      <c r="BI115" s="59">
        <f ca="1">AVERAGE(OFFSET($BH$3,0,0,'Données projet'!$E$11+1,1))-AVERAGE(OFFSET($H$3,0,0,'Données projet'!$E$11+1,1))</f>
        <v>681.47578137804555</v>
      </c>
      <c r="BJ115" s="59">
        <f t="shared" si="92"/>
        <v>300.88511065995885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28.246236560289695</v>
      </c>
      <c r="BQ115" s="21">
        <f>EXP(-LN(2)/25)*BQ114+(1-EXP(-LN(2)/25))/(LN(2)/25)*Calculateur!BL115*Calculateur!BN115*VLOOKUP('Données projet'!$B$11,Paramètres!$A$1:$I$89,3,0)*0.475*44/12</f>
        <v>21.648412756312148</v>
      </c>
      <c r="BR115" s="21">
        <f>EXP(-LN(2)/2)*BR114+(1-EXP(-LN(2)/2))/(LN(2)/2)*BL115*BO115*VLOOKUP('Données projet'!$B$11,Paramètres!$A$1:$I$89,3,0)*0.475*44/12</f>
        <v>0.3642190873920777</v>
      </c>
      <c r="BS115" s="22">
        <f t="shared" si="63"/>
        <v>50.258868403993922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2.2737367544323206E-13</v>
      </c>
      <c r="BZ115" s="13">
        <f>BY115*VLOOKUP('Données projet'!$B$12,Paramètres!$A$1:$I$89,3,0)*VLOOKUP('Données projet'!$B$12,Paramètres!$A$1:$I$89,5,0)</f>
        <v>1.5252226148732008E-13</v>
      </c>
      <c r="CA115" s="13">
        <f t="shared" si="93"/>
        <v>2.1814502464536512E-12</v>
      </c>
      <c r="CB115" s="20">
        <f t="shared" si="64"/>
        <v>4.0650021179971913E-12</v>
      </c>
      <c r="CC115" s="59">
        <f t="shared" si="65"/>
        <v>280.42131141557496</v>
      </c>
      <c r="CD115" s="59">
        <f ca="1">AVERAGE(OFFSET($CC$3,0,0,'Données projet'!$E$12+1,1))-AVERAGE(OFFSET($H$3,0,0,'Données projet'!$E$12+1,1))</f>
        <v>335.73816489539837</v>
      </c>
      <c r="CE115" s="59">
        <f t="shared" si="94"/>
        <v>254.09787950201044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36.004839425330928</v>
      </c>
      <c r="CL115" s="21">
        <f>EXP(-LN(2)/25)*CL114+(1-EXP(-LN(2)/25))/(LN(2)/25)*Calculateur!CG115*Calculateur!CI115*VLOOKUP('Données projet'!$B$12,Paramètres!$A$1:$I$89,3,0)*0.475*44/12</f>
        <v>35.868395000464048</v>
      </c>
      <c r="CM115" s="21">
        <f>EXP(-LN(2)/2)*CM114+(1-EXP(-LN(2)/2))/(LN(2)/2)*CG115*CJ115*VLOOKUP('Données projet'!$B$12,Paramètres!$A$1:$I$89,3,0)*0.475*44/12</f>
        <v>24.477817789254857</v>
      </c>
      <c r="CN115" s="22">
        <f t="shared" si="66"/>
        <v>96.351052215049833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1.1368683772161603E-13</v>
      </c>
      <c r="CU115" s="17">
        <f>CT115*VLOOKUP('Données projet'!$B$13,Paramètres!$A$1:$I$89,3,0)*VLOOKUP('Données projet'!$B$13,Paramètres!$A$1:$I$89,5,0)</f>
        <v>6.7984728957526396E-14</v>
      </c>
      <c r="CV115" s="13">
        <f t="shared" si="95"/>
        <v>1.0682447123141398E-12</v>
      </c>
      <c r="CW115" s="20">
        <f t="shared" si="67"/>
        <v>1.978932943548152E-12</v>
      </c>
      <c r="CX115" s="59">
        <f t="shared" si="68"/>
        <v>280.42131141557286</v>
      </c>
      <c r="CY115" s="59">
        <f ca="1">AVERAGE(OFFSET($CX$3,0,0,'Données projet'!$E$13+1,1))-AVERAGE(OFFSET($H$3,0,0,'Données projet'!$E$13+1,1))</f>
        <v>318.50474972254085</v>
      </c>
      <c r="CZ115" s="59">
        <f t="shared" si="96"/>
        <v>326.45858332753562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49.586229234308618</v>
      </c>
      <c r="DG115" s="21">
        <f>EXP(-LN(2)/25)*DG114+(1-EXP(-LN(2)/25))/(LN(2)/25)*Calculateur!DB115*Calculateur!DD115*VLOOKUP('Données projet'!$B$13,Paramètres!$A$1:$I$89,3,0)*0.475*44/12</f>
        <v>11.456880560459863</v>
      </c>
      <c r="DH115" s="21">
        <f>EXP(-LN(2)/2)*DH114+(1-EXP(-LN(2)/2))/(LN(2)/2)*DB115*DE115*VLOOKUP('Données projet'!$B$13,Paramètres!$A$1:$I$89,3,0)*0.475*44/12</f>
        <v>8.9349512492647013E-7</v>
      </c>
      <c r="DI115" s="22">
        <f t="shared" si="69"/>
        <v>61.04311068826361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3">
        <f>'Scénario référence'!$B$16*5+'Scénario référence'!$B$17*0+'Scénario référence'!$B$18*5</f>
        <v>5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67">
        <f t="shared" si="56"/>
        <v>183.33333333333334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5.6843418860808015E-14</v>
      </c>
      <c r="O116" s="13">
        <f>N116*VLOOKUP('Données projet'!$B$9,Paramètres!$A$1:$I$89,3,0)*VLOOKUP('Données projet'!$B$9,Paramètres!$A$1:$I$89,5,0)</f>
        <v>5.1431925385259088E-14</v>
      </c>
      <c r="P116" s="13">
        <f t="shared" si="87"/>
        <v>8.3482866290946129E-13</v>
      </c>
      <c r="Q116" s="20">
        <f t="shared" si="107"/>
        <v>1.5435705246133045E-12</v>
      </c>
      <c r="R116" s="59">
        <f t="shared" si="55"/>
        <v>280.64530612888916</v>
      </c>
      <c r="S116" s="59">
        <f ca="1">AVERAGE(OFFSET($R$3,0,0,'Données projet'!$E$9+1,1))-AVERAGE(OFFSET($H$3,0,0,'Données projet'!$E$9+1,1))</f>
        <v>214.60547318405733</v>
      </c>
      <c r="T116" s="59">
        <f t="shared" si="88"/>
        <v>306.35874106546646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4.0599824259613673</v>
      </c>
      <c r="AA116" s="21">
        <f>EXP(-LN(2)/25)*AA115+(1-EXP(-LN(2)/25))/(LN(2)/25)*Calculateur!V116*Calculateur!X116*VLOOKUP('Données projet'!$B$9,Paramètres!$A$1:$I$89,3,0)*0.475*44/12</f>
        <v>2.0060021354473516</v>
      </c>
      <c r="AB116" s="21">
        <f>EXP(-LN(2)/2)*AB115+(1-EXP(-LN(2)/2))/(LN(2)/2)*V116*Y116*VLOOKUP('Données projet'!$B$9,Paramètres!$A$1:$I$89,3,0)*0.475*44/12</f>
        <v>8.0271795065330618E-10</v>
      </c>
      <c r="AC116" s="22">
        <f t="shared" si="57"/>
        <v>6.0659845622114368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8.8449999999999989</v>
      </c>
      <c r="AI116" s="13">
        <f>IF('Données projet'!$A$62&gt;35,AI115+AH116-AQ115,IF(A116&lt;'Données projet'!$A$62,$AF$205^A116,IF(A116='Données projet'!$A$62,'Données projet'!$B$62,AI115+AH116-AQ115)))</f>
        <v>415.71500000000071</v>
      </c>
      <c r="AJ116" s="13">
        <f>AI116*VLOOKUP('Données projet'!$B$10,Paramètres!$A$1:$I$89,3,0)*VLOOKUP('Données projet'!$B$10,Paramètres!$A$1:$I$89,5,0)</f>
        <v>421.5350100000008</v>
      </c>
      <c r="AK116" s="13">
        <f t="shared" si="89"/>
        <v>96.129144685048502</v>
      </c>
      <c r="AL116" s="20">
        <f t="shared" si="58"/>
        <v>901.59840274312739</v>
      </c>
      <c r="AM116" s="59">
        <f t="shared" si="59"/>
        <v>1182.2437088720151</v>
      </c>
      <c r="AN116" s="59">
        <f ca="1">AVERAGE(OFFSET($AM$3,0,0,'Données projet'!$E$10+1,1))-AVERAGE(OFFSET($H$3,0,0,'Données projet'!$E$10+1,1))</f>
        <v>752.45542076695506</v>
      </c>
      <c r="AO116" s="59">
        <f t="shared" si="90"/>
        <v>329.70629768420724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31.034524669654481</v>
      </c>
      <c r="AV116" s="21">
        <f>EXP(-LN(2)/25)*AV115+(1-EXP(-LN(2)/25))/(LN(2)/25)*Calculateur!AQ116*Calculateur!AS116*VLOOKUP('Données projet'!$B$10,Paramètres!$A$1:$I$89,3,0)*0.475*44/12</f>
        <v>23.597729743418377</v>
      </c>
      <c r="AW116" s="21">
        <f>EXP(-LN(2)/2)*AW115+(1-EXP(-LN(2)/2))/(LN(2)/2)*AQ116*AT116*VLOOKUP('Données projet'!$B$10,Paramètres!$A$1:$I$89,3,0)*0.475*44/12</f>
        <v>0.28862441594161048</v>
      </c>
      <c r="AX116" s="21">
        <f t="shared" si="60"/>
        <v>54.92087882901447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8.8449999999999989</v>
      </c>
      <c r="BD116" s="12">
        <f>IF('Données projet'!$A$88&gt;35,BD115+BC116-BL115,IF(A116&lt;'Données projet'!$A$88,$BA$205^A116,IF(A116='Données projet'!$A$88,'Données projet'!$B$88,BD115+BC116-BL115)))</f>
        <v>415.71500000000071</v>
      </c>
      <c r="BE116" s="13">
        <f>BD116*VLOOKUP('Données projet'!$B$11,Paramètres!$A$1:$I$89,3,0)*VLOOKUP('Données projet'!$B$11,Paramètres!$A$1:$I$89,5,0)</f>
        <v>376.13893200000064</v>
      </c>
      <c r="BF116" s="13">
        <f t="shared" si="91"/>
        <v>86.922020183945492</v>
      </c>
      <c r="BG116" s="20">
        <f t="shared" si="61"/>
        <v>806.49782505370615</v>
      </c>
      <c r="BH116" s="59">
        <f t="shared" si="62"/>
        <v>1087.1431311825938</v>
      </c>
      <c r="BI116" s="59">
        <f ca="1">AVERAGE(OFFSET($BH$3,0,0,'Données projet'!$E$11+1,1))-AVERAGE(OFFSET($H$3,0,0,'Données projet'!$E$11+1,1))</f>
        <v>681.47578137804555</v>
      </c>
      <c r="BJ116" s="59">
        <f t="shared" si="92"/>
        <v>300.88511065995885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27.692345089845542</v>
      </c>
      <c r="BQ116" s="21">
        <f>EXP(-LN(2)/25)*BQ115+(1-EXP(-LN(2)/25))/(LN(2)/25)*Calculateur!BL116*Calculateur!BN116*VLOOKUP('Données projet'!$B$11,Paramètres!$A$1:$I$89,3,0)*0.475*44/12</f>
        <v>21.056435771050243</v>
      </c>
      <c r="BR116" s="21">
        <f>EXP(-LN(2)/2)*BR115+(1-EXP(-LN(2)/2))/(LN(2)/2)*BL116*BO116*VLOOKUP('Données projet'!$B$11,Paramètres!$A$1:$I$89,3,0)*0.475*44/12</f>
        <v>0.25754178653251392</v>
      </c>
      <c r="BS116" s="22">
        <f t="shared" si="63"/>
        <v>49.006322647428298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2.2737367544323206E-13</v>
      </c>
      <c r="BZ116" s="13">
        <f>BY116*VLOOKUP('Données projet'!$B$12,Paramètres!$A$1:$I$89,3,0)*VLOOKUP('Données projet'!$B$12,Paramètres!$A$1:$I$89,5,0)</f>
        <v>1.5252226148732008E-13</v>
      </c>
      <c r="CA116" s="13">
        <f t="shared" si="93"/>
        <v>2.1814502464536512E-12</v>
      </c>
      <c r="CB116" s="20">
        <f t="shared" si="64"/>
        <v>4.0650021179971913E-12</v>
      </c>
      <c r="CC116" s="59">
        <f t="shared" si="65"/>
        <v>280.64530612889172</v>
      </c>
      <c r="CD116" s="59">
        <f ca="1">AVERAGE(OFFSET($CC$3,0,0,'Données projet'!$E$12+1,1))-AVERAGE(OFFSET($H$3,0,0,'Données projet'!$E$12+1,1))</f>
        <v>335.73816489539837</v>
      </c>
      <c r="CE116" s="59">
        <f t="shared" si="94"/>
        <v>254.09787950201044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35.298806484983793</v>
      </c>
      <c r="CL116" s="21">
        <f>EXP(-LN(2)/25)*CL115+(1-EXP(-LN(2)/25))/(LN(2)/25)*Calculateur!CG116*Calculateur!CI116*VLOOKUP('Données projet'!$B$12,Paramètres!$A$1:$I$89,3,0)*0.475*44/12</f>
        <v>34.887571852939445</v>
      </c>
      <c r="CM116" s="21">
        <f>EXP(-LN(2)/2)*CM115+(1-EXP(-LN(2)/2))/(LN(2)/2)*CG116*CJ116*VLOOKUP('Données projet'!$B$12,Paramètres!$A$1:$I$89,3,0)*0.475*44/12</f>
        <v>17.308430947430814</v>
      </c>
      <c r="CN116" s="22">
        <f t="shared" si="66"/>
        <v>87.494809285354052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1.1368683772161603E-13</v>
      </c>
      <c r="CU116" s="17">
        <f>CT116*VLOOKUP('Données projet'!$B$13,Paramètres!$A$1:$I$89,3,0)*VLOOKUP('Données projet'!$B$13,Paramètres!$A$1:$I$89,5,0)</f>
        <v>6.7984728957526396E-14</v>
      </c>
      <c r="CV116" s="13">
        <f t="shared" si="95"/>
        <v>1.0682447123141398E-12</v>
      </c>
      <c r="CW116" s="20">
        <f t="shared" si="67"/>
        <v>1.978932943548152E-12</v>
      </c>
      <c r="CX116" s="59">
        <f t="shared" si="68"/>
        <v>280.64530612888962</v>
      </c>
      <c r="CY116" s="59">
        <f ca="1">AVERAGE(OFFSET($CX$3,0,0,'Données projet'!$E$13+1,1))-AVERAGE(OFFSET($H$3,0,0,'Données projet'!$E$13+1,1))</f>
        <v>318.50474972254085</v>
      </c>
      <c r="CZ116" s="59">
        <f t="shared" si="96"/>
        <v>326.45858332753562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48.613873523637253</v>
      </c>
      <c r="DG116" s="21">
        <f>EXP(-LN(2)/25)*DG115+(1-EXP(-LN(2)/25))/(LN(2)/25)*Calculateur!DB116*Calculateur!DD116*VLOOKUP('Données projet'!$B$13,Paramètres!$A$1:$I$89,3,0)*0.475*44/12</f>
        <v>11.143591559042925</v>
      </c>
      <c r="DH116" s="21">
        <f>EXP(-LN(2)/2)*DH115+(1-EXP(-LN(2)/2))/(LN(2)/2)*DB116*DE116*VLOOKUP('Données projet'!$B$13,Paramètres!$A$1:$I$89,3,0)*0.475*44/12</f>
        <v>6.3179646179262845E-7</v>
      </c>
      <c r="DI116" s="22">
        <f t="shared" si="69"/>
        <v>59.757465714476638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3">
        <f>'Scénario référence'!$B$16*5+'Scénario référence'!$B$17*0+'Scénario référence'!$B$18*5</f>
        <v>5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67">
        <f t="shared" si="56"/>
        <v>183.33333333333334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5.6843418860808015E-14</v>
      </c>
      <c r="O117" s="13">
        <f>N117*VLOOKUP('Données projet'!$B$9,Paramètres!$A$1:$I$89,3,0)*VLOOKUP('Données projet'!$B$9,Paramètres!$A$1:$I$89,5,0)</f>
        <v>5.1431925385259088E-14</v>
      </c>
      <c r="P117" s="13">
        <f t="shared" si="87"/>
        <v>8.3482866290946129E-13</v>
      </c>
      <c r="Q117" s="20">
        <f t="shared" si="107"/>
        <v>1.5435705246133045E-12</v>
      </c>
      <c r="R117" s="59">
        <f t="shared" si="55"/>
        <v>280.86541503470698</v>
      </c>
      <c r="S117" s="59">
        <f ca="1">AVERAGE(OFFSET($R$3,0,0,'Données projet'!$E$9+1,1))-AVERAGE(OFFSET($H$3,0,0,'Données projet'!$E$9+1,1))</f>
        <v>214.60547318405733</v>
      </c>
      <c r="T117" s="59">
        <f t="shared" si="88"/>
        <v>306.35874106546646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3.9803686469330262</v>
      </c>
      <c r="AA117" s="21">
        <f>EXP(-LN(2)/25)*AA116+(1-EXP(-LN(2)/25))/(LN(2)/25)*Calculateur!V117*Calculateur!X117*VLOOKUP('Données projet'!$B$9,Paramètres!$A$1:$I$89,3,0)*0.475*44/12</f>
        <v>1.9511479015624762</v>
      </c>
      <c r="AB117" s="21">
        <f>EXP(-LN(2)/2)*AB116+(1-EXP(-LN(2)/2))/(LN(2)/2)*V117*Y117*VLOOKUP('Données projet'!$B$9,Paramètres!$A$1:$I$89,3,0)*0.475*44/12</f>
        <v>5.6760730628712122E-10</v>
      </c>
      <c r="AC117" s="22">
        <f t="shared" si="57"/>
        <v>5.9315165490631099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>
        <f>VLOOKUP(A117,'Données projet'!$A$61:$I$81,2,0)</f>
        <v>424.56</v>
      </c>
      <c r="AG117" s="12">
        <f>VLOOKUP(A117,'Données projet'!$A$61:$I$81,9,0)</f>
        <v>8.8449999999999989</v>
      </c>
      <c r="AH117" s="12">
        <f t="array" ref="AH117">INDEX(AG:AG,MIN(IF(ISNUMBER(AG117:AG313),ROW(AG117:AG313),"")))</f>
        <v>8.8449999999999989</v>
      </c>
      <c r="AI117" s="13">
        <f>IF('Données projet'!$A$62&gt;35,AI116+AH117-AQ116,IF(A117&lt;'Données projet'!$A$62,$AF$205^A117,IF(A117='Données projet'!$A$62,'Données projet'!$B$62,AI116+AH117-AQ116)))</f>
        <v>424.56000000000074</v>
      </c>
      <c r="AJ117" s="13">
        <f>AI117*VLOOKUP('Données projet'!$B$10,Paramètres!$A$1:$I$89,3,0)*VLOOKUP('Données projet'!$B$10,Paramètres!$A$1:$I$89,5,0)</f>
        <v>430.50384000000082</v>
      </c>
      <c r="AK117" s="13">
        <f t="shared" si="89"/>
        <v>97.934152240758081</v>
      </c>
      <c r="AL117" s="20">
        <f t="shared" si="58"/>
        <v>920.3628364859884</v>
      </c>
      <c r="AM117" s="59">
        <f t="shared" si="59"/>
        <v>1201.2282515206939</v>
      </c>
      <c r="AN117" s="59">
        <f ca="1">AVERAGE(OFFSET($AM$3,0,0,'Données projet'!$E$10+1,1))-AVERAGE(OFFSET($H$3,0,0,'Données projet'!$E$10+1,1))</f>
        <v>752.45542076695506</v>
      </c>
      <c r="AO117" s="59">
        <f t="shared" si="90"/>
        <v>329.70629768420724</v>
      </c>
      <c r="AP117" s="15">
        <f>IF(ISNA(VLOOKUP(A117,'Données projet'!$A$61:$I$81,3,0)),0,VLOOKUP(A117,'Données projet'!$A$61:$I$81,3,0))</f>
        <v>9</v>
      </c>
      <c r="AQ117" s="15">
        <f>IF(ISNA(VLOOKUP(A117,'Données projet'!$A$61:$I$81,4,0)),0,VLOOKUP(A117,'Données projet'!$A$61:$I$81,4,0))</f>
        <v>61.860000000000014</v>
      </c>
      <c r="AR117" s="16">
        <f>IF(ISNA(VLOOKUP(A117,'Données projet'!$A$61:$I$81,5,0)),0%,VLOOKUP(A117,'Données projet'!$A$61:$I$81,5,0)*VLOOKUP('Données projet'!$B$10,Paramètres!$A$1:$I$89,7,0))</f>
        <v>0.15049999999999999</v>
      </c>
      <c r="AS117" s="16">
        <f>IF(ISNA(VLOOKUP(A117,'Données projet'!$A$61:$I$81,6,0)),0%,VLOOKUP(A117,'Données projet'!$A$61:$I$81,6,0)*VLOOKUP('Données projet'!$B$10,Paramètres!$A$1:$I$89,7,0))</f>
        <v>8.6000000000000007E-2</v>
      </c>
      <c r="AT117" s="16">
        <f>IF(ISNA(VLOOKUP(A117,'Données projet'!$A$61:$I$81,7,0)),0%,VLOOKUP(A117,'Données projet'!$A$61:$I$81,7,0))</f>
        <v>0.1</v>
      </c>
      <c r="AU117" s="21">
        <f>EXP(-LN(2)/35)*AU116+(1-EXP(-LN(2)/35))/(LN(2)/35)*AQ117*AR117*VLOOKUP('Données projet'!$B$10,Paramètres!$A$1:$I$89,3,0)*0.475*44/12</f>
        <v>40.861894346506055</v>
      </c>
      <c r="AV117" s="21">
        <f>EXP(-LN(2)/25)*AV116+(1-EXP(-LN(2)/25))/(LN(2)/25)*Calculateur!AQ117*Calculateur!AS117*VLOOKUP('Données projet'!$B$10,Paramètres!$A$1:$I$89,3,0)*0.475*44/12</f>
        <v>28.892361447206902</v>
      </c>
      <c r="AW117" s="21">
        <f>EXP(-LN(2)/2)*AW116+(1-EXP(-LN(2)/2))/(LN(2)/2)*AQ117*AT117*VLOOKUP('Données projet'!$B$10,Paramètres!$A$1:$I$89,3,0)*0.475*44/12</f>
        <v>6.1224589803897382</v>
      </c>
      <c r="AX117" s="21">
        <f t="shared" si="60"/>
        <v>75.876714774102695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>
        <f>VLOOKUP(A117,'Données projet'!$A$87:$I$107,2,0)</f>
        <v>424.56</v>
      </c>
      <c r="BB117" s="12">
        <f>VLOOKUP(A117,'Données projet'!$A$87:$I$107,9,0)</f>
        <v>8.8449999999999989</v>
      </c>
      <c r="BC117" s="12">
        <f t="array" ref="BC117">INDEX(BB:BB,MIN(IF(ISNUMBER(BB117:BB313),ROW(BB117:BB313),"")))</f>
        <v>8.8449999999999989</v>
      </c>
      <c r="BD117" s="12">
        <f>IF('Données projet'!$A$88&gt;35,BD116+BC117-BL116,IF(A117&lt;'Données projet'!$A$88,$BA$205^A117,IF(A117='Données projet'!$A$88,'Données projet'!$B$88,BD116+BC117-BL116)))</f>
        <v>424.56000000000074</v>
      </c>
      <c r="BE117" s="13">
        <f>BD117*VLOOKUP('Données projet'!$B$11,Paramètres!$A$1:$I$89,3,0)*VLOOKUP('Données projet'!$B$11,Paramètres!$A$1:$I$89,5,0)</f>
        <v>384.14188800000068</v>
      </c>
      <c r="BF117" s="13">
        <f t="shared" si="91"/>
        <v>88.554146462646884</v>
      </c>
      <c r="BG117" s="20">
        <f t="shared" si="61"/>
        <v>823.27892668911102</v>
      </c>
      <c r="BH117" s="59">
        <f t="shared" si="62"/>
        <v>1104.1443417238165</v>
      </c>
      <c r="BI117" s="59">
        <f ca="1">AVERAGE(OFFSET($BH$3,0,0,'Données projet'!$E$11+1,1))-AVERAGE(OFFSET($H$3,0,0,'Données projet'!$E$11+1,1))</f>
        <v>681.47578137804555</v>
      </c>
      <c r="BJ117" s="59">
        <f t="shared" si="92"/>
        <v>300.88511065995885</v>
      </c>
      <c r="BK117" s="15">
        <f>IF(ISNA(VLOOKUP(A117,'Données projet'!$A$87:$I$107,3,0)),0,VLOOKUP(A117,'Données projet'!$A$87:$I$107,3,0))</f>
        <v>9</v>
      </c>
      <c r="BL117" s="15">
        <f>IF(ISNA(VLOOKUP(A117,'Données projet'!$A$87:$I$107,4,0)),0,VLOOKUP(A117,'Données projet'!$A$87:$I$107,4,0))</f>
        <v>61.860000000000014</v>
      </c>
      <c r="BM117" s="16">
        <f>IF(ISNA(VLOOKUP(A117,'Données projet'!$A$87:$I$107,5,0)),0%,VLOOKUP(A117,'Données projet'!$A$87:$I$107,5,0)*VLOOKUP('Données projet'!$B$11,Paramètres!$A$1:$I$89,7,0))</f>
        <v>0.15049999999999999</v>
      </c>
      <c r="BN117" s="16">
        <f>IF(ISNA(VLOOKUP(A117,'Données projet'!$A$87:$I$107,6,0)),0%,VLOOKUP(A117,'Données projet'!$A$87:$I$107,6,0)*VLOOKUP('Données projet'!$B$11,Paramètres!$A$1:$I$89,7,0))</f>
        <v>8.6000000000000007E-2</v>
      </c>
      <c r="BO117" s="16">
        <f>IF(ISNA(VLOOKUP(A117,'Données projet'!$A$87:$I$107,7,0)),0%,VLOOKUP(A117,'Données projet'!$A$87:$I$107,7,0))</f>
        <v>0.1</v>
      </c>
      <c r="BP117" s="21">
        <f>EXP(-LN(2)/35)*BP116+(1-EXP(-LN(2)/35))/(LN(2)/35)*BL117*BM117*VLOOKUP('Données projet'!$B$11,Paramètres!$A$1:$I$89,3,0)*0.475*44/12</f>
        <v>36.461382647651561</v>
      </c>
      <c r="BQ117" s="21">
        <f>EXP(-LN(2)/25)*BQ116+(1-EXP(-LN(2)/25))/(LN(2)/25)*Calculateur!BL117*Calculateur!BN117*VLOOKUP('Données projet'!$B$11,Paramètres!$A$1:$I$89,3,0)*0.475*44/12</f>
        <v>25.780876368276925</v>
      </c>
      <c r="BR117" s="21">
        <f>EXP(-LN(2)/2)*BR116+(1-EXP(-LN(2)/2))/(LN(2)/2)*BL117*BO117*VLOOKUP('Données projet'!$B$11,Paramètres!$A$1:$I$89,3,0)*0.475*44/12</f>
        <v>5.4631172440400739</v>
      </c>
      <c r="BS117" s="22">
        <f t="shared" si="63"/>
        <v>67.70537625996856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2.2737367544323206E-13</v>
      </c>
      <c r="BZ117" s="13">
        <f>BY117*VLOOKUP('Données projet'!$B$12,Paramètres!$A$1:$I$89,3,0)*VLOOKUP('Données projet'!$B$12,Paramètres!$A$1:$I$89,5,0)</f>
        <v>1.5252226148732008E-13</v>
      </c>
      <c r="CA117" s="13">
        <f t="shared" si="93"/>
        <v>2.1814502464536512E-12</v>
      </c>
      <c r="CB117" s="20">
        <f t="shared" si="64"/>
        <v>4.0650021179971913E-12</v>
      </c>
      <c r="CC117" s="59">
        <f t="shared" si="65"/>
        <v>280.86541503470954</v>
      </c>
      <c r="CD117" s="59">
        <f ca="1">AVERAGE(OFFSET($CC$3,0,0,'Données projet'!$E$12+1,1))-AVERAGE(OFFSET($H$3,0,0,'Données projet'!$E$12+1,1))</f>
        <v>335.73816489539837</v>
      </c>
      <c r="CE117" s="59">
        <f t="shared" si="94"/>
        <v>254.09787950201044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34.60661841995929</v>
      </c>
      <c r="CL117" s="21">
        <f>EXP(-LN(2)/25)*CL116+(1-EXP(-LN(2)/25))/(LN(2)/25)*Calculateur!CG117*Calculateur!CI117*VLOOKUP('Données projet'!$B$12,Paramètres!$A$1:$I$89,3,0)*0.475*44/12</f>
        <v>33.933569365963152</v>
      </c>
      <c r="CM117" s="21">
        <f>EXP(-LN(2)/2)*CM116+(1-EXP(-LN(2)/2))/(LN(2)/2)*CG117*CJ117*VLOOKUP('Données projet'!$B$12,Paramètres!$A$1:$I$89,3,0)*0.475*44/12</f>
        <v>12.238908894627428</v>
      </c>
      <c r="CN117" s="22">
        <f t="shared" si="66"/>
        <v>80.77909668054987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1.1368683772161603E-13</v>
      </c>
      <c r="CU117" s="17">
        <f>CT117*VLOOKUP('Données projet'!$B$13,Paramètres!$A$1:$I$89,3,0)*VLOOKUP('Données projet'!$B$13,Paramètres!$A$1:$I$89,5,0)</f>
        <v>6.7984728957526396E-14</v>
      </c>
      <c r="CV117" s="13">
        <f t="shared" si="95"/>
        <v>1.0682447123141398E-12</v>
      </c>
      <c r="CW117" s="20">
        <f t="shared" si="67"/>
        <v>1.978932943548152E-12</v>
      </c>
      <c r="CX117" s="59">
        <f t="shared" si="68"/>
        <v>280.86541503470744</v>
      </c>
      <c r="CY117" s="59">
        <f ca="1">AVERAGE(OFFSET($CX$3,0,0,'Données projet'!$E$13+1,1))-AVERAGE(OFFSET($H$3,0,0,'Données projet'!$E$13+1,1))</f>
        <v>318.50474972254085</v>
      </c>
      <c r="CZ117" s="59">
        <f t="shared" si="96"/>
        <v>326.45858332753562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47.660585115373728</v>
      </c>
      <c r="DG117" s="21">
        <f>EXP(-LN(2)/25)*DG116+(1-EXP(-LN(2)/25))/(LN(2)/25)*Calculateur!DB117*Calculateur!DD117*VLOOKUP('Données projet'!$B$13,Paramètres!$A$1:$I$89,3,0)*0.475*44/12</f>
        <v>10.838869461844885</v>
      </c>
      <c r="DH117" s="21">
        <f>EXP(-LN(2)/2)*DH116+(1-EXP(-LN(2)/2))/(LN(2)/2)*DB117*DE117*VLOOKUP('Données projet'!$B$13,Paramètres!$A$1:$I$89,3,0)*0.475*44/12</f>
        <v>4.4674756246323506E-7</v>
      </c>
      <c r="DI117" s="22">
        <f t="shared" si="69"/>
        <v>58.499455023966178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3">
        <f>'Scénario référence'!$B$16*5+'Scénario référence'!$B$17*0+'Scénario référence'!$B$18*5</f>
        <v>5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67">
        <f t="shared" si="56"/>
        <v>183.33333333333334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5.6843418860808015E-14</v>
      </c>
      <c r="O118" s="13">
        <f>N118*VLOOKUP('Données projet'!$B$9,Paramètres!$A$1:$I$89,3,0)*VLOOKUP('Données projet'!$B$9,Paramètres!$A$1:$I$89,5,0)</f>
        <v>5.1431925385259088E-14</v>
      </c>
      <c r="P118" s="13">
        <f t="shared" si="87"/>
        <v>8.3482866290946129E-13</v>
      </c>
      <c r="Q118" s="20">
        <f t="shared" si="107"/>
        <v>1.5435705246133045E-12</v>
      </c>
      <c r="R118" s="59">
        <f t="shared" si="55"/>
        <v>281.08170554309879</v>
      </c>
      <c r="S118" s="59">
        <f ca="1">AVERAGE(OFFSET($R$3,0,0,'Données projet'!$E$9+1,1))-AVERAGE(OFFSET($H$3,0,0,'Données projet'!$E$9+1,1))</f>
        <v>214.60547318405733</v>
      </c>
      <c r="T118" s="59">
        <f t="shared" si="88"/>
        <v>306.35874106546646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3.9023160455518204</v>
      </c>
      <c r="AA118" s="21">
        <f>EXP(-LN(2)/25)*AA117+(1-EXP(-LN(2)/25))/(LN(2)/25)*Calculateur!V118*Calculateur!X118*VLOOKUP('Données projet'!$B$9,Paramètres!$A$1:$I$89,3,0)*0.475*44/12</f>
        <v>1.8977936595878415</v>
      </c>
      <c r="AB118" s="21">
        <f>EXP(-LN(2)/2)*AB117+(1-EXP(-LN(2)/2))/(LN(2)/2)*V118*Y118*VLOOKUP('Données projet'!$B$9,Paramètres!$A$1:$I$89,3,0)*0.475*44/12</f>
        <v>4.0135897532665309E-10</v>
      </c>
      <c r="AC118" s="22">
        <f t="shared" si="57"/>
        <v>5.8001097055410211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8.9160000000000021</v>
      </c>
      <c r="AI118" s="13">
        <f>IF('Données projet'!$A$62&gt;35,AI117+AH118-AQ117,IF(A118&lt;'Données projet'!$A$62,$AF$205^A118,IF(A118='Données projet'!$A$62,'Données projet'!$B$62,AI117+AH118-AQ117)))</f>
        <v>371.61600000000072</v>
      </c>
      <c r="AJ118" s="13">
        <f>AI118*VLOOKUP('Données projet'!$B$10,Paramètres!$A$1:$I$89,3,0)*VLOOKUP('Données projet'!$B$10,Paramètres!$A$1:$I$89,5,0)</f>
        <v>376.81862400000074</v>
      </c>
      <c r="AK118" s="13">
        <f t="shared" si="89"/>
        <v>87.06079278989921</v>
      </c>
      <c r="AL118" s="20">
        <f t="shared" si="58"/>
        <v>807.92331757574232</v>
      </c>
      <c r="AM118" s="59">
        <f t="shared" si="59"/>
        <v>1089.0050231188395</v>
      </c>
      <c r="AN118" s="59">
        <f ca="1">AVERAGE(OFFSET($AM$3,0,0,'Données projet'!$E$10+1,1))-AVERAGE(OFFSET($H$3,0,0,'Données projet'!$E$10+1,1))</f>
        <v>752.45542076695506</v>
      </c>
      <c r="AO118" s="59">
        <f t="shared" si="90"/>
        <v>329.70629768420724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40.060617521665655</v>
      </c>
      <c r="AV118" s="21">
        <f>EXP(-LN(2)/25)*AV117+(1-EXP(-LN(2)/25))/(LN(2)/25)*Calculateur!AQ118*Calculateur!AS118*VLOOKUP('Données projet'!$B$10,Paramètres!$A$1:$I$89,3,0)*0.475*44/12</f>
        <v>28.102298304049775</v>
      </c>
      <c r="AW118" s="21">
        <f>EXP(-LN(2)/2)*AW117+(1-EXP(-LN(2)/2))/(LN(2)/2)*AQ118*AT118*VLOOKUP('Données projet'!$B$10,Paramètres!$A$1:$I$89,3,0)*0.475*44/12</f>
        <v>4.3292322625700601</v>
      </c>
      <c r="AX118" s="21">
        <f t="shared" si="60"/>
        <v>72.492148088285489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8.9160000000000021</v>
      </c>
      <c r="BD118" s="12">
        <f>IF('Données projet'!$A$88&gt;35,BD117+BC118-BL117,IF(A118&lt;'Données projet'!$A$88,$BA$205^A118,IF(A118='Données projet'!$A$88,'Données projet'!$B$88,BD117+BC118-BL117)))</f>
        <v>371.61600000000072</v>
      </c>
      <c r="BE118" s="13">
        <f>BD118*VLOOKUP('Données projet'!$B$11,Paramètres!$A$1:$I$89,3,0)*VLOOKUP('Données projet'!$B$11,Paramètres!$A$1:$I$89,5,0)</f>
        <v>336.23815680000064</v>
      </c>
      <c r="BF118" s="13">
        <f t="shared" si="91"/>
        <v>78.722223243612518</v>
      </c>
      <c r="BG118" s="20">
        <f t="shared" si="61"/>
        <v>722.72266190929292</v>
      </c>
      <c r="BH118" s="59">
        <f t="shared" si="62"/>
        <v>1003.8043674523901</v>
      </c>
      <c r="BI118" s="59">
        <f ca="1">AVERAGE(OFFSET($BH$3,0,0,'Données projet'!$E$11+1,1))-AVERAGE(OFFSET($H$3,0,0,'Données projet'!$E$11+1,1))</f>
        <v>681.47578137804555</v>
      </c>
      <c r="BJ118" s="59">
        <f t="shared" si="92"/>
        <v>300.88511065995885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35.746397173178586</v>
      </c>
      <c r="BQ118" s="21">
        <f>EXP(-LN(2)/25)*BQ117+(1-EXP(-LN(2)/25))/(LN(2)/25)*Calculateur!BL118*Calculateur!BN118*VLOOKUP('Données projet'!$B$11,Paramètres!$A$1:$I$89,3,0)*0.475*44/12</f>
        <v>25.075896948229026</v>
      </c>
      <c r="BR118" s="21">
        <f>EXP(-LN(2)/2)*BR117+(1-EXP(-LN(2)/2))/(LN(2)/2)*BL118*BO118*VLOOKUP('Données projet'!$B$11,Paramètres!$A$1:$I$89,3,0)*0.475*44/12</f>
        <v>3.8630072496778993</v>
      </c>
      <c r="BS118" s="22">
        <f t="shared" si="63"/>
        <v>64.685301371085501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2.2737367544323206E-13</v>
      </c>
      <c r="BZ118" s="13">
        <f>BY118*VLOOKUP('Données projet'!$B$12,Paramètres!$A$1:$I$89,3,0)*VLOOKUP('Données projet'!$B$12,Paramètres!$A$1:$I$89,5,0)</f>
        <v>1.5252226148732008E-13</v>
      </c>
      <c r="CA118" s="13">
        <f t="shared" si="93"/>
        <v>2.1814502464536512E-12</v>
      </c>
      <c r="CB118" s="20">
        <f t="shared" si="64"/>
        <v>4.0650021179971913E-12</v>
      </c>
      <c r="CC118" s="59">
        <f t="shared" si="65"/>
        <v>281.08170554310135</v>
      </c>
      <c r="CD118" s="59">
        <f ca="1">AVERAGE(OFFSET($CC$3,0,0,'Données projet'!$E$12+1,1))-AVERAGE(OFFSET($H$3,0,0,'Données projet'!$E$12+1,1))</f>
        <v>335.73816489539837</v>
      </c>
      <c r="CE118" s="59">
        <f t="shared" si="94"/>
        <v>254.09787950201044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33.928003740696887</v>
      </c>
      <c r="CL118" s="21">
        <f>EXP(-LN(2)/25)*CL117+(1-EXP(-LN(2)/25))/(LN(2)/25)*Calculateur!CG118*Calculateur!CI118*VLOOKUP('Données projet'!$B$12,Paramètres!$A$1:$I$89,3,0)*0.475*44/12</f>
        <v>33.005654127162032</v>
      </c>
      <c r="CM118" s="21">
        <f>EXP(-LN(2)/2)*CM117+(1-EXP(-LN(2)/2))/(LN(2)/2)*CG118*CJ118*VLOOKUP('Données projet'!$B$12,Paramètres!$A$1:$I$89,3,0)*0.475*44/12</f>
        <v>8.6542154737154071</v>
      </c>
      <c r="CN118" s="22">
        <f t="shared" si="66"/>
        <v>75.587873341574337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1.1368683772161603E-13</v>
      </c>
      <c r="CU118" s="17">
        <f>CT118*VLOOKUP('Données projet'!$B$13,Paramètres!$A$1:$I$89,3,0)*VLOOKUP('Données projet'!$B$13,Paramètres!$A$1:$I$89,5,0)</f>
        <v>6.7984728957526396E-14</v>
      </c>
      <c r="CV118" s="13">
        <f t="shared" si="95"/>
        <v>1.0682447123141398E-12</v>
      </c>
      <c r="CW118" s="20">
        <f t="shared" si="67"/>
        <v>1.978932943548152E-12</v>
      </c>
      <c r="CX118" s="59">
        <f t="shared" si="68"/>
        <v>281.08170554309925</v>
      </c>
      <c r="CY118" s="59">
        <f ca="1">AVERAGE(OFFSET($CX$3,0,0,'Données projet'!$E$13+1,1))-AVERAGE(OFFSET($H$3,0,0,'Données projet'!$E$13+1,1))</f>
        <v>318.50474972254085</v>
      </c>
      <c r="CZ118" s="59">
        <f t="shared" si="96"/>
        <v>326.45858332753562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46.725990111347734</v>
      </c>
      <c r="DG118" s="21">
        <f>EXP(-LN(2)/25)*DG117+(1-EXP(-LN(2)/25))/(LN(2)/25)*Calculateur!DB118*Calculateur!DD118*VLOOKUP('Données projet'!$B$13,Paramètres!$A$1:$I$89,3,0)*0.475*44/12</f>
        <v>10.542480006419364</v>
      </c>
      <c r="DH118" s="21">
        <f>EXP(-LN(2)/2)*DH117+(1-EXP(-LN(2)/2))/(LN(2)/2)*DB118*DE118*VLOOKUP('Données projet'!$B$13,Paramètres!$A$1:$I$89,3,0)*0.475*44/12</f>
        <v>3.1589823089631423E-7</v>
      </c>
      <c r="DI118" s="22">
        <f t="shared" si="69"/>
        <v>57.268470433665328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3">
        <f>'Scénario référence'!$B$16*5+'Scénario référence'!$B$17*0+'Scénario référence'!$B$18*5</f>
        <v>5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67">
        <f t="shared" si="56"/>
        <v>183.33333333333334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5.6843418860808015E-14</v>
      </c>
      <c r="O119" s="13">
        <f>N119*VLOOKUP('Données projet'!$B$9,Paramètres!$A$1:$I$89,3,0)*VLOOKUP('Données projet'!$B$9,Paramètres!$A$1:$I$89,5,0)</f>
        <v>5.1431925385259088E-14</v>
      </c>
      <c r="P119" s="13">
        <f t="shared" si="87"/>
        <v>8.3482866290946129E-13</v>
      </c>
      <c r="Q119" s="20">
        <f t="shared" si="107"/>
        <v>1.5435705246133045E-12</v>
      </c>
      <c r="R119" s="59">
        <f t="shared" si="55"/>
        <v>281.29424389472302</v>
      </c>
      <c r="S119" s="59">
        <f ca="1">AVERAGE(OFFSET($R$3,0,0,'Données projet'!$E$9+1,1))-AVERAGE(OFFSET($H$3,0,0,'Données projet'!$E$9+1,1))</f>
        <v>214.60547318405733</v>
      </c>
      <c r="T119" s="59">
        <f t="shared" si="88"/>
        <v>306.35874106546646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3.825794008076314</v>
      </c>
      <c r="AA119" s="21">
        <f>EXP(-LN(2)/25)*AA118+(1-EXP(-LN(2)/25))/(LN(2)/25)*Calculateur!V119*Calculateur!X119*VLOOKUP('Données projet'!$B$9,Paramètres!$A$1:$I$89,3,0)*0.475*44/12</f>
        <v>1.845898392165781</v>
      </c>
      <c r="AB119" s="21">
        <f>EXP(-LN(2)/2)*AB118+(1-EXP(-LN(2)/2))/(LN(2)/2)*V119*Y119*VLOOKUP('Données projet'!$B$9,Paramètres!$A$1:$I$89,3,0)*0.475*44/12</f>
        <v>2.8380365314356061E-10</v>
      </c>
      <c r="AC119" s="22">
        <f t="shared" si="57"/>
        <v>5.6716924005258988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8.9160000000000021</v>
      </c>
      <c r="AI119" s="13">
        <f>IF('Données projet'!$A$62&gt;35,AI118+AH119-AQ118,IF(A119&lt;'Données projet'!$A$62,$AF$205^A119,IF(A119='Données projet'!$A$62,'Données projet'!$B$62,AI118+AH119-AQ118)))</f>
        <v>380.53200000000072</v>
      </c>
      <c r="AJ119" s="13">
        <f>AI119*VLOOKUP('Données projet'!$B$10,Paramètres!$A$1:$I$89,3,0)*VLOOKUP('Données projet'!$B$10,Paramètres!$A$1:$I$89,5,0)</f>
        <v>385.85944800000078</v>
      </c>
      <c r="AK119" s="13">
        <f t="shared" si="89"/>
        <v>88.903907976148645</v>
      </c>
      <c r="AL119" s="20">
        <f t="shared" si="58"/>
        <v>826.87951165846027</v>
      </c>
      <c r="AM119" s="59">
        <f t="shared" si="59"/>
        <v>1108.1737555531818</v>
      </c>
      <c r="AN119" s="59">
        <f ca="1">AVERAGE(OFFSET($AM$3,0,0,'Données projet'!$E$10+1,1))-AVERAGE(OFFSET($H$3,0,0,'Données projet'!$E$10+1,1))</f>
        <v>752.45542076695506</v>
      </c>
      <c r="AO119" s="59">
        <f t="shared" si="90"/>
        <v>329.70629768420724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39.275053246629767</v>
      </c>
      <c r="AV119" s="21">
        <f>EXP(-LN(2)/25)*AV118+(1-EXP(-LN(2)/25))/(LN(2)/25)*Calculateur!AQ119*Calculateur!AS119*VLOOKUP('Données projet'!$B$10,Paramètres!$A$1:$I$89,3,0)*0.475*44/12</f>
        <v>27.333839479089896</v>
      </c>
      <c r="AW119" s="21">
        <f>EXP(-LN(2)/2)*AW118+(1-EXP(-LN(2)/2))/(LN(2)/2)*AQ119*AT119*VLOOKUP('Données projet'!$B$10,Paramètres!$A$1:$I$89,3,0)*0.475*44/12</f>
        <v>3.0612294901948696</v>
      </c>
      <c r="AX119" s="21">
        <f t="shared" si="60"/>
        <v>69.670122215914546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8.9160000000000021</v>
      </c>
      <c r="BD119" s="12">
        <f>IF('Données projet'!$A$88&gt;35,BD118+BC119-BL118,IF(A119&lt;'Données projet'!$A$88,$BA$205^A119,IF(A119='Données projet'!$A$88,'Données projet'!$B$88,BD118+BC119-BL118)))</f>
        <v>380.53200000000072</v>
      </c>
      <c r="BE119" s="13">
        <f>BD119*VLOOKUP('Données projet'!$B$11,Paramètres!$A$1:$I$89,3,0)*VLOOKUP('Données projet'!$B$11,Paramètres!$A$1:$I$89,5,0)</f>
        <v>344.30535360000061</v>
      </c>
      <c r="BF119" s="13">
        <f t="shared" si="91"/>
        <v>80.388807253544201</v>
      </c>
      <c r="BG119" s="20">
        <f t="shared" si="61"/>
        <v>739.67566348659057</v>
      </c>
      <c r="BH119" s="59">
        <f t="shared" si="62"/>
        <v>1020.9699073813121</v>
      </c>
      <c r="BI119" s="59">
        <f ca="1">AVERAGE(OFFSET($BH$3,0,0,'Données projet'!$E$11+1,1))-AVERAGE(OFFSET($H$3,0,0,'Données projet'!$E$11+1,1))</f>
        <v>681.47578137804555</v>
      </c>
      <c r="BJ119" s="59">
        <f t="shared" si="92"/>
        <v>300.88511065995885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35.045432127761948</v>
      </c>
      <c r="BQ119" s="21">
        <f>EXP(-LN(2)/25)*BQ118+(1-EXP(-LN(2)/25))/(LN(2)/25)*Calculateur!BL119*Calculateur!BN119*VLOOKUP('Données projet'!$B$11,Paramètres!$A$1:$I$89,3,0)*0.475*44/12</f>
        <v>24.390195227495596</v>
      </c>
      <c r="BR119" s="21">
        <f>EXP(-LN(2)/2)*BR118+(1-EXP(-LN(2)/2))/(LN(2)/2)*BL119*BO119*VLOOKUP('Données projet'!$B$11,Paramètres!$A$1:$I$89,3,0)*0.475*44/12</f>
        <v>2.7315586220200374</v>
      </c>
      <c r="BS119" s="22">
        <f t="shared" si="63"/>
        <v>62.167185977277583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2.2737367544323206E-13</v>
      </c>
      <c r="BZ119" s="13">
        <f>BY119*VLOOKUP('Données projet'!$B$12,Paramètres!$A$1:$I$89,3,0)*VLOOKUP('Données projet'!$B$12,Paramètres!$A$1:$I$89,5,0)</f>
        <v>1.5252226148732008E-13</v>
      </c>
      <c r="CA119" s="13">
        <f t="shared" si="93"/>
        <v>2.1814502464536512E-12</v>
      </c>
      <c r="CB119" s="20">
        <f t="shared" si="64"/>
        <v>4.0650021179971913E-12</v>
      </c>
      <c r="CC119" s="59">
        <f t="shared" si="65"/>
        <v>281.29424389472558</v>
      </c>
      <c r="CD119" s="59">
        <f ca="1">AVERAGE(OFFSET($CC$3,0,0,'Données projet'!$E$12+1,1))-AVERAGE(OFFSET($H$3,0,0,'Données projet'!$E$12+1,1))</f>
        <v>335.73816489539837</v>
      </c>
      <c r="CE119" s="59">
        <f t="shared" si="94"/>
        <v>254.09787950201044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33.262696281380734</v>
      </c>
      <c r="CL119" s="21">
        <f>EXP(-LN(2)/25)*CL118+(1-EXP(-LN(2)/25))/(LN(2)/25)*Calculateur!CG119*Calculateur!CI119*VLOOKUP('Données projet'!$B$12,Paramètres!$A$1:$I$89,3,0)*0.475*44/12</f>
        <v>32.103112779362874</v>
      </c>
      <c r="CM119" s="21">
        <f>EXP(-LN(2)/2)*CM118+(1-EXP(-LN(2)/2))/(LN(2)/2)*CG119*CJ119*VLOOKUP('Données projet'!$B$12,Paramètres!$A$1:$I$89,3,0)*0.475*44/12</f>
        <v>6.1194544473137142</v>
      </c>
      <c r="CN119" s="22">
        <f t="shared" si="66"/>
        <v>71.485263508057315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1.1368683772161603E-13</v>
      </c>
      <c r="CU119" s="17">
        <f>CT119*VLOOKUP('Données projet'!$B$13,Paramètres!$A$1:$I$89,3,0)*VLOOKUP('Données projet'!$B$13,Paramètres!$A$1:$I$89,5,0)</f>
        <v>6.7984728957526396E-14</v>
      </c>
      <c r="CV119" s="13">
        <f t="shared" si="95"/>
        <v>1.0682447123141398E-12</v>
      </c>
      <c r="CW119" s="20">
        <f t="shared" si="67"/>
        <v>1.978932943548152E-12</v>
      </c>
      <c r="CX119" s="59">
        <f t="shared" si="68"/>
        <v>281.29424389472348</v>
      </c>
      <c r="CY119" s="59">
        <f ca="1">AVERAGE(OFFSET($CX$3,0,0,'Données projet'!$E$13+1,1))-AVERAGE(OFFSET($H$3,0,0,'Données projet'!$E$13+1,1))</f>
        <v>318.50474972254085</v>
      </c>
      <c r="CZ119" s="59">
        <f t="shared" si="96"/>
        <v>326.45858332753562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45.809721945304027</v>
      </c>
      <c r="DG119" s="21">
        <f>EXP(-LN(2)/25)*DG118+(1-EXP(-LN(2)/25))/(LN(2)/25)*Calculateur!DB119*Calculateur!DD119*VLOOKUP('Données projet'!$B$13,Paramètres!$A$1:$I$89,3,0)*0.475*44/12</f>
        <v>10.254195336238897</v>
      </c>
      <c r="DH119" s="21">
        <f>EXP(-LN(2)/2)*DH118+(1-EXP(-LN(2)/2))/(LN(2)/2)*DB119*DE119*VLOOKUP('Données projet'!$B$13,Paramètres!$A$1:$I$89,3,0)*0.475*44/12</f>
        <v>2.2337378123161753E-7</v>
      </c>
      <c r="DI119" s="22">
        <f t="shared" si="69"/>
        <v>56.063917504916709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3">
        <f>'Scénario référence'!$B$16*5+'Scénario référence'!$B$17*0+'Scénario référence'!$B$18*5</f>
        <v>5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67">
        <f t="shared" si="56"/>
        <v>183.33333333333334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5.6843418860808015E-14</v>
      </c>
      <c r="O120" s="13">
        <f>N120*VLOOKUP('Données projet'!$B$9,Paramètres!$A$1:$I$89,3,0)*VLOOKUP('Données projet'!$B$9,Paramètres!$A$1:$I$89,5,0)</f>
        <v>5.1431925385259088E-14</v>
      </c>
      <c r="P120" s="13">
        <f t="shared" si="87"/>
        <v>8.3482866290946129E-13</v>
      </c>
      <c r="Q120" s="20">
        <f t="shared" si="107"/>
        <v>1.5435705246133045E-12</v>
      </c>
      <c r="R120" s="59">
        <f t="shared" si="55"/>
        <v>281.50309518111118</v>
      </c>
      <c r="S120" s="59">
        <f ca="1">AVERAGE(OFFSET($R$3,0,0,'Données projet'!$E$9+1,1))-AVERAGE(OFFSET($H$3,0,0,'Données projet'!$E$9+1,1))</f>
        <v>214.60547318405733</v>
      </c>
      <c r="T120" s="59">
        <f t="shared" si="88"/>
        <v>306.35874106546646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3.7507725210818679</v>
      </c>
      <c r="AA120" s="21">
        <f>EXP(-LN(2)/25)*AA119+(1-EXP(-LN(2)/25))/(LN(2)/25)*Calculateur!V120*Calculateur!X120*VLOOKUP('Données projet'!$B$9,Paramètres!$A$1:$I$89,3,0)*0.475*44/12</f>
        <v>1.7954222035604301</v>
      </c>
      <c r="AB120" s="21">
        <f>EXP(-LN(2)/2)*AB119+(1-EXP(-LN(2)/2))/(LN(2)/2)*V120*Y120*VLOOKUP('Données projet'!$B$9,Paramètres!$A$1:$I$89,3,0)*0.475*44/12</f>
        <v>2.0067948766332654E-10</v>
      </c>
      <c r="AC120" s="22">
        <f t="shared" si="57"/>
        <v>5.5461947248429775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8.9160000000000021</v>
      </c>
      <c r="AI120" s="13">
        <f>IF('Données projet'!$A$62&gt;35,AI119+AH120-AQ119,IF(A120&lt;'Données projet'!$A$62,$AF$205^A120,IF(A120='Données projet'!$A$62,'Données projet'!$B$62,AI119+AH120-AQ119)))</f>
        <v>389.44800000000072</v>
      </c>
      <c r="AJ120" s="13">
        <f>AI120*VLOOKUP('Données projet'!$B$10,Paramètres!$A$1:$I$89,3,0)*VLOOKUP('Données projet'!$B$10,Paramètres!$A$1:$I$89,5,0)</f>
        <v>394.90027200000077</v>
      </c>
      <c r="AK120" s="13">
        <f t="shared" si="89"/>
        <v>90.742002809527918</v>
      </c>
      <c r="AL120" s="20">
        <f t="shared" si="58"/>
        <v>845.82696195992901</v>
      </c>
      <c r="AM120" s="59">
        <f t="shared" si="59"/>
        <v>1127.3300571410387</v>
      </c>
      <c r="AN120" s="59">
        <f ca="1">AVERAGE(OFFSET($AM$3,0,0,'Données projet'!$E$10+1,1))-AVERAGE(OFFSET($H$3,0,0,'Données projet'!$E$10+1,1))</f>
        <v>752.45542076695506</v>
      </c>
      <c r="AO120" s="59">
        <f t="shared" si="90"/>
        <v>329.70629768420724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38.504893407880438</v>
      </c>
      <c r="AV120" s="21">
        <f>EXP(-LN(2)/25)*AV119+(1-EXP(-LN(2)/25))/(LN(2)/25)*Calculateur!AQ120*Calculateur!AS120*VLOOKUP('Données projet'!$B$10,Paramètres!$A$1:$I$89,3,0)*0.475*44/12</f>
        <v>26.586394201110036</v>
      </c>
      <c r="AW120" s="21">
        <f>EXP(-LN(2)/2)*AW119+(1-EXP(-LN(2)/2))/(LN(2)/2)*AQ120*AT120*VLOOKUP('Données projet'!$B$10,Paramètres!$A$1:$I$89,3,0)*0.475*44/12</f>
        <v>2.1646161312850301</v>
      </c>
      <c r="AX120" s="21">
        <f t="shared" si="60"/>
        <v>67.2559037402755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8.9160000000000021</v>
      </c>
      <c r="BD120" s="12">
        <f>IF('Données projet'!$A$88&gt;35,BD119+BC120-BL119,IF(A120&lt;'Données projet'!$A$88,$BA$205^A120,IF(A120='Données projet'!$A$88,'Données projet'!$B$88,BD119+BC120-BL119)))</f>
        <v>389.44800000000072</v>
      </c>
      <c r="BE120" s="13">
        <f>BD120*VLOOKUP('Données projet'!$B$11,Paramètres!$A$1:$I$89,3,0)*VLOOKUP('Données projet'!$B$11,Paramètres!$A$1:$I$89,5,0)</f>
        <v>352.37255040000065</v>
      </c>
      <c r="BF120" s="13">
        <f t="shared" si="91"/>
        <v>82.050851753476593</v>
      </c>
      <c r="BG120" s="20">
        <f t="shared" si="61"/>
        <v>756.62075875063954</v>
      </c>
      <c r="BH120" s="59">
        <f t="shared" si="62"/>
        <v>1038.1238539317492</v>
      </c>
      <c r="BI120" s="59">
        <f ca="1">AVERAGE(OFFSET($BH$3,0,0,'Données projet'!$E$11+1,1))-AVERAGE(OFFSET($H$3,0,0,'Données projet'!$E$11+1,1))</f>
        <v>681.47578137804555</v>
      </c>
      <c r="BJ120" s="59">
        <f t="shared" si="92"/>
        <v>300.88511065995885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34.358212579339472</v>
      </c>
      <c r="BQ120" s="21">
        <f>EXP(-LN(2)/25)*BQ119+(1-EXP(-LN(2)/25))/(LN(2)/25)*Calculateur!BL120*Calculateur!BN120*VLOOKUP('Données projet'!$B$11,Paramètres!$A$1:$I$89,3,0)*0.475*44/12</f>
        <v>23.723244056375105</v>
      </c>
      <c r="BR120" s="21">
        <f>EXP(-LN(2)/2)*BR119+(1-EXP(-LN(2)/2))/(LN(2)/2)*BL120*BO120*VLOOKUP('Données projet'!$B$11,Paramètres!$A$1:$I$89,3,0)*0.475*44/12</f>
        <v>1.9315036248389501</v>
      </c>
      <c r="BS120" s="22">
        <f t="shared" si="63"/>
        <v>60.012960260553527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2.2737367544323206E-13</v>
      </c>
      <c r="BZ120" s="13">
        <f>BY120*VLOOKUP('Données projet'!$B$12,Paramètres!$A$1:$I$89,3,0)*VLOOKUP('Données projet'!$B$12,Paramètres!$A$1:$I$89,5,0)</f>
        <v>1.5252226148732008E-13</v>
      </c>
      <c r="CA120" s="13">
        <f t="shared" si="93"/>
        <v>2.1814502464536512E-12</v>
      </c>
      <c r="CB120" s="20">
        <f t="shared" si="64"/>
        <v>4.0650021179971913E-12</v>
      </c>
      <c r="CC120" s="59">
        <f t="shared" si="65"/>
        <v>281.50309518111374</v>
      </c>
      <c r="CD120" s="59">
        <f ca="1">AVERAGE(OFFSET($CC$3,0,0,'Données projet'!$E$12+1,1))-AVERAGE(OFFSET($H$3,0,0,'Données projet'!$E$12+1,1))</f>
        <v>335.73816489539837</v>
      </c>
      <c r="CE120" s="59">
        <f t="shared" si="94"/>
        <v>254.09787950201044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32.61043509554429</v>
      </c>
      <c r="CL120" s="21">
        <f>EXP(-LN(2)/25)*CL119+(1-EXP(-LN(2)/25))/(LN(2)/25)*Calculateur!CG120*Calculateur!CI120*VLOOKUP('Données projet'!$B$12,Paramètres!$A$1:$I$89,3,0)*0.475*44/12</f>
        <v>31.225251472181867</v>
      </c>
      <c r="CM120" s="21">
        <f>EXP(-LN(2)/2)*CM119+(1-EXP(-LN(2)/2))/(LN(2)/2)*CG120*CJ120*VLOOKUP('Données projet'!$B$12,Paramètres!$A$1:$I$89,3,0)*0.475*44/12</f>
        <v>4.3271077368577036</v>
      </c>
      <c r="CN120" s="22">
        <f t="shared" si="66"/>
        <v>68.162794304583855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1.1368683772161603E-13</v>
      </c>
      <c r="CU120" s="17">
        <f>CT120*VLOOKUP('Données projet'!$B$13,Paramètres!$A$1:$I$89,3,0)*VLOOKUP('Données projet'!$B$13,Paramètres!$A$1:$I$89,5,0)</f>
        <v>6.7984728957526396E-14</v>
      </c>
      <c r="CV120" s="13">
        <f t="shared" si="95"/>
        <v>1.0682447123141398E-12</v>
      </c>
      <c r="CW120" s="20">
        <f t="shared" si="67"/>
        <v>1.978932943548152E-12</v>
      </c>
      <c r="CX120" s="59">
        <f t="shared" si="68"/>
        <v>281.50309518111163</v>
      </c>
      <c r="CY120" s="59">
        <f ca="1">AVERAGE(OFFSET($CX$3,0,0,'Données projet'!$E$13+1,1))-AVERAGE(OFFSET($H$3,0,0,'Données projet'!$E$13+1,1))</f>
        <v>318.50474972254085</v>
      </c>
      <c r="CZ120" s="59">
        <f t="shared" si="96"/>
        <v>326.45858332753562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44.911421239128039</v>
      </c>
      <c r="DG120" s="21">
        <f>EXP(-LN(2)/25)*DG119+(1-EXP(-LN(2)/25))/(LN(2)/25)*Calculateur!DB120*Calculateur!DD120*VLOOKUP('Données projet'!$B$13,Paramètres!$A$1:$I$89,3,0)*0.475*44/12</f>
        <v>9.9737938255247478</v>
      </c>
      <c r="DH120" s="21">
        <f>EXP(-LN(2)/2)*DH119+(1-EXP(-LN(2)/2))/(LN(2)/2)*DB120*DE120*VLOOKUP('Données projet'!$B$13,Paramètres!$A$1:$I$89,3,0)*0.475*44/12</f>
        <v>1.5794911544815711E-7</v>
      </c>
      <c r="DI120" s="22">
        <f t="shared" si="69"/>
        <v>54.8852152226019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3">
        <f>'Scénario référence'!$B$16*5+'Scénario référence'!$B$17*0+'Scénario référence'!$B$18*5</f>
        <v>5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67">
        <f t="shared" si="56"/>
        <v>183.33333333333334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5.6843418860808015E-14</v>
      </c>
      <c r="O121" s="13">
        <f>N121*VLOOKUP('Données projet'!$B$9,Paramètres!$A$1:$I$89,3,0)*VLOOKUP('Données projet'!$B$9,Paramètres!$A$1:$I$89,5,0)</f>
        <v>5.1431925385259088E-14</v>
      </c>
      <c r="P121" s="13">
        <f t="shared" si="87"/>
        <v>8.3482866290946129E-13</v>
      </c>
      <c r="Q121" s="20">
        <f t="shared" si="107"/>
        <v>1.5435705246133045E-12</v>
      </c>
      <c r="R121" s="59">
        <f t="shared" si="55"/>
        <v>281.70832336460194</v>
      </c>
      <c r="S121" s="59">
        <f ca="1">AVERAGE(OFFSET($R$3,0,0,'Données projet'!$E$9+1,1))-AVERAGE(OFFSET($H$3,0,0,'Données projet'!$E$9+1,1))</f>
        <v>214.60547318405733</v>
      </c>
      <c r="T121" s="59">
        <f t="shared" si="88"/>
        <v>306.35874106546646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3.6772221596887942</v>
      </c>
      <c r="AA121" s="21">
        <f>EXP(-LN(2)/25)*AA120+(1-EXP(-LN(2)/25))/(LN(2)/25)*Calculateur!V121*Calculateur!X121*VLOOKUP('Données projet'!$B$9,Paramètres!$A$1:$I$89,3,0)*0.475*44/12</f>
        <v>1.74632628898692</v>
      </c>
      <c r="AB121" s="21">
        <f>EXP(-LN(2)/2)*AB120+(1-EXP(-LN(2)/2))/(LN(2)/2)*V121*Y121*VLOOKUP('Données projet'!$B$9,Paramètres!$A$1:$I$89,3,0)*0.475*44/12</f>
        <v>1.419018265717803E-10</v>
      </c>
      <c r="AC121" s="22">
        <f t="shared" si="57"/>
        <v>5.4235484488176153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8.9160000000000021</v>
      </c>
      <c r="AI121" s="13">
        <f>IF('Données projet'!$A$62&gt;35,AI120+AH121-AQ120,IF(A121&lt;'Données projet'!$A$62,$AF$205^A121,IF(A121='Données projet'!$A$62,'Données projet'!$B$62,AI120+AH121-AQ120)))</f>
        <v>398.36400000000071</v>
      </c>
      <c r="AJ121" s="13">
        <f>AI121*VLOOKUP('Données projet'!$B$10,Paramètres!$A$1:$I$89,3,0)*VLOOKUP('Données projet'!$B$10,Paramètres!$A$1:$I$89,5,0)</f>
        <v>403.9410960000007</v>
      </c>
      <c r="AK121" s="13">
        <f t="shared" si="89"/>
        <v>92.575205456026652</v>
      </c>
      <c r="AL121" s="20">
        <f t="shared" si="58"/>
        <v>864.76589170258092</v>
      </c>
      <c r="AM121" s="59">
        <f t="shared" si="59"/>
        <v>1146.4742150671814</v>
      </c>
      <c r="AN121" s="59">
        <f ca="1">AVERAGE(OFFSET($AM$3,0,0,'Données projet'!$E$10+1,1))-AVERAGE(OFFSET($H$3,0,0,'Données projet'!$E$10+1,1))</f>
        <v>752.45542076695506</v>
      </c>
      <c r="AO121" s="59">
        <f t="shared" si="90"/>
        <v>329.70629768420724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37.749835933817863</v>
      </c>
      <c r="AV121" s="21">
        <f>EXP(-LN(2)/25)*AV120+(1-EXP(-LN(2)/25))/(LN(2)/25)*Calculateur!AQ121*Calculateur!AS121*VLOOKUP('Données projet'!$B$10,Paramètres!$A$1:$I$89,3,0)*0.475*44/12</f>
        <v>25.859387853562975</v>
      </c>
      <c r="AW121" s="21">
        <f>EXP(-LN(2)/2)*AW120+(1-EXP(-LN(2)/2))/(LN(2)/2)*AQ121*AT121*VLOOKUP('Données projet'!$B$10,Paramètres!$A$1:$I$89,3,0)*0.475*44/12</f>
        <v>1.5306147450974348</v>
      </c>
      <c r="AX121" s="21">
        <f t="shared" si="60"/>
        <v>65.139838532478279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8.9160000000000021</v>
      </c>
      <c r="BD121" s="12">
        <f>IF('Données projet'!$A$88&gt;35,BD120+BC121-BL120,IF(A121&lt;'Données projet'!$A$88,$BA$205^A121,IF(A121='Données projet'!$A$88,'Données projet'!$B$88,BD120+BC121-BL120)))</f>
        <v>398.36400000000071</v>
      </c>
      <c r="BE121" s="13">
        <f>BD121*VLOOKUP('Données projet'!$B$11,Paramètres!$A$1:$I$89,3,0)*VLOOKUP('Données projet'!$B$11,Paramètres!$A$1:$I$89,5,0)</f>
        <v>360.43974720000062</v>
      </c>
      <c r="BF121" s="13">
        <f t="shared" si="91"/>
        <v>83.708472633827739</v>
      </c>
      <c r="BG121" s="20">
        <f t="shared" si="61"/>
        <v>773.55814954391769</v>
      </c>
      <c r="BH121" s="59">
        <f t="shared" si="62"/>
        <v>1055.2664729085182</v>
      </c>
      <c r="BI121" s="59">
        <f ca="1">AVERAGE(OFFSET($BH$3,0,0,'Données projet'!$E$11+1,1))-AVERAGE(OFFSET($H$3,0,0,'Données projet'!$E$11+1,1))</f>
        <v>681.47578137804555</v>
      </c>
      <c r="BJ121" s="59">
        <f t="shared" si="92"/>
        <v>300.88511065995885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33.684468987099024</v>
      </c>
      <c r="BQ121" s="21">
        <f>EXP(-LN(2)/25)*BQ120+(1-EXP(-LN(2)/25))/(LN(2)/25)*Calculateur!BL121*Calculateur!BN121*VLOOKUP('Données projet'!$B$11,Paramètres!$A$1:$I$89,3,0)*0.475*44/12</f>
        <v>23.074530700102343</v>
      </c>
      <c r="BR121" s="21">
        <f>EXP(-LN(2)/2)*BR120+(1-EXP(-LN(2)/2))/(LN(2)/2)*BL121*BO121*VLOOKUP('Données projet'!$B$11,Paramètres!$A$1:$I$89,3,0)*0.475*44/12</f>
        <v>1.3657793110100189</v>
      </c>
      <c r="BS121" s="22">
        <f t="shared" si="63"/>
        <v>58.124778998211383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2.2737367544323206E-13</v>
      </c>
      <c r="BZ121" s="13">
        <f>BY121*VLOOKUP('Données projet'!$B$12,Paramètres!$A$1:$I$89,3,0)*VLOOKUP('Données projet'!$B$12,Paramètres!$A$1:$I$89,5,0)</f>
        <v>1.5252226148732008E-13</v>
      </c>
      <c r="CA121" s="13">
        <f t="shared" si="93"/>
        <v>2.1814502464536512E-12</v>
      </c>
      <c r="CB121" s="20">
        <f t="shared" si="64"/>
        <v>4.0650021179971913E-12</v>
      </c>
      <c r="CC121" s="59">
        <f t="shared" si="65"/>
        <v>281.7083233646045</v>
      </c>
      <c r="CD121" s="59">
        <f ca="1">AVERAGE(OFFSET($CC$3,0,0,'Données projet'!$E$12+1,1))-AVERAGE(OFFSET($H$3,0,0,'Données projet'!$E$12+1,1))</f>
        <v>335.73816489539837</v>
      </c>
      <c r="CE121" s="59">
        <f t="shared" si="94"/>
        <v>254.09787950201044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31.97096435372206</v>
      </c>
      <c r="CL121" s="21">
        <f>EXP(-LN(2)/25)*CL120+(1-EXP(-LN(2)/25))/(LN(2)/25)*Calculateur!CG121*Calculateur!CI121*VLOOKUP('Données projet'!$B$12,Paramètres!$A$1:$I$89,3,0)*0.475*44/12</f>
        <v>30.371395328610447</v>
      </c>
      <c r="CM121" s="21">
        <f>EXP(-LN(2)/2)*CM120+(1-EXP(-LN(2)/2))/(LN(2)/2)*CG121*CJ121*VLOOKUP('Données projet'!$B$12,Paramètres!$A$1:$I$89,3,0)*0.475*44/12</f>
        <v>3.0597272236568571</v>
      </c>
      <c r="CN121" s="22">
        <f t="shared" si="66"/>
        <v>65.402086905989364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1.1368683772161603E-13</v>
      </c>
      <c r="CU121" s="17">
        <f>CT121*VLOOKUP('Données projet'!$B$13,Paramètres!$A$1:$I$89,3,0)*VLOOKUP('Données projet'!$B$13,Paramètres!$A$1:$I$89,5,0)</f>
        <v>6.7984728957526396E-14</v>
      </c>
      <c r="CV121" s="13">
        <f t="shared" si="95"/>
        <v>1.0682447123141398E-12</v>
      </c>
      <c r="CW121" s="20">
        <f t="shared" si="67"/>
        <v>1.978932943548152E-12</v>
      </c>
      <c r="CX121" s="59">
        <f t="shared" si="68"/>
        <v>281.70832336460239</v>
      </c>
      <c r="CY121" s="59">
        <f ca="1">AVERAGE(OFFSET($CX$3,0,0,'Données projet'!$E$13+1,1))-AVERAGE(OFFSET($H$3,0,0,'Données projet'!$E$13+1,1))</f>
        <v>318.50474972254085</v>
      </c>
      <c r="CZ121" s="59">
        <f t="shared" si="96"/>
        <v>326.45858332753562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44.030735661890837</v>
      </c>
      <c r="DG121" s="21">
        <f>EXP(-LN(2)/25)*DG120+(1-EXP(-LN(2)/25))/(LN(2)/25)*Calculateur!DB121*Calculateur!DD121*VLOOKUP('Données projet'!$B$13,Paramètres!$A$1:$I$89,3,0)*0.475*44/12</f>
        <v>9.7010599088667515</v>
      </c>
      <c r="DH121" s="21">
        <f>EXP(-LN(2)/2)*DH120+(1-EXP(-LN(2)/2))/(LN(2)/2)*DB121*DE121*VLOOKUP('Données projet'!$B$13,Paramètres!$A$1:$I$89,3,0)*0.475*44/12</f>
        <v>1.1168689061580877E-7</v>
      </c>
      <c r="DI121" s="22">
        <f t="shared" si="69"/>
        <v>53.731795682444478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3">
        <f>'Scénario référence'!$B$16*5+'Scénario référence'!$B$17*0+'Scénario référence'!$B$18*5</f>
        <v>5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67">
        <f t="shared" si="56"/>
        <v>183.33333333333334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5.6843418860808015E-14</v>
      </c>
      <c r="O122" s="13">
        <f>N122*VLOOKUP('Données projet'!$B$9,Paramètres!$A$1:$I$89,3,0)*VLOOKUP('Données projet'!$B$9,Paramètres!$A$1:$I$89,5,0)</f>
        <v>5.1431925385259088E-14</v>
      </c>
      <c r="P122" s="13">
        <f t="shared" si="87"/>
        <v>8.3482866290946129E-13</v>
      </c>
      <c r="Q122" s="20">
        <f t="shared" si="107"/>
        <v>1.5435705246133045E-12</v>
      </c>
      <c r="R122" s="59">
        <f t="shared" si="55"/>
        <v>281.90999129793067</v>
      </c>
      <c r="S122" s="59">
        <f ca="1">AVERAGE(OFFSET($R$3,0,0,'Données projet'!$E$9+1,1))-AVERAGE(OFFSET($H$3,0,0,'Données projet'!$E$9+1,1))</f>
        <v>214.60547318405733</v>
      </c>
      <c r="T122" s="59">
        <f t="shared" si="88"/>
        <v>306.35874106546646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3.6051140760213478</v>
      </c>
      <c r="AA122" s="21">
        <f>EXP(-LN(2)/25)*AA121+(1-EXP(-LN(2)/25))/(LN(2)/25)*Calculateur!V122*Calculateur!X122*VLOOKUP('Données projet'!$B$9,Paramètres!$A$1:$I$89,3,0)*0.475*44/12</f>
        <v>1.6985729047792644</v>
      </c>
      <c r="AB122" s="21">
        <f>EXP(-LN(2)/2)*AB121+(1-EXP(-LN(2)/2))/(LN(2)/2)*V122*Y122*VLOOKUP('Données projet'!$B$9,Paramètres!$A$1:$I$89,3,0)*0.475*44/12</f>
        <v>1.0033974383166327E-10</v>
      </c>
      <c r="AC122" s="22">
        <f t="shared" si="57"/>
        <v>5.3036869809009524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8.9160000000000021</v>
      </c>
      <c r="AI122" s="13">
        <f>IF('Données projet'!$A$62&gt;35,AI121+AH122-AQ121,IF(A122&lt;'Données projet'!$A$62,$AF$205^A122,IF(A122='Données projet'!$A$62,'Données projet'!$B$62,AI121+AH122-AQ121)))</f>
        <v>407.28000000000071</v>
      </c>
      <c r="AJ122" s="13">
        <f>AI122*VLOOKUP('Données projet'!$B$10,Paramètres!$A$1:$I$89,3,0)*VLOOKUP('Données projet'!$B$10,Paramètres!$A$1:$I$89,5,0)</f>
        <v>412.98192000000074</v>
      </c>
      <c r="AK122" s="13">
        <f t="shared" si="89"/>
        <v>94.403638017009513</v>
      </c>
      <c r="AL122" s="20">
        <f t="shared" si="58"/>
        <v>883.69651354629275</v>
      </c>
      <c r="AM122" s="59">
        <f t="shared" si="59"/>
        <v>1165.6065048442219</v>
      </c>
      <c r="AN122" s="59">
        <f ca="1">AVERAGE(OFFSET($AM$3,0,0,'Données projet'!$E$10+1,1))-AVERAGE(OFFSET($H$3,0,0,'Données projet'!$E$10+1,1))</f>
        <v>752.45542076695506</v>
      </c>
      <c r="AO122" s="59">
        <f t="shared" si="90"/>
        <v>329.70629768420724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37.009584676282074</v>
      </c>
      <c r="AV122" s="21">
        <f>EXP(-LN(2)/25)*AV121+(1-EXP(-LN(2)/25))/(LN(2)/25)*Calculateur!AQ122*Calculateur!AS122*VLOOKUP('Données projet'!$B$10,Paramètres!$A$1:$I$89,3,0)*0.475*44/12</f>
        <v>25.152261532821189</v>
      </c>
      <c r="AW122" s="21">
        <f>EXP(-LN(2)/2)*AW121+(1-EXP(-LN(2)/2))/(LN(2)/2)*AQ122*AT122*VLOOKUP('Données projet'!$B$10,Paramètres!$A$1:$I$89,3,0)*0.475*44/12</f>
        <v>1.082308065642515</v>
      </c>
      <c r="AX122" s="21">
        <f t="shared" si="60"/>
        <v>63.244154274745775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8.9160000000000021</v>
      </c>
      <c r="BD122" s="12">
        <f>IF('Données projet'!$A$88&gt;35,BD121+BC122-BL121,IF(A122&lt;'Données projet'!$A$88,$BA$205^A122,IF(A122='Données projet'!$A$88,'Données projet'!$B$88,BD121+BC122-BL121)))</f>
        <v>407.28000000000071</v>
      </c>
      <c r="BE122" s="13">
        <f>BD122*VLOOKUP('Données projet'!$B$11,Paramètres!$A$1:$I$89,3,0)*VLOOKUP('Données projet'!$B$11,Paramètres!$A$1:$I$89,5,0)</f>
        <v>368.5069440000006</v>
      </c>
      <c r="BF122" s="13">
        <f t="shared" si="91"/>
        <v>85.361780301252097</v>
      </c>
      <c r="BG122" s="20">
        <f t="shared" si="61"/>
        <v>790.48802815801503</v>
      </c>
      <c r="BH122" s="59">
        <f t="shared" si="62"/>
        <v>1072.3980194559442</v>
      </c>
      <c r="BI122" s="59">
        <f ca="1">AVERAGE(OFFSET($BH$3,0,0,'Données projet'!$E$11+1,1))-AVERAGE(OFFSET($H$3,0,0,'Données projet'!$E$11+1,1))</f>
        <v>681.47578137804555</v>
      </c>
      <c r="BJ122" s="59">
        <f t="shared" si="92"/>
        <v>300.88511065995885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33.023937095759393</v>
      </c>
      <c r="BQ122" s="21">
        <f>EXP(-LN(2)/25)*BQ121+(1-EXP(-LN(2)/25))/(LN(2)/25)*Calculateur!BL122*Calculateur!BN122*VLOOKUP('Données projet'!$B$11,Paramètres!$A$1:$I$89,3,0)*0.475*44/12</f>
        <v>22.443556444671213</v>
      </c>
      <c r="BR122" s="21">
        <f>EXP(-LN(2)/2)*BR121+(1-EXP(-LN(2)/2))/(LN(2)/2)*BL122*BO122*VLOOKUP('Données projet'!$B$11,Paramètres!$A$1:$I$89,3,0)*0.475*44/12</f>
        <v>0.96575181241947516</v>
      </c>
      <c r="BS122" s="22">
        <f t="shared" si="63"/>
        <v>56.433245352850086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2.2737367544323206E-13</v>
      </c>
      <c r="BZ122" s="13">
        <f>BY122*VLOOKUP('Données projet'!$B$12,Paramètres!$A$1:$I$89,3,0)*VLOOKUP('Données projet'!$B$12,Paramètres!$A$1:$I$89,5,0)</f>
        <v>1.5252226148732008E-13</v>
      </c>
      <c r="CA122" s="13">
        <f t="shared" si="93"/>
        <v>2.1814502464536512E-12</v>
      </c>
      <c r="CB122" s="20">
        <f t="shared" si="64"/>
        <v>4.0650021179971913E-12</v>
      </c>
      <c r="CC122" s="59">
        <f t="shared" si="65"/>
        <v>281.90999129793323</v>
      </c>
      <c r="CD122" s="59">
        <f ca="1">AVERAGE(OFFSET($CC$3,0,0,'Données projet'!$E$12+1,1))-AVERAGE(OFFSET($H$3,0,0,'Données projet'!$E$12+1,1))</f>
        <v>335.73816489539837</v>
      </c>
      <c r="CE122" s="59">
        <f t="shared" si="94"/>
        <v>254.09787950201044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31.344033243108324</v>
      </c>
      <c r="CL122" s="21">
        <f>EXP(-LN(2)/25)*CL121+(1-EXP(-LN(2)/25))/(LN(2)/25)*Calculateur!CG122*Calculateur!CI122*VLOOKUP('Données projet'!$B$12,Paramètres!$A$1:$I$89,3,0)*0.475*44/12</f>
        <v>29.540887926187327</v>
      </c>
      <c r="CM122" s="21">
        <f>EXP(-LN(2)/2)*CM121+(1-EXP(-LN(2)/2))/(LN(2)/2)*CG122*CJ122*VLOOKUP('Données projet'!$B$12,Paramètres!$A$1:$I$89,3,0)*0.475*44/12</f>
        <v>2.1635538684288518</v>
      </c>
      <c r="CN122" s="22">
        <f t="shared" si="66"/>
        <v>63.048475037724501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1.1368683772161603E-13</v>
      </c>
      <c r="CU122" s="17">
        <f>CT122*VLOOKUP('Données projet'!$B$13,Paramètres!$A$1:$I$89,3,0)*VLOOKUP('Données projet'!$B$13,Paramètres!$A$1:$I$89,5,0)</f>
        <v>6.7984728957526396E-14</v>
      </c>
      <c r="CV122" s="13">
        <f t="shared" si="95"/>
        <v>1.0682447123141398E-12</v>
      </c>
      <c r="CW122" s="20">
        <f t="shared" si="67"/>
        <v>1.978932943548152E-12</v>
      </c>
      <c r="CX122" s="59">
        <f t="shared" si="68"/>
        <v>281.90999129793113</v>
      </c>
      <c r="CY122" s="59">
        <f ca="1">AVERAGE(OFFSET($CX$3,0,0,'Données projet'!$E$13+1,1))-AVERAGE(OFFSET($H$3,0,0,'Données projet'!$E$13+1,1))</f>
        <v>318.50474972254085</v>
      </c>
      <c r="CZ122" s="59">
        <f t="shared" si="96"/>
        <v>326.45858332753562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43.167319791658095</v>
      </c>
      <c r="DG122" s="21">
        <f>EXP(-LN(2)/25)*DG121+(1-EXP(-LN(2)/25))/(LN(2)/25)*Calculateur!DB122*Calculateur!DD122*VLOOKUP('Données projet'!$B$13,Paramètres!$A$1:$I$89,3,0)*0.475*44/12</f>
        <v>9.4357839155022223</v>
      </c>
      <c r="DH122" s="21">
        <f>EXP(-LN(2)/2)*DH121+(1-EXP(-LN(2)/2))/(LN(2)/2)*DB122*DE122*VLOOKUP('Données projet'!$B$13,Paramètres!$A$1:$I$89,3,0)*0.475*44/12</f>
        <v>7.8974557724078556E-8</v>
      </c>
      <c r="DI122" s="22">
        <f t="shared" si="69"/>
        <v>52.603103786134874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3">
        <f>'Scénario référence'!$B$16*5+'Scénario référence'!$B$17*0+'Scénario référence'!$B$18*5</f>
        <v>5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67">
        <f t="shared" si="56"/>
        <v>183.33333333333334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5.6843418860808015E-14</v>
      </c>
      <c r="O123" s="13">
        <f>N123*VLOOKUP('Données projet'!$B$9,Paramètres!$A$1:$I$89,3,0)*VLOOKUP('Données projet'!$B$9,Paramètres!$A$1:$I$89,5,0)</f>
        <v>5.1431925385259088E-14</v>
      </c>
      <c r="P123" s="13">
        <f t="shared" si="87"/>
        <v>8.3482866290946129E-13</v>
      </c>
      <c r="Q123" s="20">
        <f t="shared" si="107"/>
        <v>1.5435705246133045E-12</v>
      </c>
      <c r="R123" s="59">
        <f t="shared" si="55"/>
        <v>282.10816074347815</v>
      </c>
      <c r="S123" s="59">
        <f ca="1">AVERAGE(OFFSET($R$3,0,0,'Données projet'!$E$9+1,1))-AVERAGE(OFFSET($H$3,0,0,'Données projet'!$E$9+1,1))</f>
        <v>214.60547318405733</v>
      </c>
      <c r="T123" s="59">
        <f t="shared" si="88"/>
        <v>306.35874106546646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3.534419987893032</v>
      </c>
      <c r="AA123" s="21">
        <f>EXP(-LN(2)/25)*AA122+(1-EXP(-LN(2)/25))/(LN(2)/25)*Calculateur!V123*Calculateur!X123*VLOOKUP('Données projet'!$B$9,Paramètres!$A$1:$I$89,3,0)*0.475*44/12</f>
        <v>1.6521253393740085</v>
      </c>
      <c r="AB123" s="21">
        <f>EXP(-LN(2)/2)*AB122+(1-EXP(-LN(2)/2))/(LN(2)/2)*V123*Y123*VLOOKUP('Données projet'!$B$9,Paramètres!$A$1:$I$89,3,0)*0.475*44/12</f>
        <v>7.0950913285890152E-11</v>
      </c>
      <c r="AC123" s="22">
        <f t="shared" si="57"/>
        <v>5.186545327337992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8.9160000000000021</v>
      </c>
      <c r="AI123" s="13">
        <f>IF('Données projet'!$A$62&gt;35,AI122+AH123-AQ122,IF(A123&lt;'Données projet'!$A$62,$AF$205^A123,IF(A123='Données projet'!$A$62,'Données projet'!$B$62,AI122+AH123-AQ122)))</f>
        <v>416.19600000000071</v>
      </c>
      <c r="AJ123" s="13">
        <f>AI123*VLOOKUP('Données projet'!$B$10,Paramètres!$A$1:$I$89,3,0)*VLOOKUP('Données projet'!$B$10,Paramètres!$A$1:$I$89,5,0)</f>
        <v>422.02274400000073</v>
      </c>
      <c r="AK123" s="13">
        <f t="shared" si="89"/>
        <v>96.227416942568027</v>
      </c>
      <c r="AL123" s="20">
        <f t="shared" si="58"/>
        <v>902.61903030830717</v>
      </c>
      <c r="AM123" s="59">
        <f t="shared" si="59"/>
        <v>1184.7271910517838</v>
      </c>
      <c r="AN123" s="59">
        <f ca="1">AVERAGE(OFFSET($AM$3,0,0,'Données projet'!$E$10+1,1))-AVERAGE(OFFSET($H$3,0,0,'Données projet'!$E$10+1,1))</f>
        <v>752.45542076695506</v>
      </c>
      <c r="AO123" s="59">
        <f t="shared" si="90"/>
        <v>329.70629768420724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36.283849294397875</v>
      </c>
      <c r="AV123" s="21">
        <f>EXP(-LN(2)/25)*AV122+(1-EXP(-LN(2)/25))/(LN(2)/25)*Calculateur!AQ123*Calculateur!AS123*VLOOKUP('Données projet'!$B$10,Paramètres!$A$1:$I$89,3,0)*0.475*44/12</f>
        <v>24.464471618506245</v>
      </c>
      <c r="AW123" s="21">
        <f>EXP(-LN(2)/2)*AW122+(1-EXP(-LN(2)/2))/(LN(2)/2)*AQ123*AT123*VLOOKUP('Données projet'!$B$10,Paramètres!$A$1:$I$89,3,0)*0.475*44/12</f>
        <v>0.76530737254871739</v>
      </c>
      <c r="AX123" s="21">
        <f t="shared" si="60"/>
        <v>61.513628285452839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8.9160000000000021</v>
      </c>
      <c r="BD123" s="12">
        <f>IF('Données projet'!$A$88&gt;35,BD122+BC123-BL122,IF(A123&lt;'Données projet'!$A$88,$BA$205^A123,IF(A123='Données projet'!$A$88,'Données projet'!$B$88,BD122+BC123-BL122)))</f>
        <v>416.19600000000071</v>
      </c>
      <c r="BE123" s="13">
        <f>BD123*VLOOKUP('Données projet'!$B$11,Paramètres!$A$1:$I$89,3,0)*VLOOKUP('Données projet'!$B$11,Paramètres!$A$1:$I$89,5,0)</f>
        <v>376.57414080000063</v>
      </c>
      <c r="BF123" s="13">
        <f t="shared" si="91"/>
        <v>87.010880052402811</v>
      </c>
      <c r="BG123" s="20">
        <f t="shared" si="61"/>
        <v>807.41057798460258</v>
      </c>
      <c r="BH123" s="59">
        <f t="shared" si="62"/>
        <v>1089.5187387280791</v>
      </c>
      <c r="BI123" s="59">
        <f ca="1">AVERAGE(OFFSET($BH$3,0,0,'Données projet'!$E$11+1,1))-AVERAGE(OFFSET($H$3,0,0,'Données projet'!$E$11+1,1))</f>
        <v>681.47578137804555</v>
      </c>
      <c r="BJ123" s="59">
        <f t="shared" si="92"/>
        <v>300.88511065995885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32.37635783192426</v>
      </c>
      <c r="BQ123" s="21">
        <f>EXP(-LN(2)/25)*BQ122+(1-EXP(-LN(2)/25))/(LN(2)/25)*Calculateur!BL123*Calculateur!BN123*VLOOKUP('Données projet'!$B$11,Paramètres!$A$1:$I$89,3,0)*0.475*44/12</f>
        <v>21.829836213436341</v>
      </c>
      <c r="BR123" s="21">
        <f>EXP(-LN(2)/2)*BR122+(1-EXP(-LN(2)/2))/(LN(2)/2)*BL123*BO123*VLOOKUP('Données projet'!$B$11,Paramètres!$A$1:$I$89,3,0)*0.475*44/12</f>
        <v>0.68288965550500957</v>
      </c>
      <c r="BS123" s="22">
        <f t="shared" si="63"/>
        <v>54.889083700865612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2.2737367544323206E-13</v>
      </c>
      <c r="BZ123" s="13">
        <f>BY123*VLOOKUP('Données projet'!$B$12,Paramètres!$A$1:$I$89,3,0)*VLOOKUP('Données projet'!$B$12,Paramètres!$A$1:$I$89,5,0)</f>
        <v>1.5252226148732008E-13</v>
      </c>
      <c r="CA123" s="13">
        <f t="shared" si="93"/>
        <v>2.1814502464536512E-12</v>
      </c>
      <c r="CB123" s="20">
        <f t="shared" si="64"/>
        <v>4.0650021179971913E-12</v>
      </c>
      <c r="CC123" s="59">
        <f t="shared" si="65"/>
        <v>282.10816074348071</v>
      </c>
      <c r="CD123" s="59">
        <f ca="1">AVERAGE(OFFSET($CC$3,0,0,'Données projet'!$E$12+1,1))-AVERAGE(OFFSET($H$3,0,0,'Données projet'!$E$12+1,1))</f>
        <v>335.73816489539837</v>
      </c>
      <c r="CE123" s="59">
        <f t="shared" si="94"/>
        <v>254.09787950201044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30.729395869183506</v>
      </c>
      <c r="CL123" s="21">
        <f>EXP(-LN(2)/25)*CL122+(1-EXP(-LN(2)/25))/(LN(2)/25)*Calculateur!CG123*Calculateur!CI123*VLOOKUP('Données projet'!$B$12,Paramètres!$A$1:$I$89,3,0)*0.475*44/12</f>
        <v>28.733090792357956</v>
      </c>
      <c r="CM123" s="21">
        <f>EXP(-LN(2)/2)*CM122+(1-EXP(-LN(2)/2))/(LN(2)/2)*CG123*CJ123*VLOOKUP('Données projet'!$B$12,Paramètres!$A$1:$I$89,3,0)*0.475*44/12</f>
        <v>1.5298636118284286</v>
      </c>
      <c r="CN123" s="22">
        <f t="shared" si="66"/>
        <v>60.992350273369894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1.1368683772161603E-13</v>
      </c>
      <c r="CU123" s="17">
        <f>CT123*VLOOKUP('Données projet'!$B$13,Paramètres!$A$1:$I$89,3,0)*VLOOKUP('Données projet'!$B$13,Paramètres!$A$1:$I$89,5,0)</f>
        <v>6.7984728957526396E-14</v>
      </c>
      <c r="CV123" s="13">
        <f t="shared" si="95"/>
        <v>1.0682447123141398E-12</v>
      </c>
      <c r="CW123" s="20">
        <f t="shared" si="67"/>
        <v>1.978932943548152E-12</v>
      </c>
      <c r="CX123" s="59">
        <f t="shared" si="68"/>
        <v>282.10816074347861</v>
      </c>
      <c r="CY123" s="59">
        <f ca="1">AVERAGE(OFFSET($CX$3,0,0,'Données projet'!$E$13+1,1))-AVERAGE(OFFSET($H$3,0,0,'Données projet'!$E$13+1,1))</f>
        <v>318.50474972254085</v>
      </c>
      <c r="CZ123" s="59">
        <f t="shared" si="96"/>
        <v>326.45858332753562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42.320834980008932</v>
      </c>
      <c r="DG123" s="21">
        <f>EXP(-LN(2)/25)*DG122+(1-EXP(-LN(2)/25))/(LN(2)/25)*Calculateur!DB123*Calculateur!DD123*VLOOKUP('Données projet'!$B$13,Paramètres!$A$1:$I$89,3,0)*0.475*44/12</f>
        <v>9.1777619081265041</v>
      </c>
      <c r="DH123" s="21">
        <f>EXP(-LN(2)/2)*DH122+(1-EXP(-LN(2)/2))/(LN(2)/2)*DB123*DE123*VLOOKUP('Données projet'!$B$13,Paramètres!$A$1:$I$89,3,0)*0.475*44/12</f>
        <v>5.5843445307904383E-8</v>
      </c>
      <c r="DI123" s="22">
        <f t="shared" si="69"/>
        <v>51.498596943978882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3">
        <f>'Scénario référence'!$B$16*5+'Scénario référence'!$B$17*0+'Scénario référence'!$B$18*5</f>
        <v>5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67">
        <f t="shared" si="56"/>
        <v>183.33333333333334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5.6843418860808015E-14</v>
      </c>
      <c r="O124" s="13">
        <f>N124*VLOOKUP('Données projet'!$B$9,Paramètres!$A$1:$I$89,3,0)*VLOOKUP('Données projet'!$B$9,Paramètres!$A$1:$I$89,5,0)</f>
        <v>5.1431925385259088E-14</v>
      </c>
      <c r="P124" s="13">
        <f t="shared" si="87"/>
        <v>8.3482866290946129E-13</v>
      </c>
      <c r="Q124" s="20">
        <f t="shared" si="107"/>
        <v>1.5435705246133045E-12</v>
      </c>
      <c r="R124" s="59">
        <f t="shared" si="55"/>
        <v>282.30289239218592</v>
      </c>
      <c r="S124" s="59">
        <f ca="1">AVERAGE(OFFSET($R$3,0,0,'Données projet'!$E$9+1,1))-AVERAGE(OFFSET($H$3,0,0,'Données projet'!$E$9+1,1))</f>
        <v>214.60547318405733</v>
      </c>
      <c r="T124" s="59">
        <f t="shared" si="88"/>
        <v>306.35874106546646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3.4651121677137762</v>
      </c>
      <c r="AA124" s="21">
        <f>EXP(-LN(2)/25)*AA123+(1-EXP(-LN(2)/25))/(LN(2)/25)*Calculateur!V124*Calculateur!X124*VLOOKUP('Données projet'!$B$9,Paramètres!$A$1:$I$89,3,0)*0.475*44/12</f>
        <v>1.6069478850873307</v>
      </c>
      <c r="AB124" s="21">
        <f>EXP(-LN(2)/2)*AB123+(1-EXP(-LN(2)/2))/(LN(2)/2)*V124*Y124*VLOOKUP('Données projet'!$B$9,Paramètres!$A$1:$I$89,3,0)*0.475*44/12</f>
        <v>5.0169871915831636E-11</v>
      </c>
      <c r="AC124" s="22">
        <f t="shared" si="57"/>
        <v>5.0720600528512767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8.9160000000000021</v>
      </c>
      <c r="AI124" s="13">
        <f>IF('Données projet'!$A$62&gt;35,AI123+AH124-AQ123,IF(A124&lt;'Données projet'!$A$62,$AF$205^A124,IF(A124='Données projet'!$A$62,'Données projet'!$B$62,AI123+AH124-AQ123)))</f>
        <v>425.11200000000071</v>
      </c>
      <c r="AJ124" s="13">
        <f>AI124*VLOOKUP('Données projet'!$B$10,Paramètres!$A$1:$I$89,3,0)*VLOOKUP('Données projet'!$B$10,Paramètres!$A$1:$I$89,5,0)</f>
        <v>431.06356800000077</v>
      </c>
      <c r="AK124" s="13">
        <f t="shared" si="89"/>
        <v>98.046653408452883</v>
      </c>
      <c r="AL124" s="20">
        <f t="shared" si="58"/>
        <v>921.53363561972344</v>
      </c>
      <c r="AM124" s="59">
        <f t="shared" si="59"/>
        <v>1203.8365280119078</v>
      </c>
      <c r="AN124" s="59">
        <f ca="1">AVERAGE(OFFSET($AM$3,0,0,'Données projet'!$E$10+1,1))-AVERAGE(OFFSET($H$3,0,0,'Données projet'!$E$10+1,1))</f>
        <v>752.45542076695506</v>
      </c>
      <c r="AO124" s="59">
        <f t="shared" si="90"/>
        <v>329.70629768420724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35.57234514069755</v>
      </c>
      <c r="AV124" s="21">
        <f>EXP(-LN(2)/25)*AV123+(1-EXP(-LN(2)/25))/(LN(2)/25)*Calculateur!AQ124*Calculateur!AS124*VLOOKUP('Données projet'!$B$10,Paramètres!$A$1:$I$89,3,0)*0.475*44/12</f>
        <v>23.795489355567543</v>
      </c>
      <c r="AW124" s="21">
        <f>EXP(-LN(2)/2)*AW123+(1-EXP(-LN(2)/2))/(LN(2)/2)*AQ124*AT124*VLOOKUP('Données projet'!$B$10,Paramètres!$A$1:$I$89,3,0)*0.475*44/12</f>
        <v>0.54115403282125751</v>
      </c>
      <c r="AX124" s="21">
        <f t="shared" si="60"/>
        <v>59.908988529086351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8.9160000000000021</v>
      </c>
      <c r="BD124" s="12">
        <f>IF('Données projet'!$A$88&gt;35,BD123+BC124-BL123,IF(A124&lt;'Données projet'!$A$88,$BA$205^A124,IF(A124='Données projet'!$A$88,'Données projet'!$B$88,BD123+BC124-BL123)))</f>
        <v>425.11200000000071</v>
      </c>
      <c r="BE124" s="13">
        <f>BD124*VLOOKUP('Données projet'!$B$11,Paramètres!$A$1:$I$89,3,0)*VLOOKUP('Données projet'!$B$11,Paramètres!$A$1:$I$89,5,0)</f>
        <v>384.64133760000061</v>
      </c>
      <c r="BF124" s="13">
        <f t="shared" si="91"/>
        <v>88.65587241476193</v>
      </c>
      <c r="BG124" s="20">
        <f t="shared" si="61"/>
        <v>824.32597410904464</v>
      </c>
      <c r="BH124" s="59">
        <f t="shared" si="62"/>
        <v>1106.6288665012289</v>
      </c>
      <c r="BI124" s="59">
        <f ca="1">AVERAGE(OFFSET($BH$3,0,0,'Données projet'!$E$11+1,1))-AVERAGE(OFFSET($H$3,0,0,'Données projet'!$E$11+1,1))</f>
        <v>681.47578137804555</v>
      </c>
      <c r="BJ124" s="59">
        <f t="shared" si="92"/>
        <v>300.88511065995885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31.741477202468587</v>
      </c>
      <c r="BQ124" s="21">
        <f>EXP(-LN(2)/25)*BQ123+(1-EXP(-LN(2)/25))/(LN(2)/25)*Calculateur!BL124*Calculateur!BN124*VLOOKUP('Données projet'!$B$11,Paramètres!$A$1:$I$89,3,0)*0.475*44/12</f>
        <v>21.232898194198729</v>
      </c>
      <c r="BR124" s="21">
        <f>EXP(-LN(2)/2)*BR123+(1-EXP(-LN(2)/2))/(LN(2)/2)*BL124*BO124*VLOOKUP('Données projet'!$B$11,Paramètres!$A$1:$I$89,3,0)*0.475*44/12</f>
        <v>0.48287590620973764</v>
      </c>
      <c r="BS124" s="22">
        <f t="shared" si="63"/>
        <v>53.457251302877047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2.2737367544323206E-13</v>
      </c>
      <c r="BZ124" s="13">
        <f>BY124*VLOOKUP('Données projet'!$B$12,Paramètres!$A$1:$I$89,3,0)*VLOOKUP('Données projet'!$B$12,Paramètres!$A$1:$I$89,5,0)</f>
        <v>1.5252226148732008E-13</v>
      </c>
      <c r="CA124" s="13">
        <f t="shared" si="93"/>
        <v>2.1814502464536512E-12</v>
      </c>
      <c r="CB124" s="20">
        <f t="shared" si="64"/>
        <v>4.0650021179971913E-12</v>
      </c>
      <c r="CC124" s="59">
        <f t="shared" si="65"/>
        <v>282.30289239218848</v>
      </c>
      <c r="CD124" s="59">
        <f ca="1">AVERAGE(OFFSET($CC$3,0,0,'Données projet'!$E$12+1,1))-AVERAGE(OFFSET($H$3,0,0,'Données projet'!$E$12+1,1))</f>
        <v>335.73816489539837</v>
      </c>
      <c r="CE124" s="59">
        <f t="shared" si="94"/>
        <v>254.09787950201044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30.126811159269572</v>
      </c>
      <c r="CL124" s="21">
        <f>EXP(-LN(2)/25)*CL123+(1-EXP(-LN(2)/25))/(LN(2)/25)*Calculateur!CG124*Calculateur!CI124*VLOOKUP('Données projet'!$B$12,Paramètres!$A$1:$I$89,3,0)*0.475*44/12</f>
        <v>27.947382913633355</v>
      </c>
      <c r="CM124" s="21">
        <f>EXP(-LN(2)/2)*CM123+(1-EXP(-LN(2)/2))/(LN(2)/2)*CG124*CJ124*VLOOKUP('Données projet'!$B$12,Paramètres!$A$1:$I$89,3,0)*0.475*44/12</f>
        <v>1.0817769342144259</v>
      </c>
      <c r="CN124" s="22">
        <f t="shared" si="66"/>
        <v>59.155971007117351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1.1368683772161603E-13</v>
      </c>
      <c r="CU124" s="17">
        <f>CT124*VLOOKUP('Données projet'!$B$13,Paramètres!$A$1:$I$89,3,0)*VLOOKUP('Données projet'!$B$13,Paramètres!$A$1:$I$89,5,0)</f>
        <v>6.7984728957526396E-14</v>
      </c>
      <c r="CV124" s="13">
        <f t="shared" si="95"/>
        <v>1.0682447123141398E-12</v>
      </c>
      <c r="CW124" s="20">
        <f t="shared" si="67"/>
        <v>1.978932943548152E-12</v>
      </c>
      <c r="CX124" s="59">
        <f t="shared" si="68"/>
        <v>282.30289239218638</v>
      </c>
      <c r="CY124" s="59">
        <f ca="1">AVERAGE(OFFSET($CX$3,0,0,'Données projet'!$E$13+1,1))-AVERAGE(OFFSET($H$3,0,0,'Données projet'!$E$13+1,1))</f>
        <v>318.50474972254085</v>
      </c>
      <c r="CZ124" s="59">
        <f t="shared" si="96"/>
        <v>326.45858332753562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41.490949219211458</v>
      </c>
      <c r="DG124" s="21">
        <f>EXP(-LN(2)/25)*DG123+(1-EXP(-LN(2)/25))/(LN(2)/25)*Calculateur!DB124*Calculateur!DD124*VLOOKUP('Données projet'!$B$13,Paramètres!$A$1:$I$89,3,0)*0.475*44/12</f>
        <v>8.9267955261112615</v>
      </c>
      <c r="DH124" s="21">
        <f>EXP(-LN(2)/2)*DH123+(1-EXP(-LN(2)/2))/(LN(2)/2)*DB124*DE124*VLOOKUP('Données projet'!$B$13,Paramètres!$A$1:$I$89,3,0)*0.475*44/12</f>
        <v>3.9487278862039278E-8</v>
      </c>
      <c r="DI124" s="22">
        <f t="shared" si="69"/>
        <v>50.417744784809997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3">
        <f>'Scénario référence'!$B$16*5+'Scénario référence'!$B$17*0+'Scénario référence'!$B$18*5</f>
        <v>5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67">
        <f t="shared" si="56"/>
        <v>183.33333333333334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5.6843418860808015E-14</v>
      </c>
      <c r="O125" s="13">
        <f>N125*VLOOKUP('Données projet'!$B$9,Paramètres!$A$1:$I$89,3,0)*VLOOKUP('Données projet'!$B$9,Paramètres!$A$1:$I$89,5,0)</f>
        <v>5.1431925385259088E-14</v>
      </c>
      <c r="P125" s="13">
        <f t="shared" si="87"/>
        <v>8.3482866290946129E-13</v>
      </c>
      <c r="Q125" s="20">
        <f t="shared" si="107"/>
        <v>1.5435705246133045E-12</v>
      </c>
      <c r="R125" s="59">
        <f t="shared" si="55"/>
        <v>282.49424588214333</v>
      </c>
      <c r="S125" s="59">
        <f ca="1">AVERAGE(OFFSET($R$3,0,0,'Données projet'!$E$9+1,1))-AVERAGE(OFFSET($H$3,0,0,'Données projet'!$E$9+1,1))</f>
        <v>214.60547318405733</v>
      </c>
      <c r="T125" s="59">
        <f t="shared" si="88"/>
        <v>306.35874106546646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3.3971634316146395</v>
      </c>
      <c r="AA125" s="21">
        <f>EXP(-LN(2)/25)*AA124+(1-EXP(-LN(2)/25))/(LN(2)/25)*Calculateur!V125*Calculateur!X125*VLOOKUP('Données projet'!$B$9,Paramètres!$A$1:$I$89,3,0)*0.475*44/12</f>
        <v>1.5630058106639011</v>
      </c>
      <c r="AB125" s="21">
        <f>EXP(-LN(2)/2)*AB124+(1-EXP(-LN(2)/2))/(LN(2)/2)*V125*Y125*VLOOKUP('Données projet'!$B$9,Paramètres!$A$1:$I$89,3,0)*0.475*44/12</f>
        <v>3.5475456642945076E-11</v>
      </c>
      <c r="AC125" s="22">
        <f t="shared" si="57"/>
        <v>4.9601692423140165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8.9160000000000021</v>
      </c>
      <c r="AI125" s="13">
        <f>IF('Données projet'!$A$62&gt;35,AI124+AH125-AQ124,IF(A125&lt;'Données projet'!$A$62,$AF$205^A125,IF(A125='Données projet'!$A$62,'Données projet'!$B$62,AI124+AH125-AQ124)))</f>
        <v>434.0280000000007</v>
      </c>
      <c r="AJ125" s="13">
        <f>AI125*VLOOKUP('Données projet'!$B$10,Paramètres!$A$1:$I$89,3,0)*VLOOKUP('Données projet'!$B$10,Paramètres!$A$1:$I$89,5,0)</f>
        <v>440.1043920000007</v>
      </c>
      <c r="AK125" s="13">
        <f t="shared" si="89"/>
        <v>99.861453660492415</v>
      </c>
      <c r="AL125" s="20">
        <f t="shared" si="58"/>
        <v>940.44051452535894</v>
      </c>
      <c r="AM125" s="59">
        <f t="shared" si="59"/>
        <v>1222.9347604075008</v>
      </c>
      <c r="AN125" s="59">
        <f ca="1">AVERAGE(OFFSET($AM$3,0,0,'Données projet'!$E$10+1,1))-AVERAGE(OFFSET($H$3,0,0,'Données projet'!$E$10+1,1))</f>
        <v>752.45542076695506</v>
      </c>
      <c r="AO125" s="59">
        <f t="shared" si="90"/>
        <v>329.70629768420724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34.874793149476609</v>
      </c>
      <c r="AV125" s="21">
        <f>EXP(-LN(2)/25)*AV124+(1-EXP(-LN(2)/25))/(LN(2)/25)*Calculateur!AQ125*Calculateur!AS125*VLOOKUP('Données projet'!$B$10,Paramètres!$A$1:$I$89,3,0)*0.475*44/12</f>
        <v>23.144800447789148</v>
      </c>
      <c r="AW125" s="21">
        <f>EXP(-LN(2)/2)*AW124+(1-EXP(-LN(2)/2))/(LN(2)/2)*AQ125*AT125*VLOOKUP('Données projet'!$B$10,Paramètres!$A$1:$I$89,3,0)*0.475*44/12</f>
        <v>0.3826536862743587</v>
      </c>
      <c r="AX125" s="21">
        <f t="shared" si="60"/>
        <v>58.402247283540113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8.9160000000000021</v>
      </c>
      <c r="BD125" s="12">
        <f>IF('Données projet'!$A$88&gt;35,BD124+BC125-BL124,IF(A125&lt;'Données projet'!$A$88,$BA$205^A125,IF(A125='Données projet'!$A$88,'Données projet'!$B$88,BD124+BC125-BL124)))</f>
        <v>434.0280000000007</v>
      </c>
      <c r="BE125" s="13">
        <f>BD125*VLOOKUP('Données projet'!$B$11,Paramètres!$A$1:$I$89,3,0)*VLOOKUP('Données projet'!$B$11,Paramètres!$A$1:$I$89,5,0)</f>
        <v>392.70853440000059</v>
      </c>
      <c r="BF125" s="13">
        <f t="shared" si="91"/>
        <v>90.296853458070288</v>
      </c>
      <c r="BG125" s="20">
        <f t="shared" si="61"/>
        <v>841.23438385280679</v>
      </c>
      <c r="BH125" s="59">
        <f t="shared" si="62"/>
        <v>1123.7286297349485</v>
      </c>
      <c r="BI125" s="59">
        <f ca="1">AVERAGE(OFFSET($BH$3,0,0,'Données projet'!$E$11+1,1))-AVERAGE(OFFSET($H$3,0,0,'Données projet'!$E$11+1,1))</f>
        <v>681.47578137804555</v>
      </c>
      <c r="BJ125" s="59">
        <f t="shared" si="92"/>
        <v>300.88511065995885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31.11904619491759</v>
      </c>
      <c r="BQ125" s="21">
        <f>EXP(-LN(2)/25)*BQ124+(1-EXP(-LN(2)/25))/(LN(2)/25)*Calculateur!BL125*Calculateur!BN125*VLOOKUP('Données projet'!$B$11,Paramètres!$A$1:$I$89,3,0)*0.475*44/12</f>
        <v>20.652283476488776</v>
      </c>
      <c r="BR125" s="21">
        <f>EXP(-LN(2)/2)*BR124+(1-EXP(-LN(2)/2))/(LN(2)/2)*BL125*BO125*VLOOKUP('Données projet'!$B$11,Paramètres!$A$1:$I$89,3,0)*0.475*44/12</f>
        <v>0.34144482775250484</v>
      </c>
      <c r="BS125" s="22">
        <f t="shared" si="63"/>
        <v>52.112774499158867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2.2737367544323206E-13</v>
      </c>
      <c r="BZ125" s="13">
        <f>BY125*VLOOKUP('Données projet'!$B$12,Paramètres!$A$1:$I$89,3,0)*VLOOKUP('Données projet'!$B$12,Paramètres!$A$1:$I$89,5,0)</f>
        <v>1.5252226148732008E-13</v>
      </c>
      <c r="CA125" s="13">
        <f t="shared" si="93"/>
        <v>2.1814502464536512E-12</v>
      </c>
      <c r="CB125" s="20">
        <f t="shared" si="64"/>
        <v>4.0650021179971913E-12</v>
      </c>
      <c r="CC125" s="59">
        <f t="shared" si="65"/>
        <v>282.49424588214589</v>
      </c>
      <c r="CD125" s="59">
        <f ca="1">AVERAGE(OFFSET($CC$3,0,0,'Données projet'!$E$12+1,1))-AVERAGE(OFFSET($H$3,0,0,'Données projet'!$E$12+1,1))</f>
        <v>335.73816489539837</v>
      </c>
      <c r="CE125" s="59">
        <f t="shared" si="94"/>
        <v>254.09787950201044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29.536042767976667</v>
      </c>
      <c r="CL125" s="21">
        <f>EXP(-LN(2)/25)*CL124+(1-EXP(-LN(2)/25))/(LN(2)/25)*Calculateur!CG125*Calculateur!CI125*VLOOKUP('Données projet'!$B$12,Paramètres!$A$1:$I$89,3,0)*0.475*44/12</f>
        <v>27.183160258171057</v>
      </c>
      <c r="CM125" s="21">
        <f>EXP(-LN(2)/2)*CM124+(1-EXP(-LN(2)/2))/(LN(2)/2)*CG125*CJ125*VLOOKUP('Données projet'!$B$12,Paramètres!$A$1:$I$89,3,0)*0.475*44/12</f>
        <v>0.76493180591421428</v>
      </c>
      <c r="CN125" s="22">
        <f t="shared" si="66"/>
        <v>57.48413483206194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1.1368683772161603E-13</v>
      </c>
      <c r="CU125" s="17">
        <f>CT125*VLOOKUP('Données projet'!$B$13,Paramètres!$A$1:$I$89,3,0)*VLOOKUP('Données projet'!$B$13,Paramètres!$A$1:$I$89,5,0)</f>
        <v>6.7984728957526396E-14</v>
      </c>
      <c r="CV125" s="13">
        <f t="shared" si="95"/>
        <v>1.0682447123141398E-12</v>
      </c>
      <c r="CW125" s="20">
        <f t="shared" si="67"/>
        <v>1.978932943548152E-12</v>
      </c>
      <c r="CX125" s="59">
        <f t="shared" si="68"/>
        <v>282.49424588214379</v>
      </c>
      <c r="CY125" s="59">
        <f ca="1">AVERAGE(OFFSET($CX$3,0,0,'Données projet'!$E$13+1,1))-AVERAGE(OFFSET($H$3,0,0,'Données projet'!$E$13+1,1))</f>
        <v>318.50474972254085</v>
      </c>
      <c r="CZ125" s="59">
        <f t="shared" si="96"/>
        <v>326.45858332753562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40.677337012002887</v>
      </c>
      <c r="DG125" s="21">
        <f>EXP(-LN(2)/25)*DG124+(1-EXP(-LN(2)/25))/(LN(2)/25)*Calculateur!DB125*Calculateur!DD125*VLOOKUP('Données projet'!$B$13,Paramètres!$A$1:$I$89,3,0)*0.475*44/12</f>
        <v>8.682691833009974</v>
      </c>
      <c r="DH125" s="21">
        <f>EXP(-LN(2)/2)*DH124+(1-EXP(-LN(2)/2))/(LN(2)/2)*DB125*DE125*VLOOKUP('Données projet'!$B$13,Paramètres!$A$1:$I$89,3,0)*0.475*44/12</f>
        <v>2.7921722653952191E-8</v>
      </c>
      <c r="DI125" s="22">
        <f t="shared" si="69"/>
        <v>49.360028872934585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3">
        <f>'Scénario référence'!$B$16*5+'Scénario référence'!$B$17*0+'Scénario référence'!$B$18*5</f>
        <v>5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67">
        <f t="shared" si="56"/>
        <v>183.33333333333334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5.6843418860808015E-14</v>
      </c>
      <c r="O126" s="13">
        <f>N126*VLOOKUP('Données projet'!$B$9,Paramètres!$A$1:$I$89,3,0)*VLOOKUP('Données projet'!$B$9,Paramètres!$A$1:$I$89,5,0)</f>
        <v>5.1431925385259088E-14</v>
      </c>
      <c r="P126" s="13">
        <f t="shared" si="87"/>
        <v>8.3482866290946129E-13</v>
      </c>
      <c r="Q126" s="20">
        <f t="shared" si="107"/>
        <v>1.5435705246133045E-12</v>
      </c>
      <c r="R126" s="59">
        <f t="shared" si="55"/>
        <v>282.6822798168522</v>
      </c>
      <c r="S126" s="59">
        <f ca="1">AVERAGE(OFFSET($R$3,0,0,'Données projet'!$E$9+1,1))-AVERAGE(OFFSET($H$3,0,0,'Données projet'!$E$9+1,1))</f>
        <v>214.60547318405733</v>
      </c>
      <c r="T126" s="59">
        <f t="shared" si="88"/>
        <v>306.35874106546646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3.3305471287857702</v>
      </c>
      <c r="AA126" s="21">
        <f>EXP(-LN(2)/25)*AA125+(1-EXP(-LN(2)/25))/(LN(2)/25)*Calculateur!V126*Calculateur!X126*VLOOKUP('Données projet'!$B$9,Paramètres!$A$1:$I$89,3,0)*0.475*44/12</f>
        <v>1.5202653345763935</v>
      </c>
      <c r="AB126" s="21">
        <f>EXP(-LN(2)/2)*AB125+(1-EXP(-LN(2)/2))/(LN(2)/2)*V126*Y126*VLOOKUP('Données projet'!$B$9,Paramètres!$A$1:$I$89,3,0)*0.475*44/12</f>
        <v>2.5084935957915818E-11</v>
      </c>
      <c r="AC126" s="22">
        <f t="shared" si="57"/>
        <v>4.8508124633872489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8.9160000000000021</v>
      </c>
      <c r="AI126" s="13">
        <f>IF('Données projet'!$A$62&gt;35,AI125+AH126-AQ125,IF(A126&lt;'Données projet'!$A$62,$AF$205^A126,IF(A126='Données projet'!$A$62,'Données projet'!$B$62,AI125+AH126-AQ125)))</f>
        <v>442.9440000000007</v>
      </c>
      <c r="AJ126" s="13">
        <f>AI126*VLOOKUP('Données projet'!$B$10,Paramètres!$A$1:$I$89,3,0)*VLOOKUP('Données projet'!$B$10,Paramètres!$A$1:$I$89,5,0)</f>
        <v>449.1452160000008</v>
      </c>
      <c r="AK126" s="13">
        <f t="shared" si="89"/>
        <v>101.67191932991005</v>
      </c>
      <c r="AL126" s="20">
        <f t="shared" si="58"/>
        <v>959.33984403292789</v>
      </c>
      <c r="AM126" s="59">
        <f t="shared" si="59"/>
        <v>1242.0221238497786</v>
      </c>
      <c r="AN126" s="59">
        <f ca="1">AVERAGE(OFFSET($AM$3,0,0,'Données projet'!$E$10+1,1))-AVERAGE(OFFSET($H$3,0,0,'Données projet'!$E$10+1,1))</f>
        <v>752.45542076695506</v>
      </c>
      <c r="AO126" s="59">
        <f t="shared" si="90"/>
        <v>329.70629768420724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34.190919727338809</v>
      </c>
      <c r="AV126" s="21">
        <f>EXP(-LN(2)/25)*AV125+(1-EXP(-LN(2)/25))/(LN(2)/25)*Calculateur!AQ126*Calculateur!AS126*VLOOKUP('Données projet'!$B$10,Paramètres!$A$1:$I$89,3,0)*0.475*44/12</f>
        <v>22.511904662412196</v>
      </c>
      <c r="AW126" s="21">
        <f>EXP(-LN(2)/2)*AW125+(1-EXP(-LN(2)/2))/(LN(2)/2)*AQ126*AT126*VLOOKUP('Données projet'!$B$10,Paramètres!$A$1:$I$89,3,0)*0.475*44/12</f>
        <v>0.27057701641062876</v>
      </c>
      <c r="AX126" s="21">
        <f t="shared" si="60"/>
        <v>56.973401406161628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8.9160000000000021</v>
      </c>
      <c r="BD126" s="12">
        <f>IF('Données projet'!$A$88&gt;35,BD125+BC126-BL125,IF(A126&lt;'Données projet'!$A$88,$BA$205^A126,IF(A126='Données projet'!$A$88,'Données projet'!$B$88,BD125+BC126-BL125)))</f>
        <v>442.9440000000007</v>
      </c>
      <c r="BE126" s="13">
        <f>BD126*VLOOKUP('Données projet'!$B$11,Paramètres!$A$1:$I$89,3,0)*VLOOKUP('Données projet'!$B$11,Paramètres!$A$1:$I$89,5,0)</f>
        <v>400.77573120000062</v>
      </c>
      <c r="BF126" s="13">
        <f t="shared" si="91"/>
        <v>91.933915079444887</v>
      </c>
      <c r="BG126" s="20">
        <f t="shared" si="61"/>
        <v>858.13596727003414</v>
      </c>
      <c r="BH126" s="59">
        <f t="shared" si="62"/>
        <v>1140.8182470868849</v>
      </c>
      <c r="BI126" s="59">
        <f ca="1">AVERAGE(OFFSET($BH$3,0,0,'Données projet'!$E$11+1,1))-AVERAGE(OFFSET($H$3,0,0,'Données projet'!$E$11+1,1))</f>
        <v>681.47578137804555</v>
      </c>
      <c r="BJ126" s="59">
        <f t="shared" si="92"/>
        <v>300.88511065995885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30.508820679779241</v>
      </c>
      <c r="BQ126" s="21">
        <f>EXP(-LN(2)/25)*BQ125+(1-EXP(-LN(2)/25))/(LN(2)/25)*Calculateur!BL126*Calculateur!BN126*VLOOKUP('Données projet'!$B$11,Paramètres!$A$1:$I$89,3,0)*0.475*44/12</f>
        <v>20.087545698767805</v>
      </c>
      <c r="BR126" s="21">
        <f>EXP(-LN(2)/2)*BR125+(1-EXP(-LN(2)/2))/(LN(2)/2)*BL126*BO126*VLOOKUP('Données projet'!$B$11,Paramètres!$A$1:$I$89,3,0)*0.475*44/12</f>
        <v>0.24143795310486887</v>
      </c>
      <c r="BS126" s="22">
        <f t="shared" si="63"/>
        <v>50.837804331651917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2.2737367544323206E-13</v>
      </c>
      <c r="BZ126" s="13">
        <f>BY126*VLOOKUP('Données projet'!$B$12,Paramètres!$A$1:$I$89,3,0)*VLOOKUP('Données projet'!$B$12,Paramètres!$A$1:$I$89,5,0)</f>
        <v>1.5252226148732008E-13</v>
      </c>
      <c r="CA126" s="13">
        <f t="shared" si="93"/>
        <v>2.1814502464536512E-12</v>
      </c>
      <c r="CB126" s="20">
        <f t="shared" si="64"/>
        <v>4.0650021179971913E-12</v>
      </c>
      <c r="CC126" s="59">
        <f t="shared" si="65"/>
        <v>282.68227981685476</v>
      </c>
      <c r="CD126" s="59">
        <f ca="1">AVERAGE(OFFSET($CC$3,0,0,'Données projet'!$E$12+1,1))-AVERAGE(OFFSET($H$3,0,0,'Données projet'!$E$12+1,1))</f>
        <v>335.73816489539837</v>
      </c>
      <c r="CE126" s="59">
        <f t="shared" si="94"/>
        <v>254.09787950201044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28.956858984503878</v>
      </c>
      <c r="CL126" s="21">
        <f>EXP(-LN(2)/25)*CL125+(1-EXP(-LN(2)/25))/(LN(2)/25)*Calculateur!CG126*Calculateur!CI126*VLOOKUP('Données projet'!$B$12,Paramètres!$A$1:$I$89,3,0)*0.475*44/12</f>
        <v>26.439835311411098</v>
      </c>
      <c r="CM126" s="21">
        <f>EXP(-LN(2)/2)*CM125+(1-EXP(-LN(2)/2))/(LN(2)/2)*CG126*CJ126*VLOOKUP('Données projet'!$B$12,Paramètres!$A$1:$I$89,3,0)*0.475*44/12</f>
        <v>0.54088846710721294</v>
      </c>
      <c r="CN126" s="22">
        <f t="shared" si="66"/>
        <v>55.937582763022192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1.1368683772161603E-13</v>
      </c>
      <c r="CU126" s="17">
        <f>CT126*VLOOKUP('Données projet'!$B$13,Paramètres!$A$1:$I$89,3,0)*VLOOKUP('Données projet'!$B$13,Paramètres!$A$1:$I$89,5,0)</f>
        <v>6.7984728957526396E-14</v>
      </c>
      <c r="CV126" s="13">
        <f t="shared" si="95"/>
        <v>1.0682447123141398E-12</v>
      </c>
      <c r="CW126" s="20">
        <f t="shared" si="67"/>
        <v>1.978932943548152E-12</v>
      </c>
      <c r="CX126" s="59">
        <f t="shared" si="68"/>
        <v>282.68227981685266</v>
      </c>
      <c r="CY126" s="59">
        <f ca="1">AVERAGE(OFFSET($CX$3,0,0,'Données projet'!$E$13+1,1))-AVERAGE(OFFSET($H$3,0,0,'Données projet'!$E$13+1,1))</f>
        <v>318.50474972254085</v>
      </c>
      <c r="CZ126" s="59">
        <f t="shared" si="96"/>
        <v>326.45858332753562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39.879679243923235</v>
      </c>
      <c r="DG126" s="21">
        <f>EXP(-LN(2)/25)*DG125+(1-EXP(-LN(2)/25))/(LN(2)/25)*Calculateur!DB126*Calculateur!DD126*VLOOKUP('Données projet'!$B$13,Paramètres!$A$1:$I$89,3,0)*0.475*44/12</f>
        <v>8.4452631682333976</v>
      </c>
      <c r="DH126" s="21">
        <f>EXP(-LN(2)/2)*DH125+(1-EXP(-LN(2)/2))/(LN(2)/2)*DB126*DE126*VLOOKUP('Données projet'!$B$13,Paramètres!$A$1:$I$89,3,0)*0.475*44/12</f>
        <v>1.9743639431019639E-8</v>
      </c>
      <c r="DI126" s="22">
        <f t="shared" si="69"/>
        <v>48.324942431900269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3">
        <f>'Scénario référence'!$B$16*5+'Scénario référence'!$B$17*0+'Scénario référence'!$B$18*5</f>
        <v>5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67">
        <f t="shared" si="56"/>
        <v>183.33333333333334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5.6843418860808015E-14</v>
      </c>
      <c r="O127" s="13">
        <f>N127*VLOOKUP('Données projet'!$B$9,Paramètres!$A$1:$I$89,3,0)*VLOOKUP('Données projet'!$B$9,Paramètres!$A$1:$I$89,5,0)</f>
        <v>5.1431925385259088E-14</v>
      </c>
      <c r="P127" s="13">
        <f t="shared" si="87"/>
        <v>8.3482866290946129E-13</v>
      </c>
      <c r="Q127" s="20">
        <f t="shared" si="107"/>
        <v>1.5435705246133045E-12</v>
      </c>
      <c r="R127" s="59">
        <f t="shared" si="55"/>
        <v>282.86705178317487</v>
      </c>
      <c r="S127" s="59">
        <f ca="1">AVERAGE(OFFSET($R$3,0,0,'Données projet'!$E$9+1,1))-AVERAGE(OFFSET($H$3,0,0,'Données projet'!$E$9+1,1))</f>
        <v>214.60547318405733</v>
      </c>
      <c r="T127" s="59">
        <f t="shared" si="88"/>
        <v>306.35874106546646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3.2652371310234423</v>
      </c>
      <c r="AA127" s="21">
        <f>EXP(-LN(2)/25)*AA126+(1-EXP(-LN(2)/25))/(LN(2)/25)*Calculateur!V127*Calculateur!X127*VLOOKUP('Données projet'!$B$9,Paramètres!$A$1:$I$89,3,0)*0.475*44/12</f>
        <v>1.4786935990551227</v>
      </c>
      <c r="AB127" s="21">
        <f>EXP(-LN(2)/2)*AB126+(1-EXP(-LN(2)/2))/(LN(2)/2)*V127*Y127*VLOOKUP('Données projet'!$B$9,Paramètres!$A$1:$I$89,3,0)*0.475*44/12</f>
        <v>1.7737728321472538E-11</v>
      </c>
      <c r="AC127" s="22">
        <f t="shared" si="57"/>
        <v>4.7439307300963032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>
        <f>VLOOKUP(A127,'Données projet'!$A$61:$I$81,2,0)</f>
        <v>451.86</v>
      </c>
      <c r="AG127" s="12">
        <f>VLOOKUP(A127,'Données projet'!$A$61:$I$81,9,0)</f>
        <v>8.9160000000000021</v>
      </c>
      <c r="AH127" s="12">
        <f t="array" ref="AH127">INDEX(AG:AG,MIN(IF(ISNUMBER(AG127:AG323),ROW(AG127:AG323),"")))</f>
        <v>8.9160000000000021</v>
      </c>
      <c r="AI127" s="13">
        <f>IF('Données projet'!$A$62&gt;35,AI126+AH127-AQ126,IF(A127&lt;'Données projet'!$A$62,$AF$205^A127,IF(A127='Données projet'!$A$62,'Données projet'!$B$62,AI126+AH127-AQ126)))</f>
        <v>451.8600000000007</v>
      </c>
      <c r="AJ127" s="13">
        <f>AI127*VLOOKUP('Données projet'!$B$10,Paramètres!$A$1:$I$89,3,0)*VLOOKUP('Données projet'!$B$10,Paramètres!$A$1:$I$89,5,0)</f>
        <v>458.18604000000073</v>
      </c>
      <c r="AK127" s="13">
        <f t="shared" si="89"/>
        <v>103.47814772253736</v>
      </c>
      <c r="AL127" s="20">
        <f t="shared" si="58"/>
        <v>978.23179361675386</v>
      </c>
      <c r="AM127" s="59">
        <f t="shared" si="59"/>
        <v>1261.0988453999271</v>
      </c>
      <c r="AN127" s="59">
        <f ca="1">AVERAGE(OFFSET($AM$3,0,0,'Données projet'!$E$10+1,1))-AVERAGE(OFFSET($H$3,0,0,'Données projet'!$E$10+1,1))</f>
        <v>752.45542076695506</v>
      </c>
      <c r="AO127" s="59">
        <f t="shared" si="90"/>
        <v>329.70629768420724</v>
      </c>
      <c r="AP127" s="15">
        <f>IF(ISNA(VLOOKUP(A127,'Données projet'!$A$61:$I$81,3,0)),0,VLOOKUP(A127,'Données projet'!$A$61:$I$81,3,0))</f>
        <v>10</v>
      </c>
      <c r="AQ127" s="15">
        <f>IF(ISNA(VLOOKUP(A127,'Données projet'!$A$61:$I$81,4,0)),0,VLOOKUP(A127,'Données projet'!$A$61:$I$81,4,0))</f>
        <v>57.81</v>
      </c>
      <c r="AR127" s="16">
        <f>IF(ISNA(VLOOKUP(A127,'Données projet'!$A$61:$I$81,5,0)),0%,VLOOKUP(A127,'Données projet'!$A$61:$I$81,5,0)*VLOOKUP('Données projet'!$B$10,Paramètres!$A$1:$I$89,7,0))</f>
        <v>0.15049999999999999</v>
      </c>
      <c r="AS127" s="16">
        <f>IF(ISNA(VLOOKUP(A127,'Données projet'!$A$61:$I$81,6,0)),0%,VLOOKUP(A127,'Données projet'!$A$61:$I$81,6,0)*VLOOKUP('Données projet'!$B$10,Paramètres!$A$1:$I$89,7,0))</f>
        <v>8.6000000000000007E-2</v>
      </c>
      <c r="AT127" s="16">
        <f>IF(ISNA(VLOOKUP(A127,'Données projet'!$A$61:$I$81,7,0)),0%,VLOOKUP(A127,'Données projet'!$A$61:$I$81,7,0))</f>
        <v>0.1</v>
      </c>
      <c r="AU127" s="21">
        <f>EXP(-LN(2)/35)*AU126+(1-EXP(-LN(2)/35))/(LN(2)/35)*AQ127*AR127*VLOOKUP('Données projet'!$B$10,Paramètres!$A$1:$I$89,3,0)*0.475*44/12</f>
        <v>43.273149223572069</v>
      </c>
      <c r="AV127" s="21">
        <f>EXP(-LN(2)/25)*AV126+(1-EXP(-LN(2)/25))/(LN(2)/25)*Calculateur!AQ127*Calculateur!AS127*VLOOKUP('Données projet'!$B$10,Paramètres!$A$1:$I$89,3,0)*0.475*44/12</f>
        <v>27.447339737534058</v>
      </c>
      <c r="AW127" s="21">
        <f>EXP(-LN(2)/2)*AW126+(1-EXP(-LN(2)/2))/(LN(2)/2)*AQ127*AT127*VLOOKUP('Données projet'!$B$10,Paramètres!$A$1:$I$89,3,0)*0.475*44/12</f>
        <v>5.7222193437776019</v>
      </c>
      <c r="AX127" s="21">
        <f t="shared" si="60"/>
        <v>76.442708304883723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>
        <f>VLOOKUP(A127,'Données projet'!$A$87:$I$107,2,0)</f>
        <v>451.86</v>
      </c>
      <c r="BB127" s="12">
        <f>VLOOKUP(A127,'Données projet'!$A$87:$I$107,9,0)</f>
        <v>8.9160000000000021</v>
      </c>
      <c r="BC127" s="12">
        <f t="array" ref="BC127">INDEX(BB:BB,MIN(IF(ISNUMBER(BB127:BB323),ROW(BB127:BB323),"")))</f>
        <v>8.9160000000000021</v>
      </c>
      <c r="BD127" s="12">
        <f>IF('Données projet'!$A$88&gt;35,BD126+BC127-BL126,IF(A127&lt;'Données projet'!$A$88,$BA$205^A127,IF(A127='Données projet'!$A$88,'Données projet'!$B$88,BD126+BC127-BL126)))</f>
        <v>451.8600000000007</v>
      </c>
      <c r="BE127" s="13">
        <f>BD127*VLOOKUP('Données projet'!$B$11,Paramètres!$A$1:$I$89,3,0)*VLOOKUP('Données projet'!$B$11,Paramètres!$A$1:$I$89,5,0)</f>
        <v>408.84292800000065</v>
      </c>
      <c r="BF127" s="13">
        <f t="shared" si="91"/>
        <v>93.567145264891295</v>
      </c>
      <c r="BG127" s="20">
        <f t="shared" si="61"/>
        <v>875.03087760302014</v>
      </c>
      <c r="BH127" s="59">
        <f t="shared" si="62"/>
        <v>1157.8979293861935</v>
      </c>
      <c r="BI127" s="59">
        <f ca="1">AVERAGE(OFFSET($BH$3,0,0,'Données projet'!$E$11+1,1))-AVERAGE(OFFSET($H$3,0,0,'Données projet'!$E$11+1,1))</f>
        <v>681.47578137804555</v>
      </c>
      <c r="BJ127" s="59">
        <f t="shared" si="92"/>
        <v>300.88511065995885</v>
      </c>
      <c r="BK127" s="15">
        <f>IF(ISNA(VLOOKUP(A127,'Données projet'!$A$87:$I$107,3,0)),0,VLOOKUP(A127,'Données projet'!$A$87:$I$107,3,0))</f>
        <v>10</v>
      </c>
      <c r="BL127" s="15">
        <f>IF(ISNA(VLOOKUP(A127,'Données projet'!$A$87:$I$107,4,0)),0,VLOOKUP(A127,'Données projet'!$A$87:$I$107,4,0))</f>
        <v>57.81</v>
      </c>
      <c r="BM127" s="16">
        <f>IF(ISNA(VLOOKUP(A127,'Données projet'!$A$87:$I$107,5,0)),0%,VLOOKUP(A127,'Données projet'!$A$87:$I$107,5,0)*VLOOKUP('Données projet'!$B$11,Paramètres!$A$1:$I$89,7,0))</f>
        <v>0.15049999999999999</v>
      </c>
      <c r="BN127" s="16">
        <f>IF(ISNA(VLOOKUP(A127,'Données projet'!$A$87:$I$107,6,0)),0%,VLOOKUP(A127,'Données projet'!$A$87:$I$107,6,0)*VLOOKUP('Données projet'!$B$11,Paramètres!$A$1:$I$89,7,0))</f>
        <v>8.6000000000000007E-2</v>
      </c>
      <c r="BO127" s="16">
        <f>IF(ISNA(VLOOKUP(A127,'Données projet'!$A$87:$I$107,7,0)),0%,VLOOKUP(A127,'Données projet'!$A$87:$I$107,7,0))</f>
        <v>0.1</v>
      </c>
      <c r="BP127" s="21">
        <f>EXP(-LN(2)/35)*BP126+(1-EXP(-LN(2)/35))/(LN(2)/35)*BL127*BM127*VLOOKUP('Données projet'!$B$11,Paramètres!$A$1:$I$89,3,0)*0.475*44/12</f>
        <v>38.612963922572</v>
      </c>
      <c r="BQ127" s="21">
        <f>EXP(-LN(2)/25)*BQ126+(1-EXP(-LN(2)/25))/(LN(2)/25)*Calculateur!BL127*Calculateur!BN127*VLOOKUP('Données projet'!$B$11,Paramètres!$A$1:$I$89,3,0)*0.475*44/12</f>
        <v>24.491472381184234</v>
      </c>
      <c r="BR127" s="21">
        <f>EXP(-LN(2)/2)*BR126+(1-EXP(-LN(2)/2))/(LN(2)/2)*BL127*BO127*VLOOKUP('Données projet'!$B$11,Paramètres!$A$1:$I$89,3,0)*0.475*44/12</f>
        <v>5.1059803375246293</v>
      </c>
      <c r="BS127" s="22">
        <f t="shared" si="63"/>
        <v>68.210416641280858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2.2737367544323206E-13</v>
      </c>
      <c r="BZ127" s="13">
        <f>BY127*VLOOKUP('Données projet'!$B$12,Paramètres!$A$1:$I$89,3,0)*VLOOKUP('Données projet'!$B$12,Paramètres!$A$1:$I$89,5,0)</f>
        <v>1.5252226148732008E-13</v>
      </c>
      <c r="CA127" s="13">
        <f t="shared" si="93"/>
        <v>2.1814502464536512E-12</v>
      </c>
      <c r="CB127" s="20">
        <f t="shared" si="64"/>
        <v>4.0650021179971913E-12</v>
      </c>
      <c r="CC127" s="59">
        <f t="shared" si="65"/>
        <v>282.86705178317743</v>
      </c>
      <c r="CD127" s="59">
        <f ca="1">AVERAGE(OFFSET($CC$3,0,0,'Données projet'!$E$12+1,1))-AVERAGE(OFFSET($H$3,0,0,'Données projet'!$E$12+1,1))</f>
        <v>335.73816489539837</v>
      </c>
      <c r="CE127" s="59">
        <f t="shared" si="94"/>
        <v>254.09787950201044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28.389032641757765</v>
      </c>
      <c r="CL127" s="21">
        <f>EXP(-LN(2)/25)*CL126+(1-EXP(-LN(2)/25))/(LN(2)/25)*Calculateur!CG127*Calculateur!CI127*VLOOKUP('Données projet'!$B$12,Paramètres!$A$1:$I$89,3,0)*0.475*44/12</f>
        <v>25.716836624410053</v>
      </c>
      <c r="CM127" s="21">
        <f>EXP(-LN(2)/2)*CM126+(1-EXP(-LN(2)/2))/(LN(2)/2)*CG127*CJ127*VLOOKUP('Données projet'!$B$12,Paramètres!$A$1:$I$89,3,0)*0.475*44/12</f>
        <v>0.38246590295710714</v>
      </c>
      <c r="CN127" s="22">
        <f t="shared" si="66"/>
        <v>54.488335169124923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1.1368683772161603E-13</v>
      </c>
      <c r="CU127" s="17">
        <f>CT127*VLOOKUP('Données projet'!$B$13,Paramètres!$A$1:$I$89,3,0)*VLOOKUP('Données projet'!$B$13,Paramètres!$A$1:$I$89,5,0)</f>
        <v>6.7984728957526396E-14</v>
      </c>
      <c r="CV127" s="13">
        <f t="shared" si="95"/>
        <v>1.0682447123141398E-12</v>
      </c>
      <c r="CW127" s="20">
        <f t="shared" si="67"/>
        <v>1.978932943548152E-12</v>
      </c>
      <c r="CX127" s="59">
        <f t="shared" si="68"/>
        <v>282.86705178317533</v>
      </c>
      <c r="CY127" s="59">
        <f ca="1">AVERAGE(OFFSET($CX$3,0,0,'Données projet'!$E$13+1,1))-AVERAGE(OFFSET($H$3,0,0,'Données projet'!$E$13+1,1))</f>
        <v>318.50474972254085</v>
      </c>
      <c r="CZ127" s="59">
        <f t="shared" si="96"/>
        <v>326.45858332753562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39.09766305815242</v>
      </c>
      <c r="DG127" s="21">
        <f>EXP(-LN(2)/25)*DG126+(1-EXP(-LN(2)/25))/(LN(2)/25)*Calculateur!DB127*Calculateur!DD127*VLOOKUP('Données projet'!$B$13,Paramètres!$A$1:$I$89,3,0)*0.475*44/12</f>
        <v>8.2143270027809674</v>
      </c>
      <c r="DH127" s="21">
        <f>EXP(-LN(2)/2)*DH126+(1-EXP(-LN(2)/2))/(LN(2)/2)*DB127*DE127*VLOOKUP('Données projet'!$B$13,Paramètres!$A$1:$I$89,3,0)*0.475*44/12</f>
        <v>1.3960861326976096E-8</v>
      </c>
      <c r="DI127" s="22">
        <f t="shared" si="69"/>
        <v>47.311990074894254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3">
        <f>'Scénario référence'!$B$16*5+'Scénario référence'!$B$17*0+'Scénario référence'!$B$18*5</f>
        <v>5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67">
        <f t="shared" si="56"/>
        <v>183.33333333333334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5.6843418860808015E-14</v>
      </c>
      <c r="O128" s="13">
        <f>N128*VLOOKUP('Données projet'!$B$9,Paramètres!$A$1:$I$89,3,0)*VLOOKUP('Données projet'!$B$9,Paramètres!$A$1:$I$89,5,0)</f>
        <v>5.1431925385259088E-14</v>
      </c>
      <c r="P128" s="13">
        <f t="shared" si="87"/>
        <v>8.3482866290946129E-13</v>
      </c>
      <c r="Q128" s="20">
        <f t="shared" si="107"/>
        <v>1.5435705246133045E-12</v>
      </c>
      <c r="R128" s="59">
        <f t="shared" si="55"/>
        <v>283.04861836897004</v>
      </c>
      <c r="S128" s="59">
        <f ca="1">AVERAGE(OFFSET($R$3,0,0,'Données projet'!$E$9+1,1))-AVERAGE(OFFSET($H$3,0,0,'Données projet'!$E$9+1,1))</f>
        <v>214.60547318405733</v>
      </c>
      <c r="T128" s="59">
        <f t="shared" si="88"/>
        <v>306.35874106546646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3.2012078224820684</v>
      </c>
      <c r="AA128" s="21">
        <f>EXP(-LN(2)/25)*AA127+(1-EXP(-LN(2)/25))/(LN(2)/25)*Calculateur!V128*Calculateur!X128*VLOOKUP('Données projet'!$B$9,Paramètres!$A$1:$I$89,3,0)*0.475*44/12</f>
        <v>1.4382586448278436</v>
      </c>
      <c r="AB128" s="21">
        <f>EXP(-LN(2)/2)*AB127+(1-EXP(-LN(2)/2))/(LN(2)/2)*V128*Y128*VLOOKUP('Données projet'!$B$9,Paramètres!$A$1:$I$89,3,0)*0.475*44/12</f>
        <v>1.2542467978957909E-11</v>
      </c>
      <c r="AC128" s="22">
        <f t="shared" si="57"/>
        <v>4.639466467322455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9.0229999999999961</v>
      </c>
      <c r="AI128" s="13">
        <f>IF('Données projet'!$A$62&gt;35,AI127+AH128-AQ127,IF(A128&lt;'Données projet'!$A$62,$AF$205^A128,IF(A128='Données projet'!$A$62,'Données projet'!$B$62,AI127+AH128-AQ127)))</f>
        <v>403.07300000000072</v>
      </c>
      <c r="AJ128" s="13">
        <f>AI128*VLOOKUP('Données projet'!$B$10,Paramètres!$A$1:$I$89,3,0)*VLOOKUP('Données projet'!$B$10,Paramètres!$A$1:$I$89,5,0)</f>
        <v>408.71602200000075</v>
      </c>
      <c r="AK128" s="13">
        <f t="shared" si="89"/>
        <v>93.541481959099485</v>
      </c>
      <c r="AL128" s="20">
        <f t="shared" si="58"/>
        <v>874.76515272876622</v>
      </c>
      <c r="AM128" s="59">
        <f t="shared" si="59"/>
        <v>1157.8137710977348</v>
      </c>
      <c r="AN128" s="59">
        <f ca="1">AVERAGE(OFFSET($AM$3,0,0,'Données projet'!$E$10+1,1))-AVERAGE(OFFSET($H$3,0,0,'Données projet'!$E$10+1,1))</f>
        <v>752.45542076695506</v>
      </c>
      <c r="AO128" s="59">
        <f t="shared" si="90"/>
        <v>329.70629768420724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42.424589161312653</v>
      </c>
      <c r="AV128" s="21">
        <f>EXP(-LN(2)/25)*AV127+(1-EXP(-LN(2)/25))/(LN(2)/25)*Calculateur!AQ128*Calculateur!AS128*VLOOKUP('Données projet'!$B$10,Paramètres!$A$1:$I$89,3,0)*0.475*44/12</f>
        <v>26.696790789018323</v>
      </c>
      <c r="AW128" s="21">
        <f>EXP(-LN(2)/2)*AW127+(1-EXP(-LN(2)/2))/(LN(2)/2)*AQ128*AT128*VLOOKUP('Données projet'!$B$10,Paramètres!$A$1:$I$89,3,0)*0.475*44/12</f>
        <v>4.0462201014219783</v>
      </c>
      <c r="AX128" s="21">
        <f t="shared" si="60"/>
        <v>73.167600051752956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9.0229999999999961</v>
      </c>
      <c r="BD128" s="12">
        <f>IF('Données projet'!$A$88&gt;35,BD127+BC128-BL127,IF(A128&lt;'Données projet'!$A$88,$BA$205^A128,IF(A128='Données projet'!$A$88,'Données projet'!$B$88,BD127+BC128-BL127)))</f>
        <v>403.07300000000072</v>
      </c>
      <c r="BE128" s="13">
        <f>BD128*VLOOKUP('Données projet'!$B$11,Paramètres!$A$1:$I$89,3,0)*VLOOKUP('Données projet'!$B$11,Paramètres!$A$1:$I$89,5,0)</f>
        <v>364.70045040000065</v>
      </c>
      <c r="BF128" s="13">
        <f t="shared" si="91"/>
        <v>84.582200429685614</v>
      </c>
      <c r="BG128" s="20">
        <f t="shared" si="61"/>
        <v>782.50061686170341</v>
      </c>
      <c r="BH128" s="59">
        <f t="shared" si="62"/>
        <v>1065.5492352306719</v>
      </c>
      <c r="BI128" s="59">
        <f ca="1">AVERAGE(OFFSET($BH$3,0,0,'Données projet'!$E$11+1,1))-AVERAGE(OFFSET($H$3,0,0,'Données projet'!$E$11+1,1))</f>
        <v>681.47578137804555</v>
      </c>
      <c r="BJ128" s="59">
        <f t="shared" si="92"/>
        <v>300.88511065995885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37.855787251632833</v>
      </c>
      <c r="BQ128" s="21">
        <f>EXP(-LN(2)/25)*BQ127+(1-EXP(-LN(2)/25))/(LN(2)/25)*Calculateur!BL128*Calculateur!BN128*VLOOKUP('Données projet'!$B$11,Paramètres!$A$1:$I$89,3,0)*0.475*44/12</f>
        <v>23.821751780970196</v>
      </c>
      <c r="BR128" s="21">
        <f>EXP(-LN(2)/2)*BR127+(1-EXP(-LN(2)/2))/(LN(2)/2)*BL128*BO128*VLOOKUP('Données projet'!$B$11,Paramètres!$A$1:$I$89,3,0)*0.475*44/12</f>
        <v>3.6104733212688425</v>
      </c>
      <c r="BS128" s="22">
        <f t="shared" si="63"/>
        <v>65.288012353871878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2.2737367544323206E-13</v>
      </c>
      <c r="BZ128" s="13">
        <f>BY128*VLOOKUP('Données projet'!$B$12,Paramètres!$A$1:$I$89,3,0)*VLOOKUP('Données projet'!$B$12,Paramètres!$A$1:$I$89,5,0)</f>
        <v>1.5252226148732008E-13</v>
      </c>
      <c r="CA128" s="13">
        <f t="shared" si="93"/>
        <v>2.1814502464536512E-12</v>
      </c>
      <c r="CB128" s="20">
        <f t="shared" si="64"/>
        <v>4.0650021179971913E-12</v>
      </c>
      <c r="CC128" s="59">
        <f t="shared" si="65"/>
        <v>283.0486183689726</v>
      </c>
      <c r="CD128" s="59">
        <f ca="1">AVERAGE(OFFSET($CC$3,0,0,'Données projet'!$E$12+1,1))-AVERAGE(OFFSET($H$3,0,0,'Données projet'!$E$12+1,1))</f>
        <v>335.73816489539837</v>
      </c>
      <c r="CE128" s="59">
        <f t="shared" si="94"/>
        <v>254.09787950201044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27.832341027253033</v>
      </c>
      <c r="CL128" s="21">
        <f>EXP(-LN(2)/25)*CL127+(1-EXP(-LN(2)/25))/(LN(2)/25)*Calculateur!CG128*Calculateur!CI128*VLOOKUP('Données projet'!$B$12,Paramètres!$A$1:$I$89,3,0)*0.475*44/12</f>
        <v>25.013608374525898</v>
      </c>
      <c r="CM128" s="21">
        <f>EXP(-LN(2)/2)*CM127+(1-EXP(-LN(2)/2))/(LN(2)/2)*CG128*CJ128*VLOOKUP('Données projet'!$B$12,Paramètres!$A$1:$I$89,3,0)*0.475*44/12</f>
        <v>0.27044423355360647</v>
      </c>
      <c r="CN128" s="22">
        <f t="shared" si="66"/>
        <v>53.116393635332535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1.1368683772161603E-13</v>
      </c>
      <c r="CU128" s="17">
        <f>CT128*VLOOKUP('Données projet'!$B$13,Paramètres!$A$1:$I$89,3,0)*VLOOKUP('Données projet'!$B$13,Paramètres!$A$1:$I$89,5,0)</f>
        <v>6.7984728957526396E-14</v>
      </c>
      <c r="CV128" s="13">
        <f t="shared" si="95"/>
        <v>1.0682447123141398E-12</v>
      </c>
      <c r="CW128" s="20">
        <f t="shared" si="67"/>
        <v>1.978932943548152E-12</v>
      </c>
      <c r="CX128" s="59">
        <f t="shared" si="68"/>
        <v>283.04861836897049</v>
      </c>
      <c r="CY128" s="59">
        <f ca="1">AVERAGE(OFFSET($CX$3,0,0,'Données projet'!$E$13+1,1))-AVERAGE(OFFSET($H$3,0,0,'Données projet'!$E$13+1,1))</f>
        <v>318.50474972254085</v>
      </c>
      <c r="CZ128" s="59">
        <f t="shared" si="96"/>
        <v>326.45858332753562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38.330981732801803</v>
      </c>
      <c r="DG128" s="21">
        <f>EXP(-LN(2)/25)*DG127+(1-EXP(-LN(2)/25))/(LN(2)/25)*Calculateur!DB128*Calculateur!DD128*VLOOKUP('Données projet'!$B$13,Paramètres!$A$1:$I$89,3,0)*0.475*44/12</f>
        <v>7.9897057989172389</v>
      </c>
      <c r="DH128" s="21">
        <f>EXP(-LN(2)/2)*DH127+(1-EXP(-LN(2)/2))/(LN(2)/2)*DB128*DE128*VLOOKUP('Données projet'!$B$13,Paramètres!$A$1:$I$89,3,0)*0.475*44/12</f>
        <v>9.8718197155098195E-9</v>
      </c>
      <c r="DI128" s="22">
        <f t="shared" si="69"/>
        <v>46.320687541590864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3">
        <f>'Scénario référence'!$B$16*5+'Scénario référence'!$B$17*0+'Scénario référence'!$B$18*5</f>
        <v>5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67">
        <f t="shared" si="56"/>
        <v>183.33333333333334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5.6843418860808015E-14</v>
      </c>
      <c r="O129" s="13">
        <f>N129*VLOOKUP('Données projet'!$B$9,Paramètres!$A$1:$I$89,3,0)*VLOOKUP('Données projet'!$B$9,Paramètres!$A$1:$I$89,5,0)</f>
        <v>5.1431925385259088E-14</v>
      </c>
      <c r="P129" s="13">
        <f t="shared" si="87"/>
        <v>8.3482866290946129E-13</v>
      </c>
      <c r="Q129" s="20">
        <f t="shared" si="107"/>
        <v>1.5435705246133045E-12</v>
      </c>
      <c r="R129" s="59">
        <f t="shared" si="55"/>
        <v>283.22703518042374</v>
      </c>
      <c r="S129" s="59">
        <f ca="1">AVERAGE(OFFSET($R$3,0,0,'Données projet'!$E$9+1,1))-AVERAGE(OFFSET($H$3,0,0,'Données projet'!$E$9+1,1))</f>
        <v>214.60547318405733</v>
      </c>
      <c r="T129" s="59">
        <f t="shared" si="88"/>
        <v>306.35874106546646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3.138434089627169</v>
      </c>
      <c r="AA129" s="21">
        <f>EXP(-LN(2)/25)*AA128+(1-EXP(-LN(2)/25))/(LN(2)/25)*Calculateur!V129*Calculateur!X129*VLOOKUP('Données projet'!$B$9,Paramètres!$A$1:$I$89,3,0)*0.475*44/12</f>
        <v>1.3989293865502912</v>
      </c>
      <c r="AB129" s="21">
        <f>EXP(-LN(2)/2)*AB128+(1-EXP(-LN(2)/2))/(LN(2)/2)*V129*Y129*VLOOKUP('Données projet'!$B$9,Paramètres!$A$1:$I$89,3,0)*0.475*44/12</f>
        <v>8.868864160736269E-12</v>
      </c>
      <c r="AC129" s="22">
        <f t="shared" si="57"/>
        <v>4.5373634761863286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9.0229999999999961</v>
      </c>
      <c r="AI129" s="13">
        <f>IF('Données projet'!$A$62&gt;35,AI128+AH129-AQ128,IF(A129&lt;'Données projet'!$A$62,$AF$205^A129,IF(A129='Données projet'!$A$62,'Données projet'!$B$62,AI128+AH129-AQ128)))</f>
        <v>412.09600000000069</v>
      </c>
      <c r="AJ129" s="13">
        <f>AI129*VLOOKUP('Données projet'!$B$10,Paramètres!$A$1:$I$89,3,0)*VLOOKUP('Données projet'!$B$10,Paramètres!$A$1:$I$89,5,0)</f>
        <v>417.86534400000068</v>
      </c>
      <c r="AK129" s="13">
        <f t="shared" si="89"/>
        <v>95.389327572593899</v>
      </c>
      <c r="AL129" s="20">
        <f t="shared" si="58"/>
        <v>893.91855298893552</v>
      </c>
      <c r="AM129" s="59">
        <f t="shared" si="59"/>
        <v>1177.1455881693578</v>
      </c>
      <c r="AN129" s="59">
        <f ca="1">AVERAGE(OFFSET($AM$3,0,0,'Données projet'!$E$10+1,1))-AVERAGE(OFFSET($H$3,0,0,'Données projet'!$E$10+1,1))</f>
        <v>752.45542076695506</v>
      </c>
      <c r="AO129" s="59">
        <f t="shared" si="90"/>
        <v>329.70629768420724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41.592668844303617</v>
      </c>
      <c r="AV129" s="21">
        <f>EXP(-LN(2)/25)*AV128+(1-EXP(-LN(2)/25))/(LN(2)/25)*Calculateur!AQ129*Calculateur!AS129*VLOOKUP('Données projet'!$B$10,Paramètres!$A$1:$I$89,3,0)*0.475*44/12</f>
        <v>25.966765640969406</v>
      </c>
      <c r="AW129" s="21">
        <f>EXP(-LN(2)/2)*AW128+(1-EXP(-LN(2)/2))/(LN(2)/2)*AQ129*AT129*VLOOKUP('Données projet'!$B$10,Paramètres!$A$1:$I$89,3,0)*0.475*44/12</f>
        <v>2.8611096718888009</v>
      </c>
      <c r="AX129" s="21">
        <f t="shared" si="60"/>
        <v>70.420544157161814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9.0229999999999961</v>
      </c>
      <c r="BD129" s="12">
        <f>IF('Données projet'!$A$88&gt;35,BD128+BC129-BL128,IF(A129&lt;'Données projet'!$A$88,$BA$205^A129,IF(A129='Données projet'!$A$88,'Données projet'!$B$88,BD128+BC129-BL128)))</f>
        <v>412.09600000000069</v>
      </c>
      <c r="BE129" s="13">
        <f>BD129*VLOOKUP('Données projet'!$B$11,Paramètres!$A$1:$I$89,3,0)*VLOOKUP('Données projet'!$B$11,Paramètres!$A$1:$I$89,5,0)</f>
        <v>372.86446080000059</v>
      </c>
      <c r="BF129" s="13">
        <f t="shared" si="91"/>
        <v>86.253061792690659</v>
      </c>
      <c r="BG129" s="20">
        <f t="shared" si="61"/>
        <v>799.62968518227046</v>
      </c>
      <c r="BH129" s="59">
        <f t="shared" si="62"/>
        <v>1082.8567203626926</v>
      </c>
      <c r="BI129" s="59">
        <f ca="1">AVERAGE(OFFSET($BH$3,0,0,'Données projet'!$E$11+1,1))-AVERAGE(OFFSET($H$3,0,0,'Données projet'!$E$11+1,1))</f>
        <v>681.47578137804555</v>
      </c>
      <c r="BJ129" s="59">
        <f t="shared" si="92"/>
        <v>300.88511065995885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37.113458353378611</v>
      </c>
      <c r="BQ129" s="21">
        <f>EXP(-LN(2)/25)*BQ128+(1-EXP(-LN(2)/25))/(LN(2)/25)*Calculateur!BL129*Calculateur!BN129*VLOOKUP('Données projet'!$B$11,Paramètres!$A$1:$I$89,3,0)*0.475*44/12</f>
        <v>23.170344725788084</v>
      </c>
      <c r="BR129" s="21">
        <f>EXP(-LN(2)/2)*BR128+(1-EXP(-LN(2)/2))/(LN(2)/2)*BL129*BO129*VLOOKUP('Données projet'!$B$11,Paramètres!$A$1:$I$89,3,0)*0.475*44/12</f>
        <v>2.5529901687623151</v>
      </c>
      <c r="BS129" s="22">
        <f t="shared" si="63"/>
        <v>62.836793247929009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2.2737367544323206E-13</v>
      </c>
      <c r="BZ129" s="13">
        <f>BY129*VLOOKUP('Données projet'!$B$12,Paramètres!$A$1:$I$89,3,0)*VLOOKUP('Données projet'!$B$12,Paramètres!$A$1:$I$89,5,0)</f>
        <v>1.5252226148732008E-13</v>
      </c>
      <c r="CA129" s="13">
        <f t="shared" si="93"/>
        <v>2.1814502464536512E-12</v>
      </c>
      <c r="CB129" s="20">
        <f t="shared" si="64"/>
        <v>4.0650021179971913E-12</v>
      </c>
      <c r="CC129" s="59">
        <f t="shared" si="65"/>
        <v>283.2270351804263</v>
      </c>
      <c r="CD129" s="59">
        <f ca="1">AVERAGE(OFFSET($CC$3,0,0,'Données projet'!$E$12+1,1))-AVERAGE(OFFSET($H$3,0,0,'Données projet'!$E$12+1,1))</f>
        <v>335.73816489539837</v>
      </c>
      <c r="CE129" s="59">
        <f t="shared" si="94"/>
        <v>254.09787950201044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27.286565795760382</v>
      </c>
      <c r="CL129" s="21">
        <f>EXP(-LN(2)/25)*CL128+(1-EXP(-LN(2)/25))/(LN(2)/25)*Calculateur!CG129*Calculateur!CI129*VLOOKUP('Données projet'!$B$12,Paramètres!$A$1:$I$89,3,0)*0.475*44/12</f>
        <v>24.329609938115993</v>
      </c>
      <c r="CM129" s="21">
        <f>EXP(-LN(2)/2)*CM128+(1-EXP(-LN(2)/2))/(LN(2)/2)*CG129*CJ129*VLOOKUP('Données projet'!$B$12,Paramètres!$A$1:$I$89,3,0)*0.475*44/12</f>
        <v>0.19123295147855357</v>
      </c>
      <c r="CN129" s="22">
        <f t="shared" si="66"/>
        <v>51.807408685354929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1.1368683772161603E-13</v>
      </c>
      <c r="CU129" s="17">
        <f>CT129*VLOOKUP('Données projet'!$B$13,Paramètres!$A$1:$I$89,3,0)*VLOOKUP('Données projet'!$B$13,Paramètres!$A$1:$I$89,5,0)</f>
        <v>6.7984728957526396E-14</v>
      </c>
      <c r="CV129" s="13">
        <f t="shared" si="95"/>
        <v>1.0682447123141398E-12</v>
      </c>
      <c r="CW129" s="20">
        <f t="shared" si="67"/>
        <v>1.978932943548152E-12</v>
      </c>
      <c r="CX129" s="59">
        <f t="shared" si="68"/>
        <v>283.2270351804242</v>
      </c>
      <c r="CY129" s="59">
        <f ca="1">AVERAGE(OFFSET($CX$3,0,0,'Données projet'!$E$13+1,1))-AVERAGE(OFFSET($H$3,0,0,'Données projet'!$E$13+1,1))</f>
        <v>318.50474972254085</v>
      </c>
      <c r="CZ129" s="59">
        <f t="shared" si="96"/>
        <v>326.45858332753562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37.579334560611876</v>
      </c>
      <c r="DG129" s="21">
        <f>EXP(-LN(2)/25)*DG128+(1-EXP(-LN(2)/25))/(LN(2)/25)*Calculateur!DB129*Calculateur!DD129*VLOOKUP('Données projet'!$B$13,Paramètres!$A$1:$I$89,3,0)*0.475*44/12</f>
        <v>7.7712268736854799</v>
      </c>
      <c r="DH129" s="21">
        <f>EXP(-LN(2)/2)*DH128+(1-EXP(-LN(2)/2))/(LN(2)/2)*DB129*DE129*VLOOKUP('Données projet'!$B$13,Paramètres!$A$1:$I$89,3,0)*0.475*44/12</f>
        <v>6.9804306634880479E-9</v>
      </c>
      <c r="DI129" s="22">
        <f t="shared" si="69"/>
        <v>45.350561441277783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3">
        <f>'Scénario référence'!$B$16*5+'Scénario référence'!$B$17*0+'Scénario référence'!$B$18*5</f>
        <v>5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67">
        <f t="shared" si="56"/>
        <v>183.33333333333334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5.6843418860808015E-14</v>
      </c>
      <c r="O130" s="13">
        <f>N130*VLOOKUP('Données projet'!$B$9,Paramètres!$A$1:$I$89,3,0)*VLOOKUP('Données projet'!$B$9,Paramètres!$A$1:$I$89,5,0)</f>
        <v>5.1431925385259088E-14</v>
      </c>
      <c r="P130" s="13">
        <f t="shared" si="87"/>
        <v>8.3482866290946129E-13</v>
      </c>
      <c r="Q130" s="20">
        <f t="shared" si="107"/>
        <v>1.5435705246133045E-12</v>
      </c>
      <c r="R130" s="59">
        <f t="shared" si="55"/>
        <v>283.40235685907896</v>
      </c>
      <c r="S130" s="59">
        <f ca="1">AVERAGE(OFFSET($R$3,0,0,'Données projet'!$E$9+1,1))-AVERAGE(OFFSET($H$3,0,0,'Données projet'!$E$9+1,1))</f>
        <v>214.60547318405733</v>
      </c>
      <c r="T130" s="59">
        <f t="shared" si="88"/>
        <v>306.35874106546646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3.0768913113853578</v>
      </c>
      <c r="AA130" s="21">
        <f>EXP(-LN(2)/25)*AA129+(1-EXP(-LN(2)/25))/(LN(2)/25)*Calculateur!V130*Calculateur!X130*VLOOKUP('Données projet'!$B$9,Paramètres!$A$1:$I$89,3,0)*0.475*44/12</f>
        <v>1.3606755889085744</v>
      </c>
      <c r="AB130" s="21">
        <f>EXP(-LN(2)/2)*AB129+(1-EXP(-LN(2)/2))/(LN(2)/2)*V130*Y130*VLOOKUP('Données projet'!$B$9,Paramètres!$A$1:$I$89,3,0)*0.475*44/12</f>
        <v>6.2712339894789545E-12</v>
      </c>
      <c r="AC130" s="22">
        <f t="shared" si="57"/>
        <v>4.4375669003002036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9.0229999999999961</v>
      </c>
      <c r="AI130" s="13">
        <f>IF('Données projet'!$A$62&gt;35,AI129+AH130-AQ129,IF(A130&lt;'Données projet'!$A$62,$AF$205^A130,IF(A130='Données projet'!$A$62,'Données projet'!$B$62,AI129+AH130-AQ129)))</f>
        <v>421.11900000000071</v>
      </c>
      <c r="AJ130" s="13">
        <f>AI130*VLOOKUP('Données projet'!$B$10,Paramètres!$A$1:$I$89,3,0)*VLOOKUP('Données projet'!$B$10,Paramètres!$A$1:$I$89,5,0)</f>
        <v>427.01466600000072</v>
      </c>
      <c r="AK130" s="13">
        <f t="shared" si="89"/>
        <v>97.232469323868258</v>
      </c>
      <c r="AL130" s="20">
        <f t="shared" si="58"/>
        <v>913.06376068907173</v>
      </c>
      <c r="AM130" s="59">
        <f t="shared" si="59"/>
        <v>1196.4661175481492</v>
      </c>
      <c r="AN130" s="59">
        <f ca="1">AVERAGE(OFFSET($AM$3,0,0,'Données projet'!$E$10+1,1))-AVERAGE(OFFSET($H$3,0,0,'Données projet'!$E$10+1,1))</f>
        <v>752.45542076695506</v>
      </c>
      <c r="AO130" s="59">
        <f t="shared" si="90"/>
        <v>329.70629768420724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40.777061977289833</v>
      </c>
      <c r="AV130" s="21">
        <f>EXP(-LN(2)/25)*AV129+(1-EXP(-LN(2)/25))/(LN(2)/25)*Calculateur!AQ130*Calculateur!AS130*VLOOKUP('Données projet'!$B$10,Paramètres!$A$1:$I$89,3,0)*0.475*44/12</f>
        <v>25.25670306898424</v>
      </c>
      <c r="AW130" s="21">
        <f>EXP(-LN(2)/2)*AW129+(1-EXP(-LN(2)/2))/(LN(2)/2)*AQ130*AT130*VLOOKUP('Données projet'!$B$10,Paramètres!$A$1:$I$89,3,0)*0.475*44/12</f>
        <v>2.0231100507109891</v>
      </c>
      <c r="AX130" s="21">
        <f t="shared" si="60"/>
        <v>68.056875096985053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9.0229999999999961</v>
      </c>
      <c r="BD130" s="12">
        <f>IF('Données projet'!$A$88&gt;35,BD129+BC130-BL129,IF(A130&lt;'Données projet'!$A$88,$BA$205^A130,IF(A130='Données projet'!$A$88,'Données projet'!$B$88,BD129+BC130-BL129)))</f>
        <v>421.11900000000071</v>
      </c>
      <c r="BE130" s="13">
        <f>BD130*VLOOKUP('Données projet'!$B$11,Paramètres!$A$1:$I$89,3,0)*VLOOKUP('Données projet'!$B$11,Paramètres!$A$1:$I$89,5,0)</f>
        <v>381.02847120000064</v>
      </c>
      <c r="BF130" s="13">
        <f t="shared" si="91"/>
        <v>87.919669823283783</v>
      </c>
      <c r="BG130" s="20">
        <f t="shared" si="61"/>
        <v>816.75134561555353</v>
      </c>
      <c r="BH130" s="59">
        <f t="shared" si="62"/>
        <v>1100.153702474631</v>
      </c>
      <c r="BI130" s="59">
        <f ca="1">AVERAGE(OFFSET($BH$3,0,0,'Données projet'!$E$11+1,1))-AVERAGE(OFFSET($H$3,0,0,'Données projet'!$E$11+1,1))</f>
        <v>681.47578137804555</v>
      </c>
      <c r="BJ130" s="59">
        <f t="shared" si="92"/>
        <v>300.88511065995885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36.385686072043235</v>
      </c>
      <c r="BQ130" s="21">
        <f>EXP(-LN(2)/25)*BQ129+(1-EXP(-LN(2)/25))/(LN(2)/25)*Calculateur!BL130*Calculateur!BN130*VLOOKUP('Données projet'!$B$11,Paramètres!$A$1:$I$89,3,0)*0.475*44/12</f>
        <v>22.536750430785936</v>
      </c>
      <c r="BR130" s="21">
        <f>EXP(-LN(2)/2)*BR129+(1-EXP(-LN(2)/2))/(LN(2)/2)*BL130*BO130*VLOOKUP('Données projet'!$B$11,Paramètres!$A$1:$I$89,3,0)*0.475*44/12</f>
        <v>1.8052366606344215</v>
      </c>
      <c r="BS130" s="22">
        <f t="shared" si="63"/>
        <v>60.727673163463592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2.2737367544323206E-13</v>
      </c>
      <c r="BZ130" s="13">
        <f>BY130*VLOOKUP('Données projet'!$B$12,Paramètres!$A$1:$I$89,3,0)*VLOOKUP('Données projet'!$B$12,Paramètres!$A$1:$I$89,5,0)</f>
        <v>1.5252226148732008E-13</v>
      </c>
      <c r="CA130" s="13">
        <f t="shared" si="93"/>
        <v>2.1814502464536512E-12</v>
      </c>
      <c r="CB130" s="20">
        <f t="shared" si="64"/>
        <v>4.0650021179971913E-12</v>
      </c>
      <c r="CC130" s="59">
        <f t="shared" si="65"/>
        <v>283.40235685908152</v>
      </c>
      <c r="CD130" s="59">
        <f ca="1">AVERAGE(OFFSET($CC$3,0,0,'Données projet'!$E$12+1,1))-AVERAGE(OFFSET($H$3,0,0,'Données projet'!$E$12+1,1))</f>
        <v>335.73816489539837</v>
      </c>
      <c r="CE130" s="59">
        <f t="shared" si="94"/>
        <v>254.09787950201044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26.751492883667279</v>
      </c>
      <c r="CL130" s="21">
        <f>EXP(-LN(2)/25)*CL129+(1-EXP(-LN(2)/25))/(LN(2)/25)*Calculateur!CG130*Calculateur!CI130*VLOOKUP('Données projet'!$B$12,Paramètres!$A$1:$I$89,3,0)*0.475*44/12</f>
        <v>23.664315474919633</v>
      </c>
      <c r="CM130" s="21">
        <f>EXP(-LN(2)/2)*CM129+(1-EXP(-LN(2)/2))/(LN(2)/2)*CG130*CJ130*VLOOKUP('Données projet'!$B$12,Paramètres!$A$1:$I$89,3,0)*0.475*44/12</f>
        <v>0.13522211677680324</v>
      </c>
      <c r="CN130" s="22">
        <f t="shared" si="66"/>
        <v>50.551030475363717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1.1368683772161603E-13</v>
      </c>
      <c r="CU130" s="17">
        <f>CT130*VLOOKUP('Données projet'!$B$13,Paramètres!$A$1:$I$89,3,0)*VLOOKUP('Données projet'!$B$13,Paramètres!$A$1:$I$89,5,0)</f>
        <v>6.7984728957526396E-14</v>
      </c>
      <c r="CV130" s="13">
        <f t="shared" si="95"/>
        <v>1.0682447123141398E-12</v>
      </c>
      <c r="CW130" s="20">
        <f t="shared" si="67"/>
        <v>1.978932943548152E-12</v>
      </c>
      <c r="CX130" s="59">
        <f t="shared" si="68"/>
        <v>283.40235685907942</v>
      </c>
      <c r="CY130" s="59">
        <f ca="1">AVERAGE(OFFSET($CX$3,0,0,'Données projet'!$E$13+1,1))-AVERAGE(OFFSET($H$3,0,0,'Données projet'!$E$13+1,1))</f>
        <v>318.50474972254085</v>
      </c>
      <c r="CZ130" s="59">
        <f t="shared" si="96"/>
        <v>326.45858332753562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36.842426731009084</v>
      </c>
      <c r="DG130" s="21">
        <f>EXP(-LN(2)/25)*DG129+(1-EXP(-LN(2)/25))/(LN(2)/25)*Calculateur!DB130*Calculateur!DD130*VLOOKUP('Données projet'!$B$13,Paramètres!$A$1:$I$89,3,0)*0.475*44/12</f>
        <v>7.5587222661534907</v>
      </c>
      <c r="DH130" s="21">
        <f>EXP(-LN(2)/2)*DH129+(1-EXP(-LN(2)/2))/(LN(2)/2)*DB130*DE130*VLOOKUP('Données projet'!$B$13,Paramètres!$A$1:$I$89,3,0)*0.475*44/12</f>
        <v>4.9359098577549098E-9</v>
      </c>
      <c r="DI130" s="22">
        <f t="shared" si="69"/>
        <v>44.401149002098485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3">
        <f>'Scénario référence'!$B$16*5+'Scénario référence'!$B$17*0+'Scénario référence'!$B$18*5</f>
        <v>5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67">
        <f t="shared" si="56"/>
        <v>183.33333333333334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5.6843418860808015E-14</v>
      </c>
      <c r="O131" s="13">
        <f>N131*VLOOKUP('Données projet'!$B$9,Paramètres!$A$1:$I$89,3,0)*VLOOKUP('Données projet'!$B$9,Paramètres!$A$1:$I$89,5,0)</f>
        <v>5.1431925385259088E-14</v>
      </c>
      <c r="P131" s="13">
        <f t="shared" si="87"/>
        <v>8.3482866290946129E-13</v>
      </c>
      <c r="Q131" s="20">
        <f t="shared" ref="Q131:Q153" si="108">(O131+P131)*0.475*44/12</f>
        <v>1.5435705246133045E-12</v>
      </c>
      <c r="R131" s="59">
        <f t="shared" ref="R131:R194" si="109">Q131+(I131+J131)*44/12</f>
        <v>283.57463709857007</v>
      </c>
      <c r="S131" s="59">
        <f ca="1">AVERAGE(OFFSET($R$3,0,0,'Données projet'!$E$9+1,1))-AVERAGE(OFFSET($H$3,0,0,'Données projet'!$E$9+1,1))</f>
        <v>214.60547318405733</v>
      </c>
      <c r="T131" s="59">
        <f t="shared" si="88"/>
        <v>306.35874106546646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3.0165553494874802</v>
      </c>
      <c r="AA131" s="21">
        <f>EXP(-LN(2)/25)*AA130+(1-EXP(-LN(2)/25))/(LN(2)/25)*Calculateur!V131*Calculateur!X131*VLOOKUP('Données projet'!$B$9,Paramètres!$A$1:$I$89,3,0)*0.475*44/12</f>
        <v>1.3234678433750502</v>
      </c>
      <c r="AB131" s="21">
        <f>EXP(-LN(2)/2)*AB130+(1-EXP(-LN(2)/2))/(LN(2)/2)*V131*Y131*VLOOKUP('Données projet'!$B$9,Paramètres!$A$1:$I$89,3,0)*0.475*44/12</f>
        <v>4.4344320803681345E-12</v>
      </c>
      <c r="AC131" s="22">
        <f t="shared" si="57"/>
        <v>4.3400231928669646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9.0229999999999961</v>
      </c>
      <c r="AI131" s="13">
        <f>IF('Données projet'!$A$62&gt;35,AI130+AH131-AQ130,IF(A131&lt;'Données projet'!$A$62,$AF$205^A131,IF(A131='Données projet'!$A$62,'Données projet'!$B$62,AI130+AH131-AQ130)))</f>
        <v>430.14200000000073</v>
      </c>
      <c r="AJ131" s="13">
        <f>AI131*VLOOKUP('Données projet'!$B$10,Paramètres!$A$1:$I$89,3,0)*VLOOKUP('Données projet'!$B$10,Paramètres!$A$1:$I$89,5,0)</f>
        <v>436.16398800000076</v>
      </c>
      <c r="AK131" s="13">
        <f t="shared" si="89"/>
        <v>99.071019607718114</v>
      </c>
      <c r="AL131" s="20">
        <f t="shared" si="58"/>
        <v>932.20097158344367</v>
      </c>
      <c r="AM131" s="59">
        <f t="shared" si="59"/>
        <v>1215.7756086820123</v>
      </c>
      <c r="AN131" s="59">
        <f ca="1">AVERAGE(OFFSET($AM$3,0,0,'Données projet'!$E$10+1,1))-AVERAGE(OFFSET($H$3,0,0,'Données projet'!$E$10+1,1))</f>
        <v>752.45542076695506</v>
      </c>
      <c r="AO131" s="59">
        <f t="shared" si="90"/>
        <v>329.70629768420724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39.977448663467122</v>
      </c>
      <c r="AV131" s="21">
        <f>EXP(-LN(2)/25)*AV130+(1-EXP(-LN(2)/25))/(LN(2)/25)*Calculateur!AQ131*Calculateur!AS131*VLOOKUP('Données projet'!$B$10,Paramètres!$A$1:$I$89,3,0)*0.475*44/12</f>
        <v>24.566057195370576</v>
      </c>
      <c r="AW131" s="21">
        <f>EXP(-LN(2)/2)*AW130+(1-EXP(-LN(2)/2))/(LN(2)/2)*AQ131*AT131*VLOOKUP('Données projet'!$B$10,Paramètres!$A$1:$I$89,3,0)*0.475*44/12</f>
        <v>1.4305548359444005</v>
      </c>
      <c r="AX131" s="21">
        <f t="shared" si="60"/>
        <v>65.974060694782111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9.0229999999999961</v>
      </c>
      <c r="BD131" s="12">
        <f>IF('Données projet'!$A$88&gt;35,BD130+BC131-BL130,IF(A131&lt;'Données projet'!$A$88,$BA$205^A131,IF(A131='Données projet'!$A$88,'Données projet'!$B$88,BD130+BC131-BL130)))</f>
        <v>430.14200000000073</v>
      </c>
      <c r="BE131" s="13">
        <f>BD131*VLOOKUP('Données projet'!$B$11,Paramètres!$A$1:$I$89,3,0)*VLOOKUP('Données projet'!$B$11,Paramètres!$A$1:$I$89,5,0)</f>
        <v>389.19248160000063</v>
      </c>
      <c r="BF131" s="13">
        <f t="shared" si="91"/>
        <v>89.582126151232899</v>
      </c>
      <c r="BG131" s="20">
        <f t="shared" si="61"/>
        <v>833.86577516673162</v>
      </c>
      <c r="BH131" s="59">
        <f t="shared" si="62"/>
        <v>1117.4404122653002</v>
      </c>
      <c r="BI131" s="59">
        <f ca="1">AVERAGE(OFFSET($BH$3,0,0,'Données projet'!$E$11+1,1))-AVERAGE(OFFSET($H$3,0,0,'Données projet'!$E$11+1,1))</f>
        <v>681.47578137804555</v>
      </c>
      <c r="BJ131" s="59">
        <f t="shared" si="92"/>
        <v>300.88511065995885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35.672184961247588</v>
      </c>
      <c r="BQ131" s="21">
        <f>EXP(-LN(2)/25)*BQ130+(1-EXP(-LN(2)/25))/(LN(2)/25)*Calculateur!BL131*Calculateur!BN131*VLOOKUP('Données projet'!$B$11,Paramètres!$A$1:$I$89,3,0)*0.475*44/12</f>
        <v>21.920481805099897</v>
      </c>
      <c r="BR131" s="21">
        <f>EXP(-LN(2)/2)*BR130+(1-EXP(-LN(2)/2))/(LN(2)/2)*BL131*BO131*VLOOKUP('Données projet'!$B$11,Paramètres!$A$1:$I$89,3,0)*0.475*44/12</f>
        <v>1.2764950843811578</v>
      </c>
      <c r="BS131" s="22">
        <f t="shared" si="63"/>
        <v>58.869161850728645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2.2737367544323206E-13</v>
      </c>
      <c r="BZ131" s="13">
        <f>BY131*VLOOKUP('Données projet'!$B$12,Paramètres!$A$1:$I$89,3,0)*VLOOKUP('Données projet'!$B$12,Paramètres!$A$1:$I$89,5,0)</f>
        <v>1.5252226148732008E-13</v>
      </c>
      <c r="CA131" s="13">
        <f t="shared" si="93"/>
        <v>2.1814502464536512E-12</v>
      </c>
      <c r="CB131" s="20">
        <f t="shared" si="64"/>
        <v>4.0650021179971913E-12</v>
      </c>
      <c r="CC131" s="59">
        <f t="shared" si="65"/>
        <v>283.57463709857262</v>
      </c>
      <c r="CD131" s="59">
        <f ca="1">AVERAGE(OFFSET($CC$3,0,0,'Données projet'!$E$12+1,1))-AVERAGE(OFFSET($H$3,0,0,'Données projet'!$E$12+1,1))</f>
        <v>335.73816489539837</v>
      </c>
      <c r="CE131" s="59">
        <f t="shared" si="94"/>
        <v>254.09787950201044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26.226912425018071</v>
      </c>
      <c r="CL131" s="21">
        <f>EXP(-LN(2)/25)*CL130+(1-EXP(-LN(2)/25))/(LN(2)/25)*Calculateur!CG131*Calculateur!CI131*VLOOKUP('Données projet'!$B$12,Paramètres!$A$1:$I$89,3,0)*0.475*44/12</f>
        <v>23.01721352380569</v>
      </c>
      <c r="CM131" s="21">
        <f>EXP(-LN(2)/2)*CM130+(1-EXP(-LN(2)/2))/(LN(2)/2)*CG131*CJ131*VLOOKUP('Données projet'!$B$12,Paramètres!$A$1:$I$89,3,0)*0.475*44/12</f>
        <v>9.5616475739276785E-2</v>
      </c>
      <c r="CN131" s="22">
        <f t="shared" si="66"/>
        <v>49.339742424563042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1.1368683772161603E-13</v>
      </c>
      <c r="CU131" s="17">
        <f>CT131*VLOOKUP('Données projet'!$B$13,Paramètres!$A$1:$I$89,3,0)*VLOOKUP('Données projet'!$B$13,Paramètres!$A$1:$I$89,5,0)</f>
        <v>6.7984728957526396E-14</v>
      </c>
      <c r="CV131" s="13">
        <f t="shared" si="95"/>
        <v>1.0682447123141398E-12</v>
      </c>
      <c r="CW131" s="20">
        <f t="shared" si="67"/>
        <v>1.978932943548152E-12</v>
      </c>
      <c r="CX131" s="59">
        <f t="shared" si="68"/>
        <v>283.57463709857052</v>
      </c>
      <c r="CY131" s="59">
        <f ca="1">AVERAGE(OFFSET($CX$3,0,0,'Données projet'!$E$13+1,1))-AVERAGE(OFFSET($H$3,0,0,'Données projet'!$E$13+1,1))</f>
        <v>318.50474972254085</v>
      </c>
      <c r="CZ131" s="59">
        <f t="shared" si="96"/>
        <v>326.45858332753562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36.119969214475411</v>
      </c>
      <c r="DG131" s="21">
        <f>EXP(-LN(2)/25)*DG130+(1-EXP(-LN(2)/25))/(LN(2)/25)*Calculateur!DB131*Calculateur!DD131*VLOOKUP('Données projet'!$B$13,Paramètres!$A$1:$I$89,3,0)*0.475*44/12</f>
        <v>7.3520286082895954</v>
      </c>
      <c r="DH131" s="21">
        <f>EXP(-LN(2)/2)*DH130+(1-EXP(-LN(2)/2))/(LN(2)/2)*DB131*DE131*VLOOKUP('Données projet'!$B$13,Paramètres!$A$1:$I$89,3,0)*0.475*44/12</f>
        <v>3.4902153317440239E-9</v>
      </c>
      <c r="DI131" s="22">
        <f t="shared" si="69"/>
        <v>43.471997826255219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3">
        <f>'Scénario référence'!$B$16*5+'Scénario référence'!$B$17*0+'Scénario référence'!$B$18*5</f>
        <v>5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67">
        <f t="shared" ref="H132:H195" si="110">(B132+E132+F132)*44/12+(C132+D132)*0.475*44/12</f>
        <v>183.33333333333334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5.6843418860808015E-14</v>
      </c>
      <c r="O132" s="13">
        <f>N132*VLOOKUP('Données projet'!$B$9,Paramètres!$A$1:$I$89,3,0)*VLOOKUP('Données projet'!$B$9,Paramètres!$A$1:$I$89,5,0)</f>
        <v>5.1431925385259088E-14</v>
      </c>
      <c r="P132" s="13">
        <f t="shared" si="87"/>
        <v>8.3482866290946129E-13</v>
      </c>
      <c r="Q132" s="20">
        <f t="shared" si="108"/>
        <v>1.5435705246133045E-12</v>
      </c>
      <c r="R132" s="59">
        <f t="shared" si="109"/>
        <v>283.74392866106689</v>
      </c>
      <c r="S132" s="59">
        <f ca="1">AVERAGE(OFFSET($R$3,0,0,'Données projet'!$E$9+1,1))-AVERAGE(OFFSET($H$3,0,0,'Données projet'!$E$9+1,1))</f>
        <v>214.60547318405733</v>
      </c>
      <c r="T132" s="59">
        <f t="shared" si="88"/>
        <v>306.35874106546646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2.9574025390011172</v>
      </c>
      <c r="AA132" s="21">
        <f>EXP(-LN(2)/25)*AA131+(1-EXP(-LN(2)/25))/(LN(2)/25)*Calculateur!V132*Calculateur!X132*VLOOKUP('Données projet'!$B$9,Paramètres!$A$1:$I$89,3,0)*0.475*44/12</f>
        <v>1.2872775455998104</v>
      </c>
      <c r="AB132" s="21">
        <f>EXP(-LN(2)/2)*AB131+(1-EXP(-LN(2)/2))/(LN(2)/2)*V132*Y132*VLOOKUP('Données projet'!$B$9,Paramètres!$A$1:$I$89,3,0)*0.475*44/12</f>
        <v>3.1356169947394772E-12</v>
      </c>
      <c r="AC132" s="22">
        <f t="shared" ref="AC132:AC153" si="111">SUM(Z132:AB132)</f>
        <v>4.2446800846040631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9.0229999999999961</v>
      </c>
      <c r="AI132" s="13">
        <f>IF('Données projet'!$A$62&gt;35,AI131+AH132-AQ131,IF(A132&lt;'Données projet'!$A$62,$AF$205^A132,IF(A132='Données projet'!$A$62,'Données projet'!$B$62,AI131+AH132-AQ131)))</f>
        <v>439.16500000000076</v>
      </c>
      <c r="AJ132" s="13">
        <f>AI132*VLOOKUP('Données projet'!$B$10,Paramètres!$A$1:$I$89,3,0)*VLOOKUP('Données projet'!$B$10,Paramètres!$A$1:$I$89,5,0)</f>
        <v>445.3133100000008</v>
      </c>
      <c r="AK132" s="13">
        <f t="shared" si="89"/>
        <v>100.90508583412877</v>
      </c>
      <c r="AL132" s="20">
        <f t="shared" ref="AL132:AL153" si="112">(AJ132+AK132)*0.475*44/12</f>
        <v>951.33037274444223</v>
      </c>
      <c r="AM132" s="59">
        <f t="shared" ref="AM132:AM195" si="113">AL132+(AD132+AE132)*44/12</f>
        <v>1235.0743014055076</v>
      </c>
      <c r="AN132" s="59">
        <f ca="1">AVERAGE(OFFSET($AM$3,0,0,'Données projet'!$E$10+1,1))-AVERAGE(OFFSET($H$3,0,0,'Données projet'!$E$10+1,1))</f>
        <v>752.45542076695506</v>
      </c>
      <c r="AO132" s="59">
        <f t="shared" si="90"/>
        <v>329.70629768420724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39.193515279012516</v>
      </c>
      <c r="AV132" s="21">
        <f>EXP(-LN(2)/25)*AV131+(1-EXP(-LN(2)/25))/(LN(2)/25)*Calculateur!AQ132*Calculateur!AS132*VLOOKUP('Données projet'!$B$10,Paramètres!$A$1:$I$89,3,0)*0.475*44/12</f>
        <v>23.894297069490367</v>
      </c>
      <c r="AW132" s="21">
        <f>EXP(-LN(2)/2)*AW131+(1-EXP(-LN(2)/2))/(LN(2)/2)*AQ132*AT132*VLOOKUP('Données projet'!$B$10,Paramètres!$A$1:$I$89,3,0)*0.475*44/12</f>
        <v>1.0115550253554946</v>
      </c>
      <c r="AX132" s="21">
        <f t="shared" ref="AX132:AX153" si="114">SUM(AU132:AW132)</f>
        <v>64.099367373858371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9.0229999999999961</v>
      </c>
      <c r="BD132" s="12">
        <f>IF('Données projet'!$A$88&gt;35,BD131+BC132-BL131,IF(A132&lt;'Données projet'!$A$88,$BA$205^A132,IF(A132='Données projet'!$A$88,'Données projet'!$B$88,BD131+BC132-BL131)))</f>
        <v>439.16500000000076</v>
      </c>
      <c r="BE132" s="13">
        <f>BD132*VLOOKUP('Données projet'!$B$11,Paramètres!$A$1:$I$89,3,0)*VLOOKUP('Données projet'!$B$11,Paramètres!$A$1:$I$89,5,0)</f>
        <v>397.35649200000069</v>
      </c>
      <c r="BF132" s="13">
        <f t="shared" si="91"/>
        <v>91.240527898934658</v>
      </c>
      <c r="BG132" s="20">
        <f t="shared" ref="BG132:BG153" si="115">(BE132+BF132)*0.475*44/12</f>
        <v>850.97314299064567</v>
      </c>
      <c r="BH132" s="59">
        <f t="shared" ref="BH132:BH195" si="116">BG132+(AY132+AZ132)*44/12</f>
        <v>1134.717071651711</v>
      </c>
      <c r="BI132" s="59">
        <f ca="1">AVERAGE(OFFSET($BH$3,0,0,'Données projet'!$E$11+1,1))-AVERAGE(OFFSET($H$3,0,0,'Données projet'!$E$11+1,1))</f>
        <v>681.47578137804555</v>
      </c>
      <c r="BJ132" s="59">
        <f t="shared" si="92"/>
        <v>300.88511065995885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34.972675172041939</v>
      </c>
      <c r="BQ132" s="21">
        <f>EXP(-LN(2)/25)*BQ131+(1-EXP(-LN(2)/25))/(LN(2)/25)*Calculateur!BL132*Calculateur!BN132*VLOOKUP('Données projet'!$B$11,Paramètres!$A$1:$I$89,3,0)*0.475*44/12</f>
        <v>21.321065077391403</v>
      </c>
      <c r="BR132" s="21">
        <f>EXP(-LN(2)/2)*BR131+(1-EXP(-LN(2)/2))/(LN(2)/2)*BL132*BO132*VLOOKUP('Données projet'!$B$11,Paramètres!$A$1:$I$89,3,0)*0.475*44/12</f>
        <v>0.90261833031721095</v>
      </c>
      <c r="BS132" s="22">
        <f t="shared" ref="BS132:BS153" si="117">SUM(BP132:BR132)</f>
        <v>57.196358579750552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2.2737367544323206E-13</v>
      </c>
      <c r="BZ132" s="13">
        <f>BY132*VLOOKUP('Données projet'!$B$12,Paramètres!$A$1:$I$89,3,0)*VLOOKUP('Données projet'!$B$12,Paramètres!$A$1:$I$89,5,0)</f>
        <v>1.5252226148732008E-13</v>
      </c>
      <c r="CA132" s="13">
        <f t="shared" si="93"/>
        <v>2.1814502464536512E-12</v>
      </c>
      <c r="CB132" s="20">
        <f t="shared" ref="CB132:CB153" si="118">(BZ132+CA132)*0.475*44/12</f>
        <v>4.0650021179971913E-12</v>
      </c>
      <c r="CC132" s="59">
        <f t="shared" ref="CC132:CC195" si="119">CB132+(BT132+BU132)*44/12</f>
        <v>283.74392866106945</v>
      </c>
      <c r="CD132" s="59">
        <f ca="1">AVERAGE(OFFSET($CC$3,0,0,'Données projet'!$E$12+1,1))-AVERAGE(OFFSET($H$3,0,0,'Données projet'!$E$12+1,1))</f>
        <v>335.73816489539837</v>
      </c>
      <c r="CE132" s="59">
        <f t="shared" si="94"/>
        <v>254.09787950201044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25.712618669200488</v>
      </c>
      <c r="CL132" s="21">
        <f>EXP(-LN(2)/25)*CL131+(1-EXP(-LN(2)/25))/(LN(2)/25)*Calculateur!CG132*Calculateur!CI132*VLOOKUP('Données projet'!$B$12,Paramètres!$A$1:$I$89,3,0)*0.475*44/12</f>
        <v>22.387806609574572</v>
      </c>
      <c r="CM132" s="21">
        <f>EXP(-LN(2)/2)*CM131+(1-EXP(-LN(2)/2))/(LN(2)/2)*CG132*CJ132*VLOOKUP('Données projet'!$B$12,Paramètres!$A$1:$I$89,3,0)*0.475*44/12</f>
        <v>6.7611058388401618E-2</v>
      </c>
      <c r="CN132" s="22">
        <f t="shared" ref="CN132:CN153" si="120">SUM(CK132:CM132)</f>
        <v>48.168036337163464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1.1368683772161603E-13</v>
      </c>
      <c r="CU132" s="17">
        <f>CT132*VLOOKUP('Données projet'!$B$13,Paramètres!$A$1:$I$89,3,0)*VLOOKUP('Données projet'!$B$13,Paramètres!$A$1:$I$89,5,0)</f>
        <v>6.7984728957526396E-14</v>
      </c>
      <c r="CV132" s="13">
        <f t="shared" si="95"/>
        <v>1.0682447123141398E-12</v>
      </c>
      <c r="CW132" s="20">
        <f t="shared" ref="CW132:CW153" si="121">(CU132+CV132)*0.475*44/12</f>
        <v>1.978932943548152E-12</v>
      </c>
      <c r="CX132" s="59">
        <f t="shared" ref="CX132:CX195" si="122">CW132+(CO132+CP132)*44/12</f>
        <v>283.74392866106734</v>
      </c>
      <c r="CY132" s="59">
        <f ca="1">AVERAGE(OFFSET($CX$3,0,0,'Données projet'!$E$13+1,1))-AVERAGE(OFFSET($H$3,0,0,'Données projet'!$E$13+1,1))</f>
        <v>318.50474972254085</v>
      </c>
      <c r="CZ132" s="59">
        <f t="shared" si="96"/>
        <v>326.45858332753562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35.41167864918539</v>
      </c>
      <c r="DG132" s="21">
        <f>EXP(-LN(2)/25)*DG131+(1-EXP(-LN(2)/25))/(LN(2)/25)*Calculateur!DB132*Calculateur!DD132*VLOOKUP('Données projet'!$B$13,Paramètres!$A$1:$I$89,3,0)*0.475*44/12</f>
        <v>7.1509869993695352</v>
      </c>
      <c r="DH132" s="21">
        <f>EXP(-LN(2)/2)*DH131+(1-EXP(-LN(2)/2))/(LN(2)/2)*DB132*DE132*VLOOKUP('Données projet'!$B$13,Paramètres!$A$1:$I$89,3,0)*0.475*44/12</f>
        <v>2.4679549288774549E-9</v>
      </c>
      <c r="DI132" s="22">
        <f t="shared" ref="DI132:DI153" si="123">SUM(DF132:DH132)</f>
        <v>42.562665651022883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3">
        <f>'Scénario référence'!$B$16*5+'Scénario référence'!$B$17*0+'Scénario référence'!$B$18*5</f>
        <v>5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67">
        <f t="shared" si="110"/>
        <v>183.33333333333334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5.6843418860808015E-14</v>
      </c>
      <c r="O133" s="13">
        <f>N133*VLOOKUP('Données projet'!$B$9,Paramètres!$A$1:$I$89,3,0)*VLOOKUP('Données projet'!$B$9,Paramètres!$A$1:$I$89,5,0)</f>
        <v>5.1431925385259088E-14</v>
      </c>
      <c r="P133" s="13">
        <f t="shared" ref="P133:P196" si="141">EXP(-1.0587+0.8836*LN(O133)+0.284)</f>
        <v>8.3482866290946129E-13</v>
      </c>
      <c r="Q133" s="20">
        <f t="shared" si="108"/>
        <v>1.5435705246133045E-12</v>
      </c>
      <c r="R133" s="59">
        <f t="shared" si="109"/>
        <v>283.91028339343364</v>
      </c>
      <c r="S133" s="59">
        <f ca="1">AVERAGE(OFFSET($R$3,0,0,'Données projet'!$E$9+1,1))-AVERAGE(OFFSET($H$3,0,0,'Données projet'!$E$9+1,1))</f>
        <v>214.60547318405733</v>
      </c>
      <c r="T133" s="59">
        <f t="shared" ref="T133:T196" si="142">$T$3</f>
        <v>306.35874106546646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2.8994096790487398</v>
      </c>
      <c r="AA133" s="21">
        <f>EXP(-LN(2)/25)*AA132+(1-EXP(-LN(2)/25))/(LN(2)/25)*Calculateur!V133*Calculateur!X133*VLOOKUP('Données projet'!$B$9,Paramètres!$A$1:$I$89,3,0)*0.475*44/12</f>
        <v>1.2520768734203995</v>
      </c>
      <c r="AB133" s="21">
        <f>EXP(-LN(2)/2)*AB132+(1-EXP(-LN(2)/2))/(LN(2)/2)*V133*Y133*VLOOKUP('Données projet'!$B$9,Paramètres!$A$1:$I$89,3,0)*0.475*44/12</f>
        <v>2.2172160401840672E-12</v>
      </c>
      <c r="AC133" s="22">
        <f t="shared" si="111"/>
        <v>4.151486552471356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9.0229999999999961</v>
      </c>
      <c r="AI133" s="13">
        <f>IF('Données projet'!$A$62&gt;35,AI132+AH133-AQ132,IF(A133&lt;'Données projet'!$A$62,$AF$205^A133,IF(A133='Données projet'!$A$62,'Données projet'!$B$62,AI132+AH133-AQ132)))</f>
        <v>448.18800000000078</v>
      </c>
      <c r="AJ133" s="13">
        <f>AI133*VLOOKUP('Données projet'!$B$10,Paramètres!$A$1:$I$89,3,0)*VLOOKUP('Données projet'!$B$10,Paramètres!$A$1:$I$89,5,0)</f>
        <v>454.46263200000084</v>
      </c>
      <c r="AK133" s="13">
        <f t="shared" ref="AK133:AK153" si="143">EXP(-1.0587+0.8836*LN(AJ133)+0.284)</f>
        <v>102.73477074715666</v>
      </c>
      <c r="AL133" s="20">
        <f t="shared" si="112"/>
        <v>970.45214311796599</v>
      </c>
      <c r="AM133" s="59">
        <f t="shared" si="113"/>
        <v>1254.3624265113981</v>
      </c>
      <c r="AN133" s="59">
        <f ca="1">AVERAGE(OFFSET($AM$3,0,0,'Données projet'!$E$10+1,1))-AVERAGE(OFFSET($H$3,0,0,'Données projet'!$E$10+1,1))</f>
        <v>752.45542076695506</v>
      </c>
      <c r="AO133" s="59">
        <f t="shared" ref="AO133:AO196" si="144">$AO$3</f>
        <v>329.70629768420724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38.424954350074913</v>
      </c>
      <c r="AV133" s="21">
        <f>EXP(-LN(2)/25)*AV132+(1-EXP(-LN(2)/25))/(LN(2)/25)*Calculateur!AQ133*Calculateur!AS133*VLOOKUP('Données projet'!$B$10,Paramètres!$A$1:$I$89,3,0)*0.475*44/12</f>
        <v>23.240906259578683</v>
      </c>
      <c r="AW133" s="21">
        <f>EXP(-LN(2)/2)*AW132+(1-EXP(-LN(2)/2))/(LN(2)/2)*AQ133*AT133*VLOOKUP('Données projet'!$B$10,Paramètres!$A$1:$I$89,3,0)*0.475*44/12</f>
        <v>0.71527741797220024</v>
      </c>
      <c r="AX133" s="21">
        <f t="shared" si="114"/>
        <v>62.381138027625795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9.0229999999999961</v>
      </c>
      <c r="BD133" s="12">
        <f>IF('Données projet'!$A$88&gt;35,BD132+BC133-BL132,IF(A133&lt;'Données projet'!$A$88,$BA$205^A133,IF(A133='Données projet'!$A$88,'Données projet'!$B$88,BD132+BC133-BL132)))</f>
        <v>448.18800000000078</v>
      </c>
      <c r="BE133" s="13">
        <f>BD133*VLOOKUP('Données projet'!$B$11,Paramètres!$A$1:$I$89,3,0)*VLOOKUP('Données projet'!$B$11,Paramètres!$A$1:$I$89,5,0)</f>
        <v>405.52050240000068</v>
      </c>
      <c r="BF133" s="13">
        <f t="shared" ref="BF133:BF153" si="145">EXP(-1.0587+0.8836*LN(BE133)+0.284)</f>
        <v>92.894967969753338</v>
      </c>
      <c r="BG133" s="20">
        <f t="shared" si="115"/>
        <v>868.07361089398819</v>
      </c>
      <c r="BH133" s="59">
        <f t="shared" si="116"/>
        <v>1151.9838942874203</v>
      </c>
      <c r="BI133" s="59">
        <f ca="1">AVERAGE(OFFSET($BH$3,0,0,'Données projet'!$E$11+1,1))-AVERAGE(OFFSET($H$3,0,0,'Données projet'!$E$11+1,1))</f>
        <v>681.47578137804555</v>
      </c>
      <c r="BJ133" s="59">
        <f t="shared" ref="BJ133:BJ196" si="146">$BJ$3</f>
        <v>300.88511065995885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34.286882343143766</v>
      </c>
      <c r="BQ133" s="21">
        <f>EXP(-LN(2)/25)*BQ132+(1-EXP(-LN(2)/25))/(LN(2)/25)*Calculateur!BL133*Calculateur!BN133*VLOOKUP('Données projet'!$B$11,Paramètres!$A$1:$I$89,3,0)*0.475*44/12</f>
        <v>20.738039431624053</v>
      </c>
      <c r="BR133" s="21">
        <f>EXP(-LN(2)/2)*BR132+(1-EXP(-LN(2)/2))/(LN(2)/2)*BL133*BO133*VLOOKUP('Données projet'!$B$11,Paramètres!$A$1:$I$89,3,0)*0.475*44/12</f>
        <v>0.638247542190579</v>
      </c>
      <c r="BS133" s="22">
        <f t="shared" si="117"/>
        <v>55.663169316958395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2.2737367544323206E-13</v>
      </c>
      <c r="BZ133" s="13">
        <f>BY133*VLOOKUP('Données projet'!$B$12,Paramètres!$A$1:$I$89,3,0)*VLOOKUP('Données projet'!$B$12,Paramètres!$A$1:$I$89,5,0)</f>
        <v>1.5252226148732008E-13</v>
      </c>
      <c r="CA133" s="13">
        <f t="shared" ref="CA133:CA153" si="147">EXP(-1.0587+0.8836*LN(BZ133)+0.284)</f>
        <v>2.1814502464536512E-12</v>
      </c>
      <c r="CB133" s="20">
        <f t="shared" si="118"/>
        <v>4.0650021179971913E-12</v>
      </c>
      <c r="CC133" s="59">
        <f t="shared" si="119"/>
        <v>283.9102833934362</v>
      </c>
      <c r="CD133" s="59">
        <f ca="1">AVERAGE(OFFSET($CC$3,0,0,'Données projet'!$E$12+1,1))-AVERAGE(OFFSET($H$3,0,0,'Données projet'!$E$12+1,1))</f>
        <v>335.73816489539837</v>
      </c>
      <c r="CE133" s="59">
        <f t="shared" ref="CE133:CE196" si="148">$CE$3</f>
        <v>254.09787950201044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25.208409900246274</v>
      </c>
      <c r="CL133" s="21">
        <f>EXP(-LN(2)/25)*CL132+(1-EXP(-LN(2)/25))/(LN(2)/25)*Calculateur!CG133*Calculateur!CI133*VLOOKUP('Données projet'!$B$12,Paramètres!$A$1:$I$89,3,0)*0.475*44/12</f>
        <v>21.775610860512174</v>
      </c>
      <c r="CM133" s="21">
        <f>EXP(-LN(2)/2)*CM132+(1-EXP(-LN(2)/2))/(LN(2)/2)*CG133*CJ133*VLOOKUP('Données projet'!$B$12,Paramètres!$A$1:$I$89,3,0)*0.475*44/12</f>
        <v>4.7808237869638393E-2</v>
      </c>
      <c r="CN133" s="22">
        <f t="shared" si="120"/>
        <v>47.031828998628086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1.1368683772161603E-13</v>
      </c>
      <c r="CU133" s="17">
        <f>CT133*VLOOKUP('Données projet'!$B$13,Paramètres!$A$1:$I$89,3,0)*VLOOKUP('Données projet'!$B$13,Paramètres!$A$1:$I$89,5,0)</f>
        <v>6.7984728957526396E-14</v>
      </c>
      <c r="CV133" s="13">
        <f t="shared" ref="CV133:CV153" si="149">EXP(-1.0587+0.8836*LN(CU133)+0.284)</f>
        <v>1.0682447123141398E-12</v>
      </c>
      <c r="CW133" s="20">
        <f t="shared" si="121"/>
        <v>1.978932943548152E-12</v>
      </c>
      <c r="CX133" s="59">
        <f t="shared" si="122"/>
        <v>283.9102833934341</v>
      </c>
      <c r="CY133" s="59">
        <f ca="1">AVERAGE(OFFSET($CX$3,0,0,'Données projet'!$E$13+1,1))-AVERAGE(OFFSET($H$3,0,0,'Données projet'!$E$13+1,1))</f>
        <v>318.50474972254085</v>
      </c>
      <c r="CZ133" s="59">
        <f t="shared" ref="CZ133:CZ196" si="150">$CZ$3</f>
        <v>326.45858332753562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34.71727722986612</v>
      </c>
      <c r="DG133" s="21">
        <f>EXP(-LN(2)/25)*DG132+(1-EXP(-LN(2)/25))/(LN(2)/25)*Calculateur!DB133*Calculateur!DD133*VLOOKUP('Données projet'!$B$13,Paramètres!$A$1:$I$89,3,0)*0.475*44/12</f>
        <v>6.9554428838177129</v>
      </c>
      <c r="DH133" s="21">
        <f>EXP(-LN(2)/2)*DH132+(1-EXP(-LN(2)/2))/(LN(2)/2)*DB133*DE133*VLOOKUP('Données projet'!$B$13,Paramètres!$A$1:$I$89,3,0)*0.475*44/12</f>
        <v>1.745107665872012E-9</v>
      </c>
      <c r="DI133" s="22">
        <f t="shared" si="123"/>
        <v>41.672720115428938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3">
        <f>'Scénario référence'!$B$16*5+'Scénario référence'!$B$17*0+'Scénario référence'!$B$18*5</f>
        <v>5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67">
        <f t="shared" si="110"/>
        <v>183.33333333333334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5.6843418860808015E-14</v>
      </c>
      <c r="O134" s="13">
        <f>N134*VLOOKUP('Données projet'!$B$9,Paramètres!$A$1:$I$89,3,0)*VLOOKUP('Données projet'!$B$9,Paramètres!$A$1:$I$89,5,0)</f>
        <v>5.1431925385259088E-14</v>
      </c>
      <c r="P134" s="13">
        <f t="shared" si="141"/>
        <v>8.3482866290946129E-13</v>
      </c>
      <c r="Q134" s="20">
        <f t="shared" si="108"/>
        <v>1.5435705246133045E-12</v>
      </c>
      <c r="R134" s="59">
        <f t="shared" si="109"/>
        <v>284.07375224310726</v>
      </c>
      <c r="S134" s="59">
        <f ca="1">AVERAGE(OFFSET($R$3,0,0,'Données projet'!$E$9+1,1))-AVERAGE(OFFSET($H$3,0,0,'Données projet'!$E$9+1,1))</f>
        <v>214.60547318405733</v>
      </c>
      <c r="T134" s="59">
        <f t="shared" si="142"/>
        <v>306.35874106546646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2.8425540237078768</v>
      </c>
      <c r="AA134" s="21">
        <f>EXP(-LN(2)/25)*AA133+(1-EXP(-LN(2)/25))/(LN(2)/25)*Calculateur!V134*Calculateur!X134*VLOOKUP('Données projet'!$B$9,Paramètres!$A$1:$I$89,3,0)*0.475*44/12</f>
        <v>1.2178387654728575</v>
      </c>
      <c r="AB134" s="21">
        <f>EXP(-LN(2)/2)*AB133+(1-EXP(-LN(2)/2))/(LN(2)/2)*V134*Y134*VLOOKUP('Données projet'!$B$9,Paramètres!$A$1:$I$89,3,0)*0.475*44/12</f>
        <v>1.5678084973697386E-12</v>
      </c>
      <c r="AC134" s="22">
        <f t="shared" si="111"/>
        <v>4.060392789182302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9.0229999999999961</v>
      </c>
      <c r="AI134" s="13">
        <f>IF('Données projet'!$A$62&gt;35,AI133+AH134-AQ133,IF(A134&lt;'Données projet'!$A$62,$AF$205^A134,IF(A134='Données projet'!$A$62,'Données projet'!$B$62,AI133+AH134-AQ133)))</f>
        <v>457.21100000000081</v>
      </c>
      <c r="AJ134" s="13">
        <f>AI134*VLOOKUP('Données projet'!$B$10,Paramètres!$A$1:$I$89,3,0)*VLOOKUP('Données projet'!$B$10,Paramètres!$A$1:$I$89,5,0)</f>
        <v>463.61195400000088</v>
      </c>
      <c r="AK134" s="13">
        <f t="shared" si="143"/>
        <v>104.56017271740512</v>
      </c>
      <c r="AL134" s="20">
        <f t="shared" si="112"/>
        <v>989.56645403281527</v>
      </c>
      <c r="AM134" s="59">
        <f t="shared" si="113"/>
        <v>1273.6402062759209</v>
      </c>
      <c r="AN134" s="59">
        <f ca="1">AVERAGE(OFFSET($AM$3,0,0,'Données projet'!$E$10+1,1))-AVERAGE(OFFSET($H$3,0,0,'Données projet'!$E$10+1,1))</f>
        <v>752.45542076695506</v>
      </c>
      <c r="AO134" s="59">
        <f t="shared" si="144"/>
        <v>329.70629768420724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37.671464432177892</v>
      </c>
      <c r="AV134" s="21">
        <f>EXP(-LN(2)/25)*AV133+(1-EXP(-LN(2)/25))/(LN(2)/25)*Calculateur!AQ134*Calculateur!AS134*VLOOKUP('Données projet'!$B$10,Paramètres!$A$1:$I$89,3,0)*0.475*44/12</f>
        <v>22.60538245572436</v>
      </c>
      <c r="AW134" s="21">
        <f>EXP(-LN(2)/2)*AW133+(1-EXP(-LN(2)/2))/(LN(2)/2)*AQ134*AT134*VLOOKUP('Données projet'!$B$10,Paramètres!$A$1:$I$89,3,0)*0.475*44/12</f>
        <v>0.50577751267774729</v>
      </c>
      <c r="AX134" s="21">
        <f t="shared" si="114"/>
        <v>60.782624400579998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9.0229999999999961</v>
      </c>
      <c r="BD134" s="12">
        <f>IF('Données projet'!$A$88&gt;35,BD133+BC134-BL133,IF(A134&lt;'Données projet'!$A$88,$BA$205^A134,IF(A134='Données projet'!$A$88,'Données projet'!$B$88,BD133+BC134-BL133)))</f>
        <v>457.21100000000081</v>
      </c>
      <c r="BE134" s="13">
        <f>BD134*VLOOKUP('Données projet'!$B$11,Paramètres!$A$1:$I$89,3,0)*VLOOKUP('Données projet'!$B$11,Paramètres!$A$1:$I$89,5,0)</f>
        <v>413.68451280000073</v>
      </c>
      <c r="BF134" s="13">
        <f t="shared" si="145"/>
        <v>94.545535312483779</v>
      </c>
      <c r="BG134" s="20">
        <f t="shared" si="115"/>
        <v>885.16733379591051</v>
      </c>
      <c r="BH134" s="59">
        <f t="shared" si="116"/>
        <v>1169.2410860390162</v>
      </c>
      <c r="BI134" s="59">
        <f ca="1">AVERAGE(OFFSET($BH$3,0,0,'Données projet'!$E$11+1,1))-AVERAGE(OFFSET($H$3,0,0,'Données projet'!$E$11+1,1))</f>
        <v>681.47578137804555</v>
      </c>
      <c r="BJ134" s="59">
        <f t="shared" si="146"/>
        <v>300.88511065995885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33.614537493327965</v>
      </c>
      <c r="BQ134" s="21">
        <f>EXP(-LN(2)/25)*BQ133+(1-EXP(-LN(2)/25))/(LN(2)/25)*Calculateur!BL134*Calculateur!BN134*VLOOKUP('Données projet'!$B$11,Paramètres!$A$1:$I$89,3,0)*0.475*44/12</f>
        <v>20.170956652800196</v>
      </c>
      <c r="BR134" s="21">
        <f>EXP(-LN(2)/2)*BR133+(1-EXP(-LN(2)/2))/(LN(2)/2)*BL134*BO134*VLOOKUP('Données projet'!$B$11,Paramètres!$A$1:$I$89,3,0)*0.475*44/12</f>
        <v>0.45130916515860553</v>
      </c>
      <c r="BS134" s="22">
        <f t="shared" si="117"/>
        <v>54.236803311286764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2.2737367544323206E-13</v>
      </c>
      <c r="BZ134" s="13">
        <f>BY134*VLOOKUP('Données projet'!$B$12,Paramètres!$A$1:$I$89,3,0)*VLOOKUP('Données projet'!$B$12,Paramètres!$A$1:$I$89,5,0)</f>
        <v>1.5252226148732008E-13</v>
      </c>
      <c r="CA134" s="13">
        <f t="shared" si="147"/>
        <v>2.1814502464536512E-12</v>
      </c>
      <c r="CB134" s="20">
        <f t="shared" si="118"/>
        <v>4.0650021179971913E-12</v>
      </c>
      <c r="CC134" s="59">
        <f t="shared" si="119"/>
        <v>284.07375224310982</v>
      </c>
      <c r="CD134" s="59">
        <f ca="1">AVERAGE(OFFSET($CC$3,0,0,'Données projet'!$E$12+1,1))-AVERAGE(OFFSET($H$3,0,0,'Données projet'!$E$12+1,1))</f>
        <v>335.73816489539837</v>
      </c>
      <c r="CE134" s="59">
        <f t="shared" si="148"/>
        <v>254.09787950201044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24.714088357714267</v>
      </c>
      <c r="CL134" s="21">
        <f>EXP(-LN(2)/25)*CL133+(1-EXP(-LN(2)/25))/(LN(2)/25)*Calculateur!CG134*Calculateur!CI134*VLOOKUP('Données projet'!$B$12,Paramètres!$A$1:$I$89,3,0)*0.475*44/12</f>
        <v>21.180155636401864</v>
      </c>
      <c r="CM134" s="21">
        <f>EXP(-LN(2)/2)*CM133+(1-EXP(-LN(2)/2))/(LN(2)/2)*CG134*CJ134*VLOOKUP('Données projet'!$B$12,Paramètres!$A$1:$I$89,3,0)*0.475*44/12</f>
        <v>3.3805529194200809E-2</v>
      </c>
      <c r="CN134" s="22">
        <f t="shared" si="120"/>
        <v>45.928049523310335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1.1368683772161603E-13</v>
      </c>
      <c r="CU134" s="17">
        <f>CT134*VLOOKUP('Données projet'!$B$13,Paramètres!$A$1:$I$89,3,0)*VLOOKUP('Données projet'!$B$13,Paramètres!$A$1:$I$89,5,0)</f>
        <v>6.7984728957526396E-14</v>
      </c>
      <c r="CV134" s="13">
        <f t="shared" si="149"/>
        <v>1.0682447123141398E-12</v>
      </c>
      <c r="CW134" s="20">
        <f t="shared" si="121"/>
        <v>1.978932943548152E-12</v>
      </c>
      <c r="CX134" s="59">
        <f t="shared" si="122"/>
        <v>284.07375224310772</v>
      </c>
      <c r="CY134" s="59">
        <f ca="1">AVERAGE(OFFSET($CX$3,0,0,'Données projet'!$E$13+1,1))-AVERAGE(OFFSET($H$3,0,0,'Données projet'!$E$13+1,1))</f>
        <v>318.50474972254085</v>
      </c>
      <c r="CZ134" s="59">
        <f t="shared" si="150"/>
        <v>326.45858332753562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34.036492598836652</v>
      </c>
      <c r="DG134" s="21">
        <f>EXP(-LN(2)/25)*DG133+(1-EXP(-LN(2)/25))/(LN(2)/25)*Calculateur!DB134*Calculateur!DD134*VLOOKUP('Données projet'!$B$13,Paramètres!$A$1:$I$89,3,0)*0.475*44/12</f>
        <v>6.765245932388873</v>
      </c>
      <c r="DH134" s="21">
        <f>EXP(-LN(2)/2)*DH133+(1-EXP(-LN(2)/2))/(LN(2)/2)*DB134*DE134*VLOOKUP('Données projet'!$B$13,Paramètres!$A$1:$I$89,3,0)*0.475*44/12</f>
        <v>1.2339774644387274E-9</v>
      </c>
      <c r="DI134" s="22">
        <f t="shared" si="123"/>
        <v>40.801738532459503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3">
        <f>'Scénario référence'!$B$16*5+'Scénario référence'!$B$17*0+'Scénario référence'!$B$18*5</f>
        <v>5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67">
        <f t="shared" si="110"/>
        <v>183.33333333333334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5.6843418860808015E-14</v>
      </c>
      <c r="O135" s="13">
        <f>N135*VLOOKUP('Données projet'!$B$9,Paramètres!$A$1:$I$89,3,0)*VLOOKUP('Données projet'!$B$9,Paramètres!$A$1:$I$89,5,0)</f>
        <v>5.1431925385259088E-14</v>
      </c>
      <c r="P135" s="13">
        <f t="shared" si="141"/>
        <v>8.3482866290946129E-13</v>
      </c>
      <c r="Q135" s="20">
        <f t="shared" si="108"/>
        <v>1.5435705246133045E-12</v>
      </c>
      <c r="R135" s="59">
        <f t="shared" si="109"/>
        <v>284.2343852737007</v>
      </c>
      <c r="S135" s="59">
        <f ca="1">AVERAGE(OFFSET($R$3,0,0,'Données projet'!$E$9+1,1))-AVERAGE(OFFSET($H$3,0,0,'Données projet'!$E$9+1,1))</f>
        <v>214.60547318405733</v>
      </c>
      <c r="T135" s="59">
        <f t="shared" si="142"/>
        <v>306.35874106546646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2.7868132730897224</v>
      </c>
      <c r="AA135" s="21">
        <f>EXP(-LN(2)/25)*AA134+(1-EXP(-LN(2)/25))/(LN(2)/25)*Calculateur!V135*Calculateur!X135*VLOOKUP('Données projet'!$B$9,Paramètres!$A$1:$I$89,3,0)*0.475*44/12</f>
        <v>1.1845369003876449</v>
      </c>
      <c r="AB135" s="21">
        <f>EXP(-LN(2)/2)*AB134+(1-EXP(-LN(2)/2))/(LN(2)/2)*V135*Y135*VLOOKUP('Données projet'!$B$9,Paramètres!$A$1:$I$89,3,0)*0.475*44/12</f>
        <v>1.1086080200920336E-12</v>
      </c>
      <c r="AC135" s="22">
        <f t="shared" si="111"/>
        <v>3.9713501734784757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9.0229999999999961</v>
      </c>
      <c r="AI135" s="13">
        <f>IF('Données projet'!$A$62&gt;35,AI134+AH135-AQ134,IF(A135&lt;'Données projet'!$A$62,$AF$205^A135,IF(A135='Données projet'!$A$62,'Données projet'!$B$62,AI134+AH135-AQ134)))</f>
        <v>466.23400000000083</v>
      </c>
      <c r="AJ135" s="13">
        <f>AI135*VLOOKUP('Données projet'!$B$10,Paramètres!$A$1:$I$89,3,0)*VLOOKUP('Données projet'!$B$10,Paramètres!$A$1:$I$89,5,0)</f>
        <v>472.76127600000092</v>
      </c>
      <c r="AK135" s="13">
        <f t="shared" si="143"/>
        <v>106.38138601076099</v>
      </c>
      <c r="AL135" s="20">
        <f t="shared" si="112"/>
        <v>1008.6734696687436</v>
      </c>
      <c r="AM135" s="59">
        <f t="shared" si="113"/>
        <v>1292.9078549424428</v>
      </c>
      <c r="AN135" s="59">
        <f ca="1">AVERAGE(OFFSET($AM$3,0,0,'Données projet'!$E$10+1,1))-AVERAGE(OFFSET($H$3,0,0,'Données projet'!$E$10+1,1))</f>
        <v>752.45542076695506</v>
      </c>
      <c r="AO135" s="59">
        <f t="shared" si="144"/>
        <v>329.70629768420724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36.932749991987365</v>
      </c>
      <c r="AV135" s="21">
        <f>EXP(-LN(2)/25)*AV134+(1-EXP(-LN(2)/25))/(LN(2)/25)*Calculateur!AQ135*Calculateur!AS135*VLOOKUP('Données projet'!$B$10,Paramètres!$A$1:$I$89,3,0)*0.475*44/12</f>
        <v>21.987237083707178</v>
      </c>
      <c r="AW135" s="21">
        <f>EXP(-LN(2)/2)*AW134+(1-EXP(-LN(2)/2))/(LN(2)/2)*AQ135*AT135*VLOOKUP('Données projet'!$B$10,Paramètres!$A$1:$I$89,3,0)*0.475*44/12</f>
        <v>0.35763870898610012</v>
      </c>
      <c r="AX135" s="21">
        <f t="shared" si="114"/>
        <v>59.277625784680644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9.0229999999999961</v>
      </c>
      <c r="BD135" s="12">
        <f>IF('Données projet'!$A$88&gt;35,BD134+BC135-BL134,IF(A135&lt;'Données projet'!$A$88,$BA$205^A135,IF(A135='Données projet'!$A$88,'Données projet'!$B$88,BD134+BC135-BL134)))</f>
        <v>466.23400000000083</v>
      </c>
      <c r="BE135" s="13">
        <f>BD135*VLOOKUP('Données projet'!$B$11,Paramètres!$A$1:$I$89,3,0)*VLOOKUP('Données projet'!$B$11,Paramètres!$A$1:$I$89,5,0)</f>
        <v>421.84852320000078</v>
      </c>
      <c r="BF135" s="13">
        <f t="shared" si="145"/>
        <v>96.192315164348642</v>
      </c>
      <c r="BG135" s="20">
        <f t="shared" si="115"/>
        <v>902.2544601512418</v>
      </c>
      <c r="BH135" s="59">
        <f t="shared" si="116"/>
        <v>1186.488845424941</v>
      </c>
      <c r="BI135" s="59">
        <f ca="1">AVERAGE(OFFSET($BH$3,0,0,'Données projet'!$E$11+1,1))-AVERAGE(OFFSET($H$3,0,0,'Données projet'!$E$11+1,1))</f>
        <v>681.47578137804555</v>
      </c>
      <c r="BJ135" s="59">
        <f t="shared" si="146"/>
        <v>300.88511065995885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32.955376915927189</v>
      </c>
      <c r="BQ135" s="21">
        <f>EXP(-LN(2)/25)*BQ134+(1-EXP(-LN(2)/25))/(LN(2)/25)*Calculateur!BL135*Calculateur!BN135*VLOOKUP('Données projet'!$B$11,Paramètres!$A$1:$I$89,3,0)*0.475*44/12</f>
        <v>19.619380782384866</v>
      </c>
      <c r="BR135" s="21">
        <f>EXP(-LN(2)/2)*BR134+(1-EXP(-LN(2)/2))/(LN(2)/2)*BL135*BO135*VLOOKUP('Données projet'!$B$11,Paramètres!$A$1:$I$89,3,0)*0.475*44/12</f>
        <v>0.31912377109528955</v>
      </c>
      <c r="BS135" s="22">
        <f t="shared" si="117"/>
        <v>52.893881469407347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2.2737367544323206E-13</v>
      </c>
      <c r="BZ135" s="13">
        <f>BY135*VLOOKUP('Données projet'!$B$12,Paramètres!$A$1:$I$89,3,0)*VLOOKUP('Données projet'!$B$12,Paramètres!$A$1:$I$89,5,0)</f>
        <v>1.5252226148732008E-13</v>
      </c>
      <c r="CA135" s="13">
        <f t="shared" si="147"/>
        <v>2.1814502464536512E-12</v>
      </c>
      <c r="CB135" s="20">
        <f t="shared" si="118"/>
        <v>4.0650021179971913E-12</v>
      </c>
      <c r="CC135" s="59">
        <f t="shared" si="119"/>
        <v>284.23438527370325</v>
      </c>
      <c r="CD135" s="59">
        <f ca="1">AVERAGE(OFFSET($CC$3,0,0,'Données projet'!$E$12+1,1))-AVERAGE(OFFSET($H$3,0,0,'Données projet'!$E$12+1,1))</f>
        <v>335.73816489539837</v>
      </c>
      <c r="CE135" s="59">
        <f t="shared" si="148"/>
        <v>254.09787950201044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24.229460159124944</v>
      </c>
      <c r="CL135" s="21">
        <f>EXP(-LN(2)/25)*CL134+(1-EXP(-LN(2)/25))/(LN(2)/25)*Calculateur!CG135*Calculateur!CI135*VLOOKUP('Données projet'!$B$12,Paramètres!$A$1:$I$89,3,0)*0.475*44/12</f>
        <v>20.600983166708478</v>
      </c>
      <c r="CM135" s="21">
        <f>EXP(-LN(2)/2)*CM134+(1-EXP(-LN(2)/2))/(LN(2)/2)*CG135*CJ135*VLOOKUP('Données projet'!$B$12,Paramètres!$A$1:$I$89,3,0)*0.475*44/12</f>
        <v>2.3904118934819196E-2</v>
      </c>
      <c r="CN135" s="22">
        <f t="shared" si="120"/>
        <v>44.854347444768237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1.1368683772161603E-13</v>
      </c>
      <c r="CU135" s="17">
        <f>CT135*VLOOKUP('Données projet'!$B$13,Paramètres!$A$1:$I$89,3,0)*VLOOKUP('Données projet'!$B$13,Paramètres!$A$1:$I$89,5,0)</f>
        <v>6.7984728957526396E-14</v>
      </c>
      <c r="CV135" s="13">
        <f t="shared" si="149"/>
        <v>1.0682447123141398E-12</v>
      </c>
      <c r="CW135" s="20">
        <f t="shared" si="121"/>
        <v>1.978932943548152E-12</v>
      </c>
      <c r="CX135" s="59">
        <f t="shared" si="122"/>
        <v>284.23438527370115</v>
      </c>
      <c r="CY135" s="59">
        <f ca="1">AVERAGE(OFFSET($CX$3,0,0,'Données projet'!$E$13+1,1))-AVERAGE(OFFSET($H$3,0,0,'Données projet'!$E$13+1,1))</f>
        <v>318.50474972254085</v>
      </c>
      <c r="CZ135" s="59">
        <f t="shared" si="150"/>
        <v>326.45858332753562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33.369057739184051</v>
      </c>
      <c r="DG135" s="21">
        <f>EXP(-LN(2)/25)*DG134+(1-EXP(-LN(2)/25))/(LN(2)/25)*Calculateur!DB135*Calculateur!DD135*VLOOKUP('Données projet'!$B$13,Paramètres!$A$1:$I$89,3,0)*0.475*44/12</f>
        <v>6.5802499265988779</v>
      </c>
      <c r="DH135" s="21">
        <f>EXP(-LN(2)/2)*DH134+(1-EXP(-LN(2)/2))/(LN(2)/2)*DB135*DE135*VLOOKUP('Données projet'!$B$13,Paramètres!$A$1:$I$89,3,0)*0.475*44/12</f>
        <v>8.7255383293600598E-10</v>
      </c>
      <c r="DI135" s="22">
        <f t="shared" si="123"/>
        <v>39.949307666655478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3">
        <f>'Scénario référence'!$B$16*5+'Scénario référence'!$B$17*0+'Scénario référence'!$B$18*5</f>
        <v>5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67">
        <f t="shared" si="110"/>
        <v>183.33333333333334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5.6843418860808015E-14</v>
      </c>
      <c r="O136" s="13">
        <f>N136*VLOOKUP('Données projet'!$B$9,Paramètres!$A$1:$I$89,3,0)*VLOOKUP('Données projet'!$B$9,Paramètres!$A$1:$I$89,5,0)</f>
        <v>5.1431925385259088E-14</v>
      </c>
      <c r="P136" s="13">
        <f t="shared" si="141"/>
        <v>8.3482866290946129E-13</v>
      </c>
      <c r="Q136" s="20">
        <f t="shared" si="108"/>
        <v>1.5435705246133045E-12</v>
      </c>
      <c r="R136" s="59">
        <f t="shared" si="109"/>
        <v>284.39223168033493</v>
      </c>
      <c r="S136" s="59">
        <f ca="1">AVERAGE(OFFSET($R$3,0,0,'Données projet'!$E$9+1,1))-AVERAGE(OFFSET($H$3,0,0,'Données projet'!$E$9+1,1))</f>
        <v>214.60547318405733</v>
      </c>
      <c r="T136" s="59">
        <f t="shared" si="142"/>
        <v>306.35874106546646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2.7321655645926892</v>
      </c>
      <c r="AA136" s="21">
        <f>EXP(-LN(2)/25)*AA135+(1-EXP(-LN(2)/25))/(LN(2)/25)*Calculateur!V136*Calculateur!X136*VLOOKUP('Données projet'!$B$9,Paramètres!$A$1:$I$89,3,0)*0.475*44/12</f>
        <v>1.1521456765544564</v>
      </c>
      <c r="AB136" s="21">
        <f>EXP(-LN(2)/2)*AB135+(1-EXP(-LN(2)/2))/(LN(2)/2)*V136*Y136*VLOOKUP('Données projet'!$B$9,Paramètres!$A$1:$I$89,3,0)*0.475*44/12</f>
        <v>7.8390424868486931E-13</v>
      </c>
      <c r="AC136" s="22">
        <f t="shared" si="111"/>
        <v>3.8843112411479295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9.0229999999999961</v>
      </c>
      <c r="AI136" s="13">
        <f>IF('Données projet'!$A$62&gt;35,AI135+AH136-AQ135,IF(A136&lt;'Données projet'!$A$62,$AF$205^A136,IF(A136='Données projet'!$A$62,'Données projet'!$B$62,AI135+AH136-AQ135)))</f>
        <v>475.25700000000086</v>
      </c>
      <c r="AJ136" s="13">
        <f>AI136*VLOOKUP('Données projet'!$B$10,Paramètres!$A$1:$I$89,3,0)*VLOOKUP('Données projet'!$B$10,Paramètres!$A$1:$I$89,5,0)</f>
        <v>481.9105980000009</v>
      </c>
      <c r="AK136" s="13">
        <f t="shared" si="143"/>
        <v>108.19850103573877</v>
      </c>
      <c r="AL136" s="20">
        <f t="shared" si="112"/>
        <v>1027.7733474872464</v>
      </c>
      <c r="AM136" s="59">
        <f t="shared" si="113"/>
        <v>1312.1655791675798</v>
      </c>
      <c r="AN136" s="59">
        <f ca="1">AVERAGE(OFFSET($AM$3,0,0,'Données projet'!$E$10+1,1))-AVERAGE(OFFSET($H$3,0,0,'Données projet'!$E$10+1,1))</f>
        <v>752.45542076695506</v>
      </c>
      <c r="AO136" s="59">
        <f t="shared" si="144"/>
        <v>329.70629768420724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36.208521291397652</v>
      </c>
      <c r="AV136" s="21">
        <f>EXP(-LN(2)/25)*AV135+(1-EXP(-LN(2)/25))/(LN(2)/25)*Calculateur!AQ136*Calculateur!AS136*VLOOKUP('Données projet'!$B$10,Paramètres!$A$1:$I$89,3,0)*0.475*44/12</f>
        <v>21.385994929394659</v>
      </c>
      <c r="AW136" s="21">
        <f>EXP(-LN(2)/2)*AW135+(1-EXP(-LN(2)/2))/(LN(2)/2)*AQ136*AT136*VLOOKUP('Données projet'!$B$10,Paramètres!$A$1:$I$89,3,0)*0.475*44/12</f>
        <v>0.25288875633887364</v>
      </c>
      <c r="AX136" s="21">
        <f t="shared" si="114"/>
        <v>57.847404977131191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9.0229999999999961</v>
      </c>
      <c r="BD136" s="12">
        <f>IF('Données projet'!$A$88&gt;35,BD135+BC136-BL135,IF(A136&lt;'Données projet'!$A$88,$BA$205^A136,IF(A136='Données projet'!$A$88,'Données projet'!$B$88,BD135+BC136-BL135)))</f>
        <v>475.25700000000086</v>
      </c>
      <c r="BE136" s="13">
        <f>BD136*VLOOKUP('Données projet'!$B$11,Paramètres!$A$1:$I$89,3,0)*VLOOKUP('Données projet'!$B$11,Paramètres!$A$1:$I$89,5,0)</f>
        <v>430.01253360000078</v>
      </c>
      <c r="BF136" s="13">
        <f t="shared" si="145"/>
        <v>97.835389274652726</v>
      </c>
      <c r="BG136" s="20">
        <f t="shared" si="115"/>
        <v>919.33513234002146</v>
      </c>
      <c r="BH136" s="59">
        <f t="shared" si="116"/>
        <v>1203.7273640203548</v>
      </c>
      <c r="BI136" s="59">
        <f ca="1">AVERAGE(OFFSET($BH$3,0,0,'Données projet'!$E$11+1,1))-AVERAGE(OFFSET($H$3,0,0,'Données projet'!$E$11+1,1))</f>
        <v>681.47578137804555</v>
      </c>
      <c r="BJ136" s="59">
        <f t="shared" si="146"/>
        <v>300.88511065995885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32.309142075400985</v>
      </c>
      <c r="BQ136" s="21">
        <f>EXP(-LN(2)/25)*BQ135+(1-EXP(-LN(2)/25))/(LN(2)/25)*Calculateur!BL136*Calculateur!BN136*VLOOKUP('Données projet'!$B$11,Paramètres!$A$1:$I$89,3,0)*0.475*44/12</f>
        <v>19.082887783152156</v>
      </c>
      <c r="BR136" s="21">
        <f>EXP(-LN(2)/2)*BR135+(1-EXP(-LN(2)/2))/(LN(2)/2)*BL136*BO136*VLOOKUP('Données projet'!$B$11,Paramètres!$A$1:$I$89,3,0)*0.475*44/12</f>
        <v>0.22565458257930279</v>
      </c>
      <c r="BS136" s="22">
        <f t="shared" si="117"/>
        <v>51.617684441132447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2.2737367544323206E-13</v>
      </c>
      <c r="BZ136" s="13">
        <f>BY136*VLOOKUP('Données projet'!$B$12,Paramètres!$A$1:$I$89,3,0)*VLOOKUP('Données projet'!$B$12,Paramètres!$A$1:$I$89,5,0)</f>
        <v>1.5252226148732008E-13</v>
      </c>
      <c r="CA136" s="13">
        <f t="shared" si="147"/>
        <v>2.1814502464536512E-12</v>
      </c>
      <c r="CB136" s="20">
        <f t="shared" si="118"/>
        <v>4.0650021179971913E-12</v>
      </c>
      <c r="CC136" s="59">
        <f t="shared" si="119"/>
        <v>284.39223168033749</v>
      </c>
      <c r="CD136" s="59">
        <f ca="1">AVERAGE(OFFSET($CC$3,0,0,'Données projet'!$E$12+1,1))-AVERAGE(OFFSET($H$3,0,0,'Données projet'!$E$12+1,1))</f>
        <v>335.73816489539837</v>
      </c>
      <c r="CE136" s="59">
        <f t="shared" si="148"/>
        <v>254.09787950201044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23.754335223915945</v>
      </c>
      <c r="CL136" s="21">
        <f>EXP(-LN(2)/25)*CL135+(1-EXP(-LN(2)/25))/(LN(2)/25)*Calculateur!CG136*Calculateur!CI136*VLOOKUP('Données projet'!$B$12,Paramètres!$A$1:$I$89,3,0)*0.475*44/12</f>
        <v>20.037648198656214</v>
      </c>
      <c r="CM136" s="21">
        <f>EXP(-LN(2)/2)*CM135+(1-EXP(-LN(2)/2))/(LN(2)/2)*CG136*CJ136*VLOOKUP('Données projet'!$B$12,Paramètres!$A$1:$I$89,3,0)*0.475*44/12</f>
        <v>1.6902764597100405E-2</v>
      </c>
      <c r="CN136" s="22">
        <f t="shared" si="120"/>
        <v>43.808886187169257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1.1368683772161603E-13</v>
      </c>
      <c r="CU136" s="17">
        <f>CT136*VLOOKUP('Données projet'!$B$13,Paramètres!$A$1:$I$89,3,0)*VLOOKUP('Données projet'!$B$13,Paramètres!$A$1:$I$89,5,0)</f>
        <v>6.7984728957526396E-14</v>
      </c>
      <c r="CV136" s="13">
        <f t="shared" si="149"/>
        <v>1.0682447123141398E-12</v>
      </c>
      <c r="CW136" s="20">
        <f t="shared" si="121"/>
        <v>1.978932943548152E-12</v>
      </c>
      <c r="CX136" s="59">
        <f t="shared" si="122"/>
        <v>284.39223168033539</v>
      </c>
      <c r="CY136" s="59">
        <f ca="1">AVERAGE(OFFSET($CX$3,0,0,'Données projet'!$E$13+1,1))-AVERAGE(OFFSET($H$3,0,0,'Données projet'!$E$13+1,1))</f>
        <v>318.50474972254085</v>
      </c>
      <c r="CZ136" s="59">
        <f t="shared" si="150"/>
        <v>326.45858332753562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32.714710870034168</v>
      </c>
      <c r="DG136" s="21">
        <f>EXP(-LN(2)/25)*DG135+(1-EXP(-LN(2)/25))/(LN(2)/25)*Calculateur!DB136*Calculateur!DD136*VLOOKUP('Données projet'!$B$13,Paramètres!$A$1:$I$89,3,0)*0.475*44/12</f>
        <v>6.4003126463157276</v>
      </c>
      <c r="DH136" s="21">
        <f>EXP(-LN(2)/2)*DH135+(1-EXP(-LN(2)/2))/(LN(2)/2)*DB136*DE136*VLOOKUP('Données projet'!$B$13,Paramètres!$A$1:$I$89,3,0)*0.475*44/12</f>
        <v>6.1698873221936372E-10</v>
      </c>
      <c r="DI136" s="22">
        <f t="shared" si="123"/>
        <v>39.115023516966879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3">
        <f>'Scénario référence'!$B$16*5+'Scénario référence'!$B$17*0+'Scénario référence'!$B$18*5</f>
        <v>5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67">
        <f t="shared" si="110"/>
        <v>183.33333333333334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5.6843418860808015E-14</v>
      </c>
      <c r="O137" s="13">
        <f>N137*VLOOKUP('Données projet'!$B$9,Paramètres!$A$1:$I$89,3,0)*VLOOKUP('Données projet'!$B$9,Paramètres!$A$1:$I$89,5,0)</f>
        <v>5.1431925385259088E-14</v>
      </c>
      <c r="P137" s="13">
        <f t="shared" si="141"/>
        <v>8.3482866290946129E-13</v>
      </c>
      <c r="Q137" s="20">
        <f t="shared" si="108"/>
        <v>1.5435705246133045E-12</v>
      </c>
      <c r="R137" s="59">
        <f t="shared" si="109"/>
        <v>284.54733980470581</v>
      </c>
      <c r="S137" s="59">
        <f ca="1">AVERAGE(OFFSET($R$3,0,0,'Données projet'!$E$9+1,1))-AVERAGE(OFFSET($H$3,0,0,'Données projet'!$E$9+1,1))</f>
        <v>214.60547318405733</v>
      </c>
      <c r="T137" s="59">
        <f t="shared" si="142"/>
        <v>306.35874106546646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2.6785894643274721</v>
      </c>
      <c r="AA137" s="21">
        <f>EXP(-LN(2)/25)*AA136+(1-EXP(-LN(2)/25))/(LN(2)/25)*Calculateur!V137*Calculateur!X137*VLOOKUP('Données projet'!$B$9,Paramètres!$A$1:$I$89,3,0)*0.475*44/12</f>
        <v>1.1206401924403671</v>
      </c>
      <c r="AB137" s="21">
        <f>EXP(-LN(2)/2)*AB136+(1-EXP(-LN(2)/2))/(LN(2)/2)*V137*Y137*VLOOKUP('Données projet'!$B$9,Paramètres!$A$1:$I$89,3,0)*0.475*44/12</f>
        <v>5.5430401004601681E-13</v>
      </c>
      <c r="AC137" s="22">
        <f t="shared" si="111"/>
        <v>3.7992296567683934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>
        <f>VLOOKUP(A137,'Données projet'!$A$61:$I$81,2,0)</f>
        <v>484.28</v>
      </c>
      <c r="AG137" s="12">
        <f>VLOOKUP(A137,'Données projet'!$A$61:$I$81,9,0)</f>
        <v>9.0229999999999961</v>
      </c>
      <c r="AH137" s="12">
        <f t="array" ref="AH137">INDEX(AG:AG,MIN(IF(ISNUMBER(AG137:AG333),ROW(AG137:AG333),"")))</f>
        <v>9.0229999999999961</v>
      </c>
      <c r="AI137" s="13">
        <f>IF('Données projet'!$A$62&gt;35,AI136+AH137-AQ136,IF(A137&lt;'Données projet'!$A$62,$AF$205^A137,IF(A137='Données projet'!$A$62,'Données projet'!$B$62,AI136+AH137-AQ136)))</f>
        <v>484.28000000000088</v>
      </c>
      <c r="AJ137" s="13">
        <f>AI137*VLOOKUP('Données projet'!$B$10,Paramètres!$A$1:$I$89,3,0)*VLOOKUP('Données projet'!$B$10,Paramètres!$A$1:$I$89,5,0)</f>
        <v>491.05992000000094</v>
      </c>
      <c r="AK137" s="13">
        <f t="shared" si="143"/>
        <v>110.01160457151111</v>
      </c>
      <c r="AL137" s="20">
        <f t="shared" si="112"/>
        <v>1046.8662386287169</v>
      </c>
      <c r="AM137" s="59">
        <f t="shared" si="113"/>
        <v>1331.4135784334212</v>
      </c>
      <c r="AN137" s="59">
        <f ca="1">AVERAGE(OFFSET($AM$3,0,0,'Données projet'!$E$10+1,1))-AVERAGE(OFFSET($H$3,0,0,'Données projet'!$E$10+1,1))</f>
        <v>752.45542076695506</v>
      </c>
      <c r="AO137" s="59">
        <f t="shared" si="144"/>
        <v>329.70629768420724</v>
      </c>
      <c r="AP137" s="15">
        <f>IF(ISNA(VLOOKUP(A137,'Données projet'!$A$61:$I$81,3,0)),0,VLOOKUP(A137,'Données projet'!$A$61:$I$81,3,0))</f>
        <v>11</v>
      </c>
      <c r="AQ137" s="15">
        <f>IF(ISNA(VLOOKUP(A137,'Données projet'!$A$61:$I$81,4,0)),0,VLOOKUP(A137,'Données projet'!$A$61:$I$81,4,0))</f>
        <v>60.779999999999973</v>
      </c>
      <c r="AR137" s="16">
        <f>IF(ISNA(VLOOKUP(A137,'Données projet'!$A$61:$I$81,5,0)),0%,VLOOKUP(A137,'Données projet'!$A$61:$I$81,5,0)*VLOOKUP('Données projet'!$B$10,Paramètres!$A$1:$I$89,7,0))</f>
        <v>0.215</v>
      </c>
      <c r="AS137" s="16">
        <f>IF(ISNA(VLOOKUP(A137,'Données projet'!$A$61:$I$81,6,0)),0%,VLOOKUP(A137,'Données projet'!$A$61:$I$81,6,0)*VLOOKUP('Données projet'!$B$10,Paramètres!$A$1:$I$89,7,0))</f>
        <v>8.6000000000000007E-2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50.146692926414062</v>
      </c>
      <c r="AV137" s="21">
        <f>EXP(-LN(2)/25)*AV136+(1-EXP(-LN(2)/25))/(LN(2)/25)*Calculateur!AQ137*Calculateur!AS137*VLOOKUP('Données projet'!$B$10,Paramètres!$A$1:$I$89,3,0)*0.475*44/12</f>
        <v>26.637403018620649</v>
      </c>
      <c r="AW137" s="21">
        <f>EXP(-LN(2)/2)*AW136+(1-EXP(-LN(2)/2))/(LN(2)/2)*AQ137*AT137*VLOOKUP('Données projet'!$B$10,Paramètres!$A$1:$I$89,3,0)*0.475*44/12</f>
        <v>0.17881935449305006</v>
      </c>
      <c r="AX137" s="21">
        <f t="shared" si="114"/>
        <v>76.962915299527751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>
        <f>VLOOKUP(A137,'Données projet'!$A$87:$I$107,2,0)</f>
        <v>484.28</v>
      </c>
      <c r="BB137" s="12">
        <f>VLOOKUP(A137,'Données projet'!$A$87:$I$107,9,0)</f>
        <v>9.0229999999999961</v>
      </c>
      <c r="BC137" s="12">
        <f t="array" ref="BC137">INDEX(BB:BB,MIN(IF(ISNUMBER(BB137:BB333),ROW(BB137:BB333),"")))</f>
        <v>9.0229999999999961</v>
      </c>
      <c r="BD137" s="12">
        <f>IF('Données projet'!$A$88&gt;35,BD136+BC137-BL136,IF(A137&lt;'Données projet'!$A$88,$BA$205^A137,IF(A137='Données projet'!$A$88,'Données projet'!$B$88,BD136+BC137-BL136)))</f>
        <v>484.28000000000088</v>
      </c>
      <c r="BE137" s="13">
        <f>BD137*VLOOKUP('Données projet'!$B$11,Paramètres!$A$1:$I$89,3,0)*VLOOKUP('Données projet'!$B$11,Paramètres!$A$1:$I$89,5,0)</f>
        <v>438.17654400000077</v>
      </c>
      <c r="BF137" s="13">
        <f t="shared" si="145"/>
        <v>99.474836110972063</v>
      </c>
      <c r="BG137" s="20">
        <f t="shared" si="115"/>
        <v>936.40948702661092</v>
      </c>
      <c r="BH137" s="59">
        <f t="shared" si="116"/>
        <v>1220.9568268313151</v>
      </c>
      <c r="BI137" s="59">
        <f ca="1">AVERAGE(OFFSET($BH$3,0,0,'Données projet'!$E$11+1,1))-AVERAGE(OFFSET($H$3,0,0,'Données projet'!$E$11+1,1))</f>
        <v>681.47578137804555</v>
      </c>
      <c r="BJ137" s="59">
        <f t="shared" si="146"/>
        <v>300.88511065995885</v>
      </c>
      <c r="BK137" s="15">
        <f>IF(ISNA(VLOOKUP(A137,'Données projet'!$A$87:$I$107,3,0)),0,VLOOKUP(A137,'Données projet'!$A$87:$I$107,3,0))</f>
        <v>11</v>
      </c>
      <c r="BL137" s="15">
        <f>IF(ISNA(VLOOKUP(A137,'Données projet'!$A$87:$I$107,4,0)),0,VLOOKUP(A137,'Données projet'!$A$87:$I$107,4,0))</f>
        <v>60.779999999999973</v>
      </c>
      <c r="BM137" s="16">
        <f>IF(ISNA(VLOOKUP(A137,'Données projet'!$A$87:$I$107,5,0)),0%,VLOOKUP(A137,'Données projet'!$A$87:$I$107,5,0)*VLOOKUP('Données projet'!$B$11,Paramètres!$A$1:$I$89,7,0))</f>
        <v>0.215</v>
      </c>
      <c r="BN137" s="16">
        <f>IF(ISNA(VLOOKUP(A137,'Données projet'!$A$87:$I$107,6,0)),0%,VLOOKUP(A137,'Données projet'!$A$87:$I$107,6,0)*VLOOKUP('Données projet'!$B$11,Paramètres!$A$1:$I$89,7,0))</f>
        <v>8.6000000000000007E-2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44.746279842031008</v>
      </c>
      <c r="BQ137" s="21">
        <f>EXP(-LN(2)/25)*BQ136+(1-EXP(-LN(2)/25))/(LN(2)/25)*Calculateur!BL137*Calculateur!BN137*VLOOKUP('Données projet'!$B$11,Paramètres!$A$1:$I$89,3,0)*0.475*44/12</f>
        <v>23.768759616615345</v>
      </c>
      <c r="BR137" s="21">
        <f>EXP(-LN(2)/2)*BR136+(1-EXP(-LN(2)/2))/(LN(2)/2)*BL137*BO137*VLOOKUP('Données projet'!$B$11,Paramètres!$A$1:$I$89,3,0)*0.475*44/12</f>
        <v>0.15956188554764478</v>
      </c>
      <c r="BS137" s="22">
        <f t="shared" si="117"/>
        <v>68.674601344194002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2.2737367544323206E-13</v>
      </c>
      <c r="BZ137" s="13">
        <f>BY137*VLOOKUP('Données projet'!$B$12,Paramètres!$A$1:$I$89,3,0)*VLOOKUP('Données projet'!$B$12,Paramètres!$A$1:$I$89,5,0)</f>
        <v>1.5252226148732008E-13</v>
      </c>
      <c r="CA137" s="13">
        <f t="shared" si="147"/>
        <v>2.1814502464536512E-12</v>
      </c>
      <c r="CB137" s="20">
        <f t="shared" si="118"/>
        <v>4.0650021179971913E-12</v>
      </c>
      <c r="CC137" s="59">
        <f t="shared" si="119"/>
        <v>284.54733980470837</v>
      </c>
      <c r="CD137" s="59">
        <f ca="1">AVERAGE(OFFSET($CC$3,0,0,'Données projet'!$E$12+1,1))-AVERAGE(OFFSET($H$3,0,0,'Données projet'!$E$12+1,1))</f>
        <v>335.73816489539837</v>
      </c>
      <c r="CE137" s="59">
        <f t="shared" si="148"/>
        <v>254.09787950201044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23.288527198888797</v>
      </c>
      <c r="CL137" s="21">
        <f>EXP(-LN(2)/25)*CL136+(1-EXP(-LN(2)/25))/(LN(2)/25)*Calculateur!CG137*Calculateur!CI137*VLOOKUP('Données projet'!$B$12,Paramètres!$A$1:$I$89,3,0)*0.475*44/12</f>
        <v>19.489717654929837</v>
      </c>
      <c r="CM137" s="21">
        <f>EXP(-LN(2)/2)*CM136+(1-EXP(-LN(2)/2))/(LN(2)/2)*CG137*CJ137*VLOOKUP('Données projet'!$B$12,Paramètres!$A$1:$I$89,3,0)*0.475*44/12</f>
        <v>1.1952059467409598E-2</v>
      </c>
      <c r="CN137" s="22">
        <f t="shared" si="120"/>
        <v>42.790196913286046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1.1368683772161603E-13</v>
      </c>
      <c r="CU137" s="17">
        <f>CT137*VLOOKUP('Données projet'!$B$13,Paramètres!$A$1:$I$89,3,0)*VLOOKUP('Données projet'!$B$13,Paramètres!$A$1:$I$89,5,0)</f>
        <v>6.7984728957526396E-14</v>
      </c>
      <c r="CV137" s="13">
        <f t="shared" si="149"/>
        <v>1.0682447123141398E-12</v>
      </c>
      <c r="CW137" s="20">
        <f t="shared" si="121"/>
        <v>1.978932943548152E-12</v>
      </c>
      <c r="CX137" s="59">
        <f t="shared" si="122"/>
        <v>284.54733980470627</v>
      </c>
      <c r="CY137" s="59">
        <f ca="1">AVERAGE(OFFSET($CX$3,0,0,'Données projet'!$E$13+1,1))-AVERAGE(OFFSET($H$3,0,0,'Données projet'!$E$13+1,1))</f>
        <v>318.50474972254085</v>
      </c>
      <c r="CZ137" s="59">
        <f t="shared" si="150"/>
        <v>326.45858332753562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32.073195343876137</v>
      </c>
      <c r="DG137" s="21">
        <f>EXP(-LN(2)/25)*DG136+(1-EXP(-LN(2)/25))/(LN(2)/25)*Calculateur!DB137*Calculateur!DD137*VLOOKUP('Données projet'!$B$13,Paramètres!$A$1:$I$89,3,0)*0.475*44/12</f>
        <v>6.2252957604244097</v>
      </c>
      <c r="DH137" s="21">
        <f>EXP(-LN(2)/2)*DH136+(1-EXP(-LN(2)/2))/(LN(2)/2)*DB137*DE137*VLOOKUP('Données projet'!$B$13,Paramètres!$A$1:$I$89,3,0)*0.475*44/12</f>
        <v>4.3627691646800299E-10</v>
      </c>
      <c r="DI137" s="22">
        <f t="shared" si="123"/>
        <v>38.298491104736826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3">
        <f>'Scénario référence'!$B$16*5+'Scénario référence'!$B$17*0+'Scénario référence'!$B$18*5</f>
        <v>5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67">
        <f t="shared" si="110"/>
        <v>183.33333333333334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5.6843418860808015E-14</v>
      </c>
      <c r="O138" s="13">
        <f>N138*VLOOKUP('Données projet'!$B$9,Paramètres!$A$1:$I$89,3,0)*VLOOKUP('Données projet'!$B$9,Paramètres!$A$1:$I$89,5,0)</f>
        <v>5.1431925385259088E-14</v>
      </c>
      <c r="P138" s="13">
        <f t="shared" si="141"/>
        <v>8.3482866290946129E-13</v>
      </c>
      <c r="Q138" s="20">
        <f t="shared" si="108"/>
        <v>1.5435705246133045E-12</v>
      </c>
      <c r="R138" s="59">
        <f t="shared" si="109"/>
        <v>284.69975714988868</v>
      </c>
      <c r="S138" s="59">
        <f ca="1">AVERAGE(OFFSET($R$3,0,0,'Données projet'!$E$9+1,1))-AVERAGE(OFFSET($H$3,0,0,'Données projet'!$E$9+1,1))</f>
        <v>214.60547318405733</v>
      </c>
      <c r="T138" s="59">
        <f t="shared" si="142"/>
        <v>306.35874106546646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2.6260639587102617</v>
      </c>
      <c r="AA138" s="21">
        <f>EXP(-LN(2)/25)*AA137+(1-EXP(-LN(2)/25))/(LN(2)/25)*Calculateur!V138*Calculateur!X138*VLOOKUP('Données projet'!$B$9,Paramètres!$A$1:$I$89,3,0)*0.475*44/12</f>
        <v>1.0899962274461787</v>
      </c>
      <c r="AB138" s="21">
        <f>EXP(-LN(2)/2)*AB137+(1-EXP(-LN(2)/2))/(LN(2)/2)*V138*Y138*VLOOKUP('Données projet'!$B$9,Paramètres!$A$1:$I$89,3,0)*0.475*44/12</f>
        <v>3.9195212434243466E-13</v>
      </c>
      <c r="AC138" s="22">
        <f t="shared" si="111"/>
        <v>3.7160601861568323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9.1440000000000055</v>
      </c>
      <c r="AI138" s="13">
        <f>IF('Données projet'!$A$62&gt;35,AI137+AH138-AQ137,IF(A138&lt;'Données projet'!$A$62,$AF$205^A138,IF(A138='Données projet'!$A$62,'Données projet'!$B$62,AI137+AH138-AQ137)))</f>
        <v>432.64400000000091</v>
      </c>
      <c r="AJ138" s="13">
        <f>AI138*VLOOKUP('Données projet'!$B$10,Paramètres!$A$1:$I$89,3,0)*VLOOKUP('Données projet'!$B$10,Paramètres!$A$1:$I$89,5,0)</f>
        <v>438.70101600000095</v>
      </c>
      <c r="AK138" s="13">
        <f t="shared" si="143"/>
        <v>99.580035175975198</v>
      </c>
      <c r="AL138" s="20">
        <f t="shared" si="112"/>
        <v>937.50616413149157</v>
      </c>
      <c r="AM138" s="59">
        <f t="shared" si="113"/>
        <v>1222.2059212813788</v>
      </c>
      <c r="AN138" s="59">
        <f ca="1">AVERAGE(OFFSET($AM$3,0,0,'Données projet'!$E$10+1,1))-AVERAGE(OFFSET($H$3,0,0,'Données projet'!$E$10+1,1))</f>
        <v>752.45542076695506</v>
      </c>
      <c r="AO138" s="59">
        <f t="shared" si="144"/>
        <v>329.70629768420724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49.163346864589606</v>
      </c>
      <c r="AV138" s="21">
        <f>EXP(-LN(2)/25)*AV137+(1-EXP(-LN(2)/25))/(LN(2)/25)*Calculateur!AQ138*Calculateur!AS138*VLOOKUP('Données projet'!$B$10,Paramètres!$A$1:$I$89,3,0)*0.475*44/12</f>
        <v>25.909001832276324</v>
      </c>
      <c r="AW138" s="21">
        <f>EXP(-LN(2)/2)*AW137+(1-EXP(-LN(2)/2))/(LN(2)/2)*AQ138*AT138*VLOOKUP('Données projet'!$B$10,Paramètres!$A$1:$I$89,3,0)*0.475*44/12</f>
        <v>0.12644437816943682</v>
      </c>
      <c r="AX138" s="21">
        <f t="shared" si="114"/>
        <v>75.198793075035368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9.1440000000000055</v>
      </c>
      <c r="BD138" s="12">
        <f>IF('Données projet'!$A$88&gt;35,BD137+BC138-BL137,IF(A138&lt;'Données projet'!$A$88,$BA$205^A138,IF(A138='Données projet'!$A$88,'Données projet'!$B$88,BD137+BC138-BL137)))</f>
        <v>432.64400000000091</v>
      </c>
      <c r="BE138" s="13">
        <f>BD138*VLOOKUP('Données projet'!$B$11,Paramètres!$A$1:$I$89,3,0)*VLOOKUP('Données projet'!$B$11,Paramètres!$A$1:$I$89,5,0)</f>
        <v>391.45629120000086</v>
      </c>
      <c r="BF138" s="13">
        <f t="shared" si="145"/>
        <v>90.042388870129827</v>
      </c>
      <c r="BG138" s="20">
        <f t="shared" si="115"/>
        <v>838.6102011221443</v>
      </c>
      <c r="BH138" s="59">
        <f t="shared" si="116"/>
        <v>1123.3099582720315</v>
      </c>
      <c r="BI138" s="59">
        <f ca="1">AVERAGE(OFFSET($BH$3,0,0,'Données projet'!$E$11+1,1))-AVERAGE(OFFSET($H$3,0,0,'Données projet'!$E$11+1,1))</f>
        <v>681.47578137804555</v>
      </c>
      <c r="BJ138" s="59">
        <f t="shared" si="146"/>
        <v>300.88511065995885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43.868832586864571</v>
      </c>
      <c r="BQ138" s="21">
        <f>EXP(-LN(2)/25)*BQ137+(1-EXP(-LN(2)/25))/(LN(2)/25)*Calculateur!BL138*Calculateur!BN138*VLOOKUP('Données projet'!$B$11,Paramètres!$A$1:$I$89,3,0)*0.475*44/12</f>
        <v>23.118801634954256</v>
      </c>
      <c r="BR138" s="21">
        <f>EXP(-LN(2)/2)*BR137+(1-EXP(-LN(2)/2))/(LN(2)/2)*BL138*BO138*VLOOKUP('Données projet'!$B$11,Paramètres!$A$1:$I$89,3,0)*0.475*44/12</f>
        <v>0.1128272912896514</v>
      </c>
      <c r="BS138" s="22">
        <f t="shared" si="117"/>
        <v>67.100461513108471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2.2737367544323206E-13</v>
      </c>
      <c r="BZ138" s="13">
        <f>BY138*VLOOKUP('Données projet'!$B$12,Paramètres!$A$1:$I$89,3,0)*VLOOKUP('Données projet'!$B$12,Paramètres!$A$1:$I$89,5,0)</f>
        <v>1.5252226148732008E-13</v>
      </c>
      <c r="CA138" s="13">
        <f t="shared" si="147"/>
        <v>2.1814502464536512E-12</v>
      </c>
      <c r="CB138" s="20">
        <f t="shared" si="118"/>
        <v>4.0650021179971913E-12</v>
      </c>
      <c r="CC138" s="59">
        <f t="shared" si="119"/>
        <v>284.69975714989124</v>
      </c>
      <c r="CD138" s="59">
        <f ca="1">AVERAGE(OFFSET($CC$3,0,0,'Données projet'!$E$12+1,1))-AVERAGE(OFFSET($H$3,0,0,'Données projet'!$E$12+1,1))</f>
        <v>335.73816489539837</v>
      </c>
      <c r="CE138" s="59">
        <f t="shared" si="148"/>
        <v>254.09787950201044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22.83185338511759</v>
      </c>
      <c r="CL138" s="21">
        <f>EXP(-LN(2)/25)*CL137+(1-EXP(-LN(2)/25))/(LN(2)/25)*Calculateur!CG138*Calculateur!CI138*VLOOKUP('Données projet'!$B$12,Paramètres!$A$1:$I$89,3,0)*0.475*44/12</f>
        <v>18.956770300736075</v>
      </c>
      <c r="CM138" s="21">
        <f>EXP(-LN(2)/2)*CM137+(1-EXP(-LN(2)/2))/(LN(2)/2)*CG138*CJ138*VLOOKUP('Données projet'!$B$12,Paramètres!$A$1:$I$89,3,0)*0.475*44/12</f>
        <v>8.4513822985502023E-3</v>
      </c>
      <c r="CN138" s="22">
        <f t="shared" si="120"/>
        <v>41.797075068152218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1.1368683772161603E-13</v>
      </c>
      <c r="CU138" s="17">
        <f>CT138*VLOOKUP('Données projet'!$B$13,Paramètres!$A$1:$I$89,3,0)*VLOOKUP('Données projet'!$B$13,Paramètres!$A$1:$I$89,5,0)</f>
        <v>6.7984728957526396E-14</v>
      </c>
      <c r="CV138" s="13">
        <f t="shared" si="149"/>
        <v>1.0682447123141398E-12</v>
      </c>
      <c r="CW138" s="20">
        <f t="shared" si="121"/>
        <v>1.978932943548152E-12</v>
      </c>
      <c r="CX138" s="59">
        <f t="shared" si="122"/>
        <v>284.69975714988914</v>
      </c>
      <c r="CY138" s="59">
        <f ca="1">AVERAGE(OFFSET($CX$3,0,0,'Données projet'!$E$13+1,1))-AVERAGE(OFFSET($H$3,0,0,'Données projet'!$E$13+1,1))</f>
        <v>318.50474972254085</v>
      </c>
      <c r="CZ138" s="59">
        <f t="shared" si="150"/>
        <v>326.45858332753562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31.444259545900227</v>
      </c>
      <c r="DG138" s="21">
        <f>EXP(-LN(2)/25)*DG137+(1-EXP(-LN(2)/25))/(LN(2)/25)*Calculateur!DB138*Calculateur!DD138*VLOOKUP('Données projet'!$B$13,Paramètres!$A$1:$I$89,3,0)*0.475*44/12</f>
        <v>6.0550647204815284</v>
      </c>
      <c r="DH138" s="21">
        <f>EXP(-LN(2)/2)*DH137+(1-EXP(-LN(2)/2))/(LN(2)/2)*DB138*DE138*VLOOKUP('Données projet'!$B$13,Paramètres!$A$1:$I$89,3,0)*0.475*44/12</f>
        <v>3.0849436610968186E-10</v>
      </c>
      <c r="DI138" s="22">
        <f t="shared" si="123"/>
        <v>37.499324266690252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3">
        <f>'Scénario référence'!$B$16*5+'Scénario référence'!$B$17*0+'Scénario référence'!$B$18*5</f>
        <v>5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67">
        <f t="shared" si="110"/>
        <v>183.33333333333334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5.6843418860808015E-14</v>
      </c>
      <c r="O139" s="13">
        <f>N139*VLOOKUP('Données projet'!$B$9,Paramètres!$A$1:$I$89,3,0)*VLOOKUP('Données projet'!$B$9,Paramètres!$A$1:$I$89,5,0)</f>
        <v>5.1431925385259088E-14</v>
      </c>
      <c r="P139" s="13">
        <f t="shared" si="141"/>
        <v>8.3482866290946129E-13</v>
      </c>
      <c r="Q139" s="20">
        <f t="shared" si="108"/>
        <v>1.5435705246133045E-12</v>
      </c>
      <c r="R139" s="59">
        <f t="shared" si="109"/>
        <v>284.84953039488676</v>
      </c>
      <c r="S139" s="59">
        <f ca="1">AVERAGE(OFFSET($R$3,0,0,'Données projet'!$E$9+1,1))-AVERAGE(OFFSET($H$3,0,0,'Données projet'!$E$9+1,1))</f>
        <v>214.60547318405733</v>
      </c>
      <c r="T139" s="59">
        <f t="shared" si="142"/>
        <v>306.35874106546646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2.5745684462208094</v>
      </c>
      <c r="AA139" s="21">
        <f>EXP(-LN(2)/25)*AA138+(1-EXP(-LN(2)/25))/(LN(2)/25)*Calculateur!V139*Calculateur!X139*VLOOKUP('Données projet'!$B$9,Paramètres!$A$1:$I$89,3,0)*0.475*44/12</f>
        <v>1.0601902232862526</v>
      </c>
      <c r="AB139" s="21">
        <f>EXP(-LN(2)/2)*AB138+(1-EXP(-LN(2)/2))/(LN(2)/2)*V139*Y139*VLOOKUP('Données projet'!$B$9,Paramètres!$A$1:$I$89,3,0)*0.475*44/12</f>
        <v>2.7715200502300841E-13</v>
      </c>
      <c r="AC139" s="22">
        <f t="shared" si="111"/>
        <v>3.6347586695073391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9.1440000000000055</v>
      </c>
      <c r="AI139" s="13">
        <f>IF('Données projet'!$A$62&gt;35,AI138+AH139-AQ138,IF(A139&lt;'Données projet'!$A$62,$AF$205^A139,IF(A139='Données projet'!$A$62,'Données projet'!$B$62,AI138+AH139-AQ138)))</f>
        <v>441.78800000000092</v>
      </c>
      <c r="AJ139" s="13">
        <f>AI139*VLOOKUP('Données projet'!$B$10,Paramètres!$A$1:$I$89,3,0)*VLOOKUP('Données projet'!$B$10,Paramètres!$A$1:$I$89,5,0)</f>
        <v>447.97303200000096</v>
      </c>
      <c r="AK139" s="13">
        <f t="shared" si="143"/>
        <v>101.43742531380877</v>
      </c>
      <c r="AL139" s="20">
        <f t="shared" si="112"/>
        <v>956.88987982155186</v>
      </c>
      <c r="AM139" s="59">
        <f t="shared" si="113"/>
        <v>1241.7394102164371</v>
      </c>
      <c r="AN139" s="59">
        <f ca="1">AVERAGE(OFFSET($AM$3,0,0,'Données projet'!$E$10+1,1))-AVERAGE(OFFSET($H$3,0,0,'Données projet'!$E$10+1,1))</f>
        <v>752.45542076695506</v>
      </c>
      <c r="AO139" s="59">
        <f t="shared" si="144"/>
        <v>329.70629768420724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48.199283619255652</v>
      </c>
      <c r="AV139" s="21">
        <f>EXP(-LN(2)/25)*AV138+(1-EXP(-LN(2)/25))/(LN(2)/25)*Calculateur!AQ139*Calculateur!AS139*VLOOKUP('Données projet'!$B$10,Paramètres!$A$1:$I$89,3,0)*0.475*44/12</f>
        <v>25.200518814677537</v>
      </c>
      <c r="AW139" s="21">
        <f>EXP(-LN(2)/2)*AW138+(1-EXP(-LN(2)/2))/(LN(2)/2)*AQ139*AT139*VLOOKUP('Données projet'!$B$10,Paramètres!$A$1:$I$89,3,0)*0.475*44/12</f>
        <v>8.9409677246525029E-2</v>
      </c>
      <c r="AX139" s="21">
        <f t="shared" si="114"/>
        <v>73.489212111179711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9.1440000000000055</v>
      </c>
      <c r="BD139" s="12">
        <f>IF('Données projet'!$A$88&gt;35,BD138+BC139-BL138,IF(A139&lt;'Données projet'!$A$88,$BA$205^A139,IF(A139='Données projet'!$A$88,'Données projet'!$B$88,BD138+BC139-BL138)))</f>
        <v>441.78800000000092</v>
      </c>
      <c r="BE139" s="13">
        <f>BD139*VLOOKUP('Données projet'!$B$11,Paramètres!$A$1:$I$89,3,0)*VLOOKUP('Données projet'!$B$11,Paramètres!$A$1:$I$89,5,0)</f>
        <v>399.72978240000077</v>
      </c>
      <c r="BF139" s="13">
        <f t="shared" si="145"/>
        <v>91.721880595341759</v>
      </c>
      <c r="BG139" s="20">
        <f t="shared" si="115"/>
        <v>855.94497971688827</v>
      </c>
      <c r="BH139" s="59">
        <f t="shared" si="116"/>
        <v>1140.7945101117734</v>
      </c>
      <c r="BI139" s="59">
        <f ca="1">AVERAGE(OFFSET($BH$3,0,0,'Données projet'!$E$11+1,1))-AVERAGE(OFFSET($H$3,0,0,'Données projet'!$E$11+1,1))</f>
        <v>681.47578137804555</v>
      </c>
      <c r="BJ139" s="59">
        <f t="shared" si="146"/>
        <v>300.88511065995885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43.008591537181964</v>
      </c>
      <c r="BQ139" s="21">
        <f>EXP(-LN(2)/25)*BQ138+(1-EXP(-LN(2)/25))/(LN(2)/25)*Calculateur!BL139*Calculateur!BN139*VLOOKUP('Données projet'!$B$11,Paramètres!$A$1:$I$89,3,0)*0.475*44/12</f>
        <v>22.486616788481491</v>
      </c>
      <c r="BR139" s="21">
        <f>EXP(-LN(2)/2)*BR138+(1-EXP(-LN(2)/2))/(LN(2)/2)*BL139*BO139*VLOOKUP('Données projet'!$B$11,Paramètres!$A$1:$I$89,3,0)*0.475*44/12</f>
        <v>7.9780942773822389E-2</v>
      </c>
      <c r="BS139" s="22">
        <f t="shared" si="117"/>
        <v>65.574989268437278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2.2737367544323206E-13</v>
      </c>
      <c r="BZ139" s="13">
        <f>BY139*VLOOKUP('Données projet'!$B$12,Paramètres!$A$1:$I$89,3,0)*VLOOKUP('Données projet'!$B$12,Paramètres!$A$1:$I$89,5,0)</f>
        <v>1.5252226148732008E-13</v>
      </c>
      <c r="CA139" s="13">
        <f t="shared" si="147"/>
        <v>2.1814502464536512E-12</v>
      </c>
      <c r="CB139" s="20">
        <f t="shared" si="118"/>
        <v>4.0650021179971913E-12</v>
      </c>
      <c r="CC139" s="59">
        <f t="shared" si="119"/>
        <v>284.84953039488931</v>
      </c>
      <c r="CD139" s="59">
        <f ca="1">AVERAGE(OFFSET($CC$3,0,0,'Données projet'!$E$12+1,1))-AVERAGE(OFFSET($H$3,0,0,'Données projet'!$E$12+1,1))</f>
        <v>335.73816489539837</v>
      </c>
      <c r="CE139" s="59">
        <f t="shared" si="148"/>
        <v>254.09787950201044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22.384134666290915</v>
      </c>
      <c r="CL139" s="21">
        <f>EXP(-LN(2)/25)*CL138+(1-EXP(-LN(2)/25))/(LN(2)/25)*Calculateur!CG139*Calculateur!CI139*VLOOKUP('Données projet'!$B$12,Paramètres!$A$1:$I$89,3,0)*0.475*44/12</f>
        <v>18.438396419969223</v>
      </c>
      <c r="CM139" s="21">
        <f>EXP(-LN(2)/2)*CM138+(1-EXP(-LN(2)/2))/(LN(2)/2)*CG139*CJ139*VLOOKUP('Données projet'!$B$12,Paramètres!$A$1:$I$89,3,0)*0.475*44/12</f>
        <v>5.9760297337047991E-3</v>
      </c>
      <c r="CN139" s="22">
        <f t="shared" si="120"/>
        <v>40.828507115993844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1.1368683772161603E-13</v>
      </c>
      <c r="CU139" s="17">
        <f>CT139*VLOOKUP('Données projet'!$B$13,Paramètres!$A$1:$I$89,3,0)*VLOOKUP('Données projet'!$B$13,Paramètres!$A$1:$I$89,5,0)</f>
        <v>6.7984728957526396E-14</v>
      </c>
      <c r="CV139" s="13">
        <f t="shared" si="149"/>
        <v>1.0682447123141398E-12</v>
      </c>
      <c r="CW139" s="20">
        <f t="shared" si="121"/>
        <v>1.978932943548152E-12</v>
      </c>
      <c r="CX139" s="59">
        <f t="shared" si="122"/>
        <v>284.84953039488721</v>
      </c>
      <c r="CY139" s="59">
        <f ca="1">AVERAGE(OFFSET($CX$3,0,0,'Données projet'!$E$13+1,1))-AVERAGE(OFFSET($H$3,0,0,'Données projet'!$E$13+1,1))</f>
        <v>318.50474972254085</v>
      </c>
      <c r="CZ139" s="59">
        <f t="shared" si="150"/>
        <v>326.45858332753562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30.827656795309668</v>
      </c>
      <c r="DG139" s="21">
        <f>EXP(-LN(2)/25)*DG138+(1-EXP(-LN(2)/25))/(LN(2)/25)*Calculateur!DB139*Calculateur!DD139*VLOOKUP('Données projet'!$B$13,Paramètres!$A$1:$I$89,3,0)*0.475*44/12</f>
        <v>5.8894886572779468</v>
      </c>
      <c r="DH139" s="21">
        <f>EXP(-LN(2)/2)*DH138+(1-EXP(-LN(2)/2))/(LN(2)/2)*DB139*DE139*VLOOKUP('Données projet'!$B$13,Paramètres!$A$1:$I$89,3,0)*0.475*44/12</f>
        <v>2.181384582340015E-10</v>
      </c>
      <c r="DI139" s="22">
        <f t="shared" si="123"/>
        <v>36.717145452805752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3">
        <f>'Scénario référence'!$B$16*5+'Scénario référence'!$B$17*0+'Scénario référence'!$B$18*5</f>
        <v>5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67">
        <f t="shared" si="110"/>
        <v>183.33333333333334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5.6843418860808015E-14</v>
      </c>
      <c r="O140" s="13">
        <f>N140*VLOOKUP('Données projet'!$B$9,Paramètres!$A$1:$I$89,3,0)*VLOOKUP('Données projet'!$B$9,Paramètres!$A$1:$I$89,5,0)</f>
        <v>5.1431925385259088E-14</v>
      </c>
      <c r="P140" s="13">
        <f t="shared" si="141"/>
        <v>8.3482866290946129E-13</v>
      </c>
      <c r="Q140" s="20">
        <f t="shared" si="108"/>
        <v>1.5435705246133045E-12</v>
      </c>
      <c r="R140" s="59">
        <f t="shared" si="109"/>
        <v>284.99670540892691</v>
      </c>
      <c r="S140" s="59">
        <f ca="1">AVERAGE(OFFSET($R$3,0,0,'Données projet'!$E$9+1,1))-AVERAGE(OFFSET($H$3,0,0,'Données projet'!$E$9+1,1))</f>
        <v>214.60547318405733</v>
      </c>
      <c r="T140" s="59">
        <f t="shared" si="142"/>
        <v>306.35874106546646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2.5240827293221142</v>
      </c>
      <c r="AA140" s="21">
        <f>EXP(-LN(2)/25)*AA139+(1-EXP(-LN(2)/25))/(LN(2)/25)*Calculateur!V140*Calculateur!X140*VLOOKUP('Données projet'!$B$9,Paramètres!$A$1:$I$89,3,0)*0.475*44/12</f>
        <v>1.0311992658775093</v>
      </c>
      <c r="AB140" s="21">
        <f>EXP(-LN(2)/2)*AB139+(1-EXP(-LN(2)/2))/(LN(2)/2)*V140*Y140*VLOOKUP('Données projet'!$B$9,Paramètres!$A$1:$I$89,3,0)*0.475*44/12</f>
        <v>1.9597606217121733E-13</v>
      </c>
      <c r="AC140" s="22">
        <f t="shared" si="111"/>
        <v>3.5552819951998194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9.1440000000000055</v>
      </c>
      <c r="AI140" s="13">
        <f>IF('Données projet'!$A$62&gt;35,AI139+AH140-AQ139,IF(A140&lt;'Données projet'!$A$62,$AF$205^A140,IF(A140='Données projet'!$A$62,'Données projet'!$B$62,AI139+AH140-AQ139)))</f>
        <v>450.93200000000093</v>
      </c>
      <c r="AJ140" s="13">
        <f>AI140*VLOOKUP('Données projet'!$B$10,Paramètres!$A$1:$I$89,3,0)*VLOOKUP('Données projet'!$B$10,Paramètres!$A$1:$I$89,5,0)</f>
        <v>457.24504800000096</v>
      </c>
      <c r="AK140" s="13">
        <f t="shared" si="143"/>
        <v>103.29034565107023</v>
      </c>
      <c r="AL140" s="20">
        <f t="shared" si="112"/>
        <v>976.26581060894898</v>
      </c>
      <c r="AM140" s="59">
        <f t="shared" si="113"/>
        <v>1261.2625160178743</v>
      </c>
      <c r="AN140" s="59">
        <f ca="1">AVERAGE(OFFSET($AM$3,0,0,'Données projet'!$E$10+1,1))-AVERAGE(OFFSET($H$3,0,0,'Données projet'!$E$10+1,1))</f>
        <v>752.45542076695506</v>
      </c>
      <c r="AO140" s="59">
        <f t="shared" si="144"/>
        <v>329.70629768420724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47.25412506614218</v>
      </c>
      <c r="AV140" s="21">
        <f>EXP(-LN(2)/25)*AV139+(1-EXP(-LN(2)/25))/(LN(2)/25)*Calculateur!AQ140*Calculateur!AS140*VLOOKUP('Données projet'!$B$10,Paramètres!$A$1:$I$89,3,0)*0.475*44/12</f>
        <v>24.511409302452492</v>
      </c>
      <c r="AW140" s="21">
        <f>EXP(-LN(2)/2)*AW139+(1-EXP(-LN(2)/2))/(LN(2)/2)*AQ140*AT140*VLOOKUP('Données projet'!$B$10,Paramètres!$A$1:$I$89,3,0)*0.475*44/12</f>
        <v>6.3222189084718411E-2</v>
      </c>
      <c r="AX140" s="21">
        <f t="shared" si="114"/>
        <v>71.828756557679384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9.1440000000000055</v>
      </c>
      <c r="BD140" s="12">
        <f>IF('Données projet'!$A$88&gt;35,BD139+BC140-BL139,IF(A140&lt;'Données projet'!$A$88,$BA$205^A140,IF(A140='Données projet'!$A$88,'Données projet'!$B$88,BD139+BC140-BL139)))</f>
        <v>450.93200000000093</v>
      </c>
      <c r="BE140" s="13">
        <f>BD140*VLOOKUP('Données projet'!$B$11,Paramètres!$A$1:$I$89,3,0)*VLOOKUP('Données projet'!$B$11,Paramètres!$A$1:$I$89,5,0)</f>
        <v>408.00327360000085</v>
      </c>
      <c r="BF140" s="13">
        <f t="shared" si="145"/>
        <v>93.397330631669121</v>
      </c>
      <c r="BG140" s="20">
        <f t="shared" si="115"/>
        <v>873.27271903682515</v>
      </c>
      <c r="BH140" s="59">
        <f t="shared" si="116"/>
        <v>1158.2694244457505</v>
      </c>
      <c r="BI140" s="59">
        <f ca="1">AVERAGE(OFFSET($BH$3,0,0,'Données projet'!$E$11+1,1))-AVERAGE(OFFSET($H$3,0,0,'Données projet'!$E$11+1,1))</f>
        <v>681.47578137804555</v>
      </c>
      <c r="BJ140" s="59">
        <f t="shared" si="146"/>
        <v>300.88511065995885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42.165219289788404</v>
      </c>
      <c r="BQ140" s="21">
        <f>EXP(-LN(2)/25)*BQ139+(1-EXP(-LN(2)/25))/(LN(2)/25)*Calculateur!BL140*Calculateur!BN140*VLOOKUP('Données projet'!$B$11,Paramètres!$A$1:$I$89,3,0)*0.475*44/12</f>
        <v>21.871719069880683</v>
      </c>
      <c r="BR140" s="21">
        <f>EXP(-LN(2)/2)*BR139+(1-EXP(-LN(2)/2))/(LN(2)/2)*BL140*BO140*VLOOKUP('Données projet'!$B$11,Paramètres!$A$1:$I$89,3,0)*0.475*44/12</f>
        <v>5.6413645644825698E-2</v>
      </c>
      <c r="BS140" s="22">
        <f t="shared" si="117"/>
        <v>64.093352005313903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2.2737367544323206E-13</v>
      </c>
      <c r="BZ140" s="13">
        <f>BY140*VLOOKUP('Données projet'!$B$12,Paramètres!$A$1:$I$89,3,0)*VLOOKUP('Données projet'!$B$12,Paramètres!$A$1:$I$89,5,0)</f>
        <v>1.5252226148732008E-13</v>
      </c>
      <c r="CA140" s="13">
        <f t="shared" si="147"/>
        <v>2.1814502464536512E-12</v>
      </c>
      <c r="CB140" s="20">
        <f t="shared" si="118"/>
        <v>4.0650021179971913E-12</v>
      </c>
      <c r="CC140" s="59">
        <f t="shared" si="119"/>
        <v>284.99670540892947</v>
      </c>
      <c r="CD140" s="59">
        <f ca="1">AVERAGE(OFFSET($CC$3,0,0,'Données projet'!$E$12+1,1))-AVERAGE(OFFSET($H$3,0,0,'Données projet'!$E$12+1,1))</f>
        <v>335.73816489539837</v>
      </c>
      <c r="CE140" s="59">
        <f t="shared" si="148"/>
        <v>254.09787950201044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21.945195438458978</v>
      </c>
      <c r="CL140" s="21">
        <f>EXP(-LN(2)/25)*CL139+(1-EXP(-LN(2)/25))/(LN(2)/25)*Calculateur!CG140*Calculateur!CI140*VLOOKUP('Données projet'!$B$12,Paramètres!$A$1:$I$89,3,0)*0.475*44/12</f>
        <v>17.934197500232038</v>
      </c>
      <c r="CM140" s="21">
        <f>EXP(-LN(2)/2)*CM139+(1-EXP(-LN(2)/2))/(LN(2)/2)*CG140*CJ140*VLOOKUP('Données projet'!$B$12,Paramètres!$A$1:$I$89,3,0)*0.475*44/12</f>
        <v>4.2256911492751011E-3</v>
      </c>
      <c r="CN140" s="22">
        <f t="shared" si="120"/>
        <v>39.883618629840285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1.1368683772161603E-13</v>
      </c>
      <c r="CU140" s="17">
        <f>CT140*VLOOKUP('Données projet'!$B$13,Paramètres!$A$1:$I$89,3,0)*VLOOKUP('Données projet'!$B$13,Paramètres!$A$1:$I$89,5,0)</f>
        <v>6.7984728957526396E-14</v>
      </c>
      <c r="CV140" s="13">
        <f t="shared" si="149"/>
        <v>1.0682447123141398E-12</v>
      </c>
      <c r="CW140" s="20">
        <f t="shared" si="121"/>
        <v>1.978932943548152E-12</v>
      </c>
      <c r="CX140" s="59">
        <f t="shared" si="122"/>
        <v>284.99670540892737</v>
      </c>
      <c r="CY140" s="59">
        <f ca="1">AVERAGE(OFFSET($CX$3,0,0,'Données projet'!$E$13+1,1))-AVERAGE(OFFSET($H$3,0,0,'Données projet'!$E$13+1,1))</f>
        <v>318.50474972254085</v>
      </c>
      <c r="CZ140" s="59">
        <f t="shared" si="150"/>
        <v>326.45858332753562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30.223145248567647</v>
      </c>
      <c r="DG140" s="21">
        <f>EXP(-LN(2)/25)*DG139+(1-EXP(-LN(2)/25))/(LN(2)/25)*Calculateur!DB140*Calculateur!DD140*VLOOKUP('Données projet'!$B$13,Paramètres!$A$1:$I$89,3,0)*0.475*44/12</f>
        <v>5.7284402802299335</v>
      </c>
      <c r="DH140" s="21">
        <f>EXP(-LN(2)/2)*DH139+(1-EXP(-LN(2)/2))/(LN(2)/2)*DB140*DE140*VLOOKUP('Données projet'!$B$13,Paramètres!$A$1:$I$89,3,0)*0.475*44/12</f>
        <v>1.5424718305484093E-10</v>
      </c>
      <c r="DI140" s="22">
        <f t="shared" si="123"/>
        <v>35.951585528951824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3">
        <f>'Scénario référence'!$B$16*5+'Scénario référence'!$B$17*0+'Scénario référence'!$B$18*5</f>
        <v>5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67">
        <f t="shared" si="110"/>
        <v>183.33333333333334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5.6843418860808015E-14</v>
      </c>
      <c r="O141" s="13">
        <f>N141*VLOOKUP('Données projet'!$B$9,Paramètres!$A$1:$I$89,3,0)*VLOOKUP('Données projet'!$B$9,Paramètres!$A$1:$I$89,5,0)</f>
        <v>5.1431925385259088E-14</v>
      </c>
      <c r="P141" s="13">
        <f t="shared" si="141"/>
        <v>8.3482866290946129E-13</v>
      </c>
      <c r="Q141" s="20">
        <f t="shared" si="108"/>
        <v>1.5435705246133045E-12</v>
      </c>
      <c r="R141" s="59">
        <f t="shared" si="109"/>
        <v>285.14132726550747</v>
      </c>
      <c r="S141" s="59">
        <f ca="1">AVERAGE(OFFSET($R$3,0,0,'Données projet'!$E$9+1,1))-AVERAGE(OFFSET($H$3,0,0,'Données projet'!$E$9+1,1))</f>
        <v>214.60547318405733</v>
      </c>
      <c r="T141" s="59">
        <f t="shared" si="142"/>
        <v>306.35874106546646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2.4745870065385556</v>
      </c>
      <c r="AA141" s="21">
        <f>EXP(-LN(2)/25)*AA140+(1-EXP(-LN(2)/25))/(LN(2)/25)*Calculateur!V141*Calculateur!X141*VLOOKUP('Données projet'!$B$9,Paramètres!$A$1:$I$89,3,0)*0.475*44/12</f>
        <v>1.0030010677236763</v>
      </c>
      <c r="AB141" s="21">
        <f>EXP(-LN(2)/2)*AB140+(1-EXP(-LN(2)/2))/(LN(2)/2)*V141*Y141*VLOOKUP('Données projet'!$B$9,Paramètres!$A$1:$I$89,3,0)*0.475*44/12</f>
        <v>1.385760025115042E-13</v>
      </c>
      <c r="AC141" s="22">
        <f t="shared" si="111"/>
        <v>3.4775880742623704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9.1440000000000055</v>
      </c>
      <c r="AI141" s="13">
        <f>IF('Données projet'!$A$62&gt;35,AI140+AH141-AQ140,IF(A141&lt;'Données projet'!$A$62,$AF$205^A141,IF(A141='Données projet'!$A$62,'Données projet'!$B$62,AI140+AH141-AQ140)))</f>
        <v>460.07600000000093</v>
      </c>
      <c r="AJ141" s="13">
        <f>AI141*VLOOKUP('Données projet'!$B$10,Paramètres!$A$1:$I$89,3,0)*VLOOKUP('Données projet'!$B$10,Paramètres!$A$1:$I$89,5,0)</f>
        <v>466.51706400000097</v>
      </c>
      <c r="AK141" s="13">
        <f t="shared" si="143"/>
        <v>105.13889727137632</v>
      </c>
      <c r="AL141" s="20">
        <f t="shared" si="112"/>
        <v>995.63413254764862</v>
      </c>
      <c r="AM141" s="59">
        <f t="shared" si="113"/>
        <v>1280.7754598131546</v>
      </c>
      <c r="AN141" s="59">
        <f ca="1">AVERAGE(OFFSET($AM$3,0,0,'Données projet'!$E$10+1,1))-AVERAGE(OFFSET($H$3,0,0,'Données projet'!$E$10+1,1))</f>
        <v>752.45542076695506</v>
      </c>
      <c r="AO141" s="59">
        <f t="shared" si="144"/>
        <v>329.70629768420724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46.32750049576547</v>
      </c>
      <c r="AV141" s="21">
        <f>EXP(-LN(2)/25)*AV140+(1-EXP(-LN(2)/25))/(LN(2)/25)*Calculateur!AQ141*Calculateur!AS141*VLOOKUP('Données projet'!$B$10,Paramètres!$A$1:$I$89,3,0)*0.475*44/12</f>
        <v>23.841143526077936</v>
      </c>
      <c r="AW141" s="21">
        <f>EXP(-LN(2)/2)*AW140+(1-EXP(-LN(2)/2))/(LN(2)/2)*AQ141*AT141*VLOOKUP('Données projet'!$B$10,Paramètres!$A$1:$I$89,3,0)*0.475*44/12</f>
        <v>4.4704838623262515E-2</v>
      </c>
      <c r="AX141" s="21">
        <f t="shared" si="114"/>
        <v>70.213348860466667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9.1440000000000055</v>
      </c>
      <c r="BD141" s="12">
        <f>IF('Données projet'!$A$88&gt;35,BD140+BC141-BL140,IF(A141&lt;'Données projet'!$A$88,$BA$205^A141,IF(A141='Données projet'!$A$88,'Données projet'!$B$88,BD140+BC141-BL140)))</f>
        <v>460.07600000000093</v>
      </c>
      <c r="BE141" s="13">
        <f>BD141*VLOOKUP('Données projet'!$B$11,Paramètres!$A$1:$I$89,3,0)*VLOOKUP('Données projet'!$B$11,Paramètres!$A$1:$I$89,5,0)</f>
        <v>416.27676480000082</v>
      </c>
      <c r="BF141" s="13">
        <f t="shared" si="145"/>
        <v>95.068830381071379</v>
      </c>
      <c r="BG141" s="20">
        <f t="shared" si="115"/>
        <v>890.5935782737007</v>
      </c>
      <c r="BH141" s="59">
        <f t="shared" si="116"/>
        <v>1175.7349055392067</v>
      </c>
      <c r="BI141" s="59">
        <f ca="1">AVERAGE(OFFSET($BH$3,0,0,'Données projet'!$E$11+1,1))-AVERAGE(OFFSET($H$3,0,0,'Données projet'!$E$11+1,1))</f>
        <v>681.47578137804555</v>
      </c>
      <c r="BJ141" s="59">
        <f t="shared" si="146"/>
        <v>300.88511065995885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41.338385057759957</v>
      </c>
      <c r="BQ141" s="21">
        <f>EXP(-LN(2)/25)*BQ140+(1-EXP(-LN(2)/25))/(LN(2)/25)*Calculateur!BL141*Calculateur!BN141*VLOOKUP('Données projet'!$B$11,Paramètres!$A$1:$I$89,3,0)*0.475*44/12</f>
        <v>21.273635761731079</v>
      </c>
      <c r="BR141" s="21">
        <f>EXP(-LN(2)/2)*BR140+(1-EXP(-LN(2)/2))/(LN(2)/2)*BL141*BO141*VLOOKUP('Données projet'!$B$11,Paramètres!$A$1:$I$89,3,0)*0.475*44/12</f>
        <v>3.9890471386911194E-2</v>
      </c>
      <c r="BS141" s="22">
        <f t="shared" si="117"/>
        <v>62.651911290877948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2.2737367544323206E-13</v>
      </c>
      <c r="BZ141" s="13">
        <f>BY141*VLOOKUP('Données projet'!$B$12,Paramètres!$A$1:$I$89,3,0)*VLOOKUP('Données projet'!$B$12,Paramètres!$A$1:$I$89,5,0)</f>
        <v>1.5252226148732008E-13</v>
      </c>
      <c r="CA141" s="13">
        <f t="shared" si="147"/>
        <v>2.1814502464536512E-12</v>
      </c>
      <c r="CB141" s="20">
        <f t="shared" si="118"/>
        <v>4.0650021179971913E-12</v>
      </c>
      <c r="CC141" s="59">
        <f t="shared" si="119"/>
        <v>285.14132726551003</v>
      </c>
      <c r="CD141" s="59">
        <f ca="1">AVERAGE(OFFSET($CC$3,0,0,'Données projet'!$E$12+1,1))-AVERAGE(OFFSET($H$3,0,0,'Données projet'!$E$12+1,1))</f>
        <v>335.73816489539837</v>
      </c>
      <c r="CE141" s="59">
        <f t="shared" si="148"/>
        <v>254.09787950201044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21.514863541158331</v>
      </c>
      <c r="CL141" s="21">
        <f>EXP(-LN(2)/25)*CL140+(1-EXP(-LN(2)/25))/(LN(2)/25)*Calculateur!CG141*Calculateur!CI141*VLOOKUP('Données projet'!$B$12,Paramètres!$A$1:$I$89,3,0)*0.475*44/12</f>
        <v>17.443785926469737</v>
      </c>
      <c r="CM141" s="21">
        <f>EXP(-LN(2)/2)*CM140+(1-EXP(-LN(2)/2))/(LN(2)/2)*CG141*CJ141*VLOOKUP('Données projet'!$B$12,Paramètres!$A$1:$I$89,3,0)*0.475*44/12</f>
        <v>2.9880148668523995E-3</v>
      </c>
      <c r="CN141" s="22">
        <f t="shared" si="120"/>
        <v>38.961637482494915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1.1368683772161603E-13</v>
      </c>
      <c r="CU141" s="17">
        <f>CT141*VLOOKUP('Données projet'!$B$13,Paramètres!$A$1:$I$89,3,0)*VLOOKUP('Données projet'!$B$13,Paramètres!$A$1:$I$89,5,0)</f>
        <v>6.7984728957526396E-14</v>
      </c>
      <c r="CV141" s="13">
        <f t="shared" si="149"/>
        <v>1.0682447123141398E-12</v>
      </c>
      <c r="CW141" s="20">
        <f t="shared" si="121"/>
        <v>1.978932943548152E-12</v>
      </c>
      <c r="CX141" s="59">
        <f t="shared" si="122"/>
        <v>285.14132726550793</v>
      </c>
      <c r="CY141" s="59">
        <f ca="1">AVERAGE(OFFSET($CX$3,0,0,'Données projet'!$E$13+1,1))-AVERAGE(OFFSET($H$3,0,0,'Données projet'!$E$13+1,1))</f>
        <v>318.50474972254085</v>
      </c>
      <c r="CZ141" s="59">
        <f t="shared" si="150"/>
        <v>326.45858332753562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29.630487804541602</v>
      </c>
      <c r="DG141" s="21">
        <f>EXP(-LN(2)/25)*DG140+(1-EXP(-LN(2)/25))/(LN(2)/25)*Calculateur!DB141*Calculateur!DD141*VLOOKUP('Données projet'!$B$13,Paramètres!$A$1:$I$89,3,0)*0.475*44/12</f>
        <v>5.5717957795214641</v>
      </c>
      <c r="DH141" s="21">
        <f>EXP(-LN(2)/2)*DH140+(1-EXP(-LN(2)/2))/(LN(2)/2)*DB141*DE141*VLOOKUP('Données projet'!$B$13,Paramètres!$A$1:$I$89,3,0)*0.475*44/12</f>
        <v>1.0906922911700075E-10</v>
      </c>
      <c r="DI141" s="22">
        <f t="shared" si="123"/>
        <v>35.202283584172136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3">
        <f>'Scénario référence'!$B$16*5+'Scénario référence'!$B$17*0+'Scénario référence'!$B$18*5</f>
        <v>5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67">
        <f t="shared" si="110"/>
        <v>183.33333333333334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5.6843418860808015E-14</v>
      </c>
      <c r="O142" s="13">
        <f>N142*VLOOKUP('Données projet'!$B$9,Paramètres!$A$1:$I$89,3,0)*VLOOKUP('Données projet'!$B$9,Paramètres!$A$1:$I$89,5,0)</f>
        <v>5.1431925385259088E-14</v>
      </c>
      <c r="P142" s="13">
        <f t="shared" si="141"/>
        <v>8.3482866290946129E-13</v>
      </c>
      <c r="Q142" s="20">
        <f t="shared" si="108"/>
        <v>1.5435705246133045E-12</v>
      </c>
      <c r="R142" s="59">
        <f t="shared" si="109"/>
        <v>285.28344025620243</v>
      </c>
      <c r="S142" s="59">
        <f ca="1">AVERAGE(OFFSET($R$3,0,0,'Données projet'!$E$9+1,1))-AVERAGE(OFFSET($H$3,0,0,'Données projet'!$E$9+1,1))</f>
        <v>214.60547318405733</v>
      </c>
      <c r="T142" s="59">
        <f t="shared" si="142"/>
        <v>306.35874106546646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2.4260618646893728</v>
      </c>
      <c r="AA142" s="21">
        <f>EXP(-LN(2)/25)*AA141+(1-EXP(-LN(2)/25))/(LN(2)/25)*Calculateur!V142*Calculateur!X142*VLOOKUP('Données projet'!$B$9,Paramètres!$A$1:$I$89,3,0)*0.475*44/12</f>
        <v>0.97557395078123854</v>
      </c>
      <c r="AB142" s="21">
        <f>EXP(-LN(2)/2)*AB141+(1-EXP(-LN(2)/2))/(LN(2)/2)*V142*Y142*VLOOKUP('Données projet'!$B$9,Paramètres!$A$1:$I$89,3,0)*0.475*44/12</f>
        <v>9.7988031085608664E-14</v>
      </c>
      <c r="AC142" s="22">
        <f t="shared" si="111"/>
        <v>3.4016358154707094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9.1440000000000055</v>
      </c>
      <c r="AI142" s="13">
        <f>IF('Données projet'!$A$62&gt;35,AI141+AH142-AQ141,IF(A142&lt;'Données projet'!$A$62,$AF$205^A142,IF(A142='Données projet'!$A$62,'Données projet'!$B$62,AI141+AH142-AQ141)))</f>
        <v>469.22000000000094</v>
      </c>
      <c r="AJ142" s="13">
        <f>AI142*VLOOKUP('Données projet'!$B$10,Paramètres!$A$1:$I$89,3,0)*VLOOKUP('Données projet'!$B$10,Paramètres!$A$1:$I$89,5,0)</f>
        <v>475.78908000000098</v>
      </c>
      <c r="AK142" s="13">
        <f t="shared" si="143"/>
        <v>106.98317701049932</v>
      </c>
      <c r="AL142" s="20">
        <f t="shared" si="112"/>
        <v>1014.9950142932879</v>
      </c>
      <c r="AM142" s="59">
        <f t="shared" si="113"/>
        <v>1300.2784545494887</v>
      </c>
      <c r="AN142" s="59">
        <f ca="1">AVERAGE(OFFSET($AM$3,0,0,'Données projet'!$E$10+1,1))-AVERAGE(OFFSET($H$3,0,0,'Données projet'!$E$10+1,1))</f>
        <v>752.45542076695506</v>
      </c>
      <c r="AO142" s="59">
        <f t="shared" si="144"/>
        <v>329.70629768420724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45.419046468028668</v>
      </c>
      <c r="AV142" s="21">
        <f>EXP(-LN(2)/25)*AV141+(1-EXP(-LN(2)/25))/(LN(2)/25)*Calculateur!AQ142*Calculateur!AS142*VLOOKUP('Données projet'!$B$10,Paramètres!$A$1:$I$89,3,0)*0.475*44/12</f>
        <v>23.189206202606087</v>
      </c>
      <c r="AW142" s="21">
        <f>EXP(-LN(2)/2)*AW141+(1-EXP(-LN(2)/2))/(LN(2)/2)*AQ142*AT142*VLOOKUP('Données projet'!$B$10,Paramètres!$A$1:$I$89,3,0)*0.475*44/12</f>
        <v>3.1611094542359205E-2</v>
      </c>
      <c r="AX142" s="21">
        <f t="shared" si="114"/>
        <v>68.639863765177111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9.1440000000000055</v>
      </c>
      <c r="BD142" s="12">
        <f>IF('Données projet'!$A$88&gt;35,BD141+BC142-BL141,IF(A142&lt;'Données projet'!$A$88,$BA$205^A142,IF(A142='Données projet'!$A$88,'Données projet'!$B$88,BD141+BC142-BL141)))</f>
        <v>469.22000000000094</v>
      </c>
      <c r="BE142" s="13">
        <f>BD142*VLOOKUP('Données projet'!$B$11,Paramètres!$A$1:$I$89,3,0)*VLOOKUP('Données projet'!$B$11,Paramètres!$A$1:$I$89,5,0)</f>
        <v>424.55025600000084</v>
      </c>
      <c r="BF142" s="13">
        <f t="shared" si="145"/>
        <v>96.736467404516418</v>
      </c>
      <c r="BG142" s="20">
        <f t="shared" si="115"/>
        <v>907.90770992953412</v>
      </c>
      <c r="BH142" s="59">
        <f t="shared" si="116"/>
        <v>1193.1911501857351</v>
      </c>
      <c r="BI142" s="59">
        <f ca="1">AVERAGE(OFFSET($BH$3,0,0,'Données projet'!$E$11+1,1))-AVERAGE(OFFSET($H$3,0,0,'Données projet'!$E$11+1,1))</f>
        <v>681.47578137804555</v>
      </c>
      <c r="BJ142" s="59">
        <f t="shared" si="146"/>
        <v>300.88511065995885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40.527764540702499</v>
      </c>
      <c r="BQ142" s="21">
        <f>EXP(-LN(2)/25)*BQ141+(1-EXP(-LN(2)/25))/(LN(2)/25)*Calculateur!BL142*Calculateur!BN142*VLOOKUP('Données projet'!$B$11,Paramètres!$A$1:$I$89,3,0)*0.475*44/12</f>
        <v>20.691907073094658</v>
      </c>
      <c r="BR142" s="21">
        <f>EXP(-LN(2)/2)*BR141+(1-EXP(-LN(2)/2))/(LN(2)/2)*BL142*BO142*VLOOKUP('Données projet'!$B$11,Paramètres!$A$1:$I$89,3,0)*0.475*44/12</f>
        <v>2.8206822822412849E-2</v>
      </c>
      <c r="BS142" s="22">
        <f t="shared" si="117"/>
        <v>61.247878436619573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2.2737367544323206E-13</v>
      </c>
      <c r="BZ142" s="13">
        <f>BY142*VLOOKUP('Données projet'!$B$12,Paramètres!$A$1:$I$89,3,0)*VLOOKUP('Données projet'!$B$12,Paramètres!$A$1:$I$89,5,0)</f>
        <v>1.5252226148732008E-13</v>
      </c>
      <c r="CA142" s="13">
        <f t="shared" si="147"/>
        <v>2.1814502464536512E-12</v>
      </c>
      <c r="CB142" s="20">
        <f t="shared" si="118"/>
        <v>4.0650021179971913E-12</v>
      </c>
      <c r="CC142" s="59">
        <f t="shared" si="119"/>
        <v>285.28344025620498</v>
      </c>
      <c r="CD142" s="59">
        <f ca="1">AVERAGE(OFFSET($CC$3,0,0,'Données projet'!$E$12+1,1))-AVERAGE(OFFSET($H$3,0,0,'Données projet'!$E$12+1,1))</f>
        <v>335.73816489539837</v>
      </c>
      <c r="CE142" s="59">
        <f t="shared" si="148"/>
        <v>254.09787950201044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21.092970189887211</v>
      </c>
      <c r="CL142" s="21">
        <f>EXP(-LN(2)/25)*CL141+(1-EXP(-LN(2)/25))/(LN(2)/25)*Calculateur!CG142*Calculateur!CI142*VLOOKUP('Données projet'!$B$12,Paramètres!$A$1:$I$89,3,0)*0.475*44/12</f>
        <v>16.966784682981586</v>
      </c>
      <c r="CM142" s="21">
        <f>EXP(-LN(2)/2)*CM141+(1-EXP(-LN(2)/2))/(LN(2)/2)*CG142*CJ142*VLOOKUP('Données projet'!$B$12,Paramètres!$A$1:$I$89,3,0)*0.475*44/12</f>
        <v>2.1128455746375506E-3</v>
      </c>
      <c r="CN142" s="22">
        <f t="shared" si="120"/>
        <v>38.06186771844343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1.1368683772161603E-13</v>
      </c>
      <c r="CU142" s="17">
        <f>CT142*VLOOKUP('Données projet'!$B$13,Paramètres!$A$1:$I$89,3,0)*VLOOKUP('Données projet'!$B$13,Paramètres!$A$1:$I$89,5,0)</f>
        <v>6.7984728957526396E-14</v>
      </c>
      <c r="CV142" s="13">
        <f t="shared" si="149"/>
        <v>1.0682447123141398E-12</v>
      </c>
      <c r="CW142" s="20">
        <f t="shared" si="121"/>
        <v>1.978932943548152E-12</v>
      </c>
      <c r="CX142" s="59">
        <f t="shared" si="122"/>
        <v>285.28344025620288</v>
      </c>
      <c r="CY142" s="59">
        <f ca="1">AVERAGE(OFFSET($CX$3,0,0,'Données projet'!$E$13+1,1))-AVERAGE(OFFSET($H$3,0,0,'Données projet'!$E$13+1,1))</f>
        <v>318.50474972254085</v>
      </c>
      <c r="CZ142" s="59">
        <f t="shared" si="150"/>
        <v>326.45858332753562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29.049452011507558</v>
      </c>
      <c r="DG142" s="21">
        <f>EXP(-LN(2)/25)*DG141+(1-EXP(-LN(2)/25))/(LN(2)/25)*Calculateur!DB142*Calculateur!DD142*VLOOKUP('Données projet'!$B$13,Paramètres!$A$1:$I$89,3,0)*0.475*44/12</f>
        <v>5.4194347309224442</v>
      </c>
      <c r="DH142" s="21">
        <f>EXP(-LN(2)/2)*DH141+(1-EXP(-LN(2)/2))/(LN(2)/2)*DB142*DE142*VLOOKUP('Données projet'!$B$13,Paramètres!$A$1:$I$89,3,0)*0.475*44/12</f>
        <v>7.7123591527420465E-11</v>
      </c>
      <c r="DI142" s="22">
        <f t="shared" si="123"/>
        <v>34.468886742507124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3">
        <f>'Scénario référence'!$B$16*5+'Scénario référence'!$B$17*0+'Scénario référence'!$B$18*5</f>
        <v>5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67">
        <f t="shared" si="110"/>
        <v>183.33333333333334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5.6843418860808015E-14</v>
      </c>
      <c r="O143" s="13">
        <f>N143*VLOOKUP('Données projet'!$B$9,Paramètres!$A$1:$I$89,3,0)*VLOOKUP('Données projet'!$B$9,Paramètres!$A$1:$I$89,5,0)</f>
        <v>5.1431925385259088E-14</v>
      </c>
      <c r="P143" s="13">
        <f t="shared" si="141"/>
        <v>8.3482866290946129E-13</v>
      </c>
      <c r="Q143" s="20">
        <f t="shared" si="108"/>
        <v>1.5435705246133045E-12</v>
      </c>
      <c r="R143" s="59">
        <f t="shared" si="109"/>
        <v>285.42308790422589</v>
      </c>
      <c r="S143" s="59">
        <f ca="1">AVERAGE(OFFSET($R$3,0,0,'Données projet'!$E$9+1,1))-AVERAGE(OFFSET($H$3,0,0,'Données projet'!$E$9+1,1))</f>
        <v>214.60547318405733</v>
      </c>
      <c r="T143" s="59">
        <f t="shared" si="142"/>
        <v>306.35874106546646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2.3784882712744384</v>
      </c>
      <c r="AA143" s="21">
        <f>EXP(-LN(2)/25)*AA142+(1-EXP(-LN(2)/25))/(LN(2)/25)*Calculateur!V143*Calculateur!X143*VLOOKUP('Données projet'!$B$9,Paramètres!$A$1:$I$89,3,0)*0.475*44/12</f>
        <v>0.9488968297939212</v>
      </c>
      <c r="AB143" s="21">
        <f>EXP(-LN(2)/2)*AB142+(1-EXP(-LN(2)/2))/(LN(2)/2)*V143*Y143*VLOOKUP('Données projet'!$B$9,Paramètres!$A$1:$I$89,3,0)*0.475*44/12</f>
        <v>6.9288001255752102E-14</v>
      </c>
      <c r="AC143" s="22">
        <f t="shared" si="111"/>
        <v>3.3273851010684288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9.1440000000000055</v>
      </c>
      <c r="AI143" s="13">
        <f>IF('Données projet'!$A$62&gt;35,AI142+AH143-AQ142,IF(A143&lt;'Données projet'!$A$62,$AF$205^A143,IF(A143='Données projet'!$A$62,'Données projet'!$B$62,AI142+AH143-AQ142)))</f>
        <v>478.36400000000094</v>
      </c>
      <c r="AJ143" s="13">
        <f>AI143*VLOOKUP('Données projet'!$B$10,Paramètres!$A$1:$I$89,3,0)*VLOOKUP('Données projet'!$B$10,Paramètres!$A$1:$I$89,5,0)</f>
        <v>485.06109600000099</v>
      </c>
      <c r="AK143" s="13">
        <f t="shared" si="143"/>
        <v>108.82327771411607</v>
      </c>
      <c r="AL143" s="20">
        <f t="shared" si="112"/>
        <v>1034.348617552087</v>
      </c>
      <c r="AM143" s="59">
        <f t="shared" si="113"/>
        <v>1319.7717054563113</v>
      </c>
      <c r="AN143" s="59">
        <f ca="1">AVERAGE(OFFSET($AM$3,0,0,'Données projet'!$E$10+1,1))-AVERAGE(OFFSET($H$3,0,0,'Données projet'!$E$10+1,1))</f>
        <v>752.45542076695506</v>
      </c>
      <c r="AO143" s="59">
        <f t="shared" si="144"/>
        <v>329.70629768420724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44.528406669673537</v>
      </c>
      <c r="AV143" s="21">
        <f>EXP(-LN(2)/25)*AV142+(1-EXP(-LN(2)/25))/(LN(2)/25)*Calculateur!AQ143*Calculateur!AS143*VLOOKUP('Données projet'!$B$10,Paramètres!$A$1:$I$89,3,0)*0.475*44/12</f>
        <v>22.555096139528469</v>
      </c>
      <c r="AW143" s="21">
        <f>EXP(-LN(2)/2)*AW142+(1-EXP(-LN(2)/2))/(LN(2)/2)*AQ143*AT143*VLOOKUP('Données projet'!$B$10,Paramètres!$A$1:$I$89,3,0)*0.475*44/12</f>
        <v>2.2352419311631257E-2</v>
      </c>
      <c r="AX143" s="21">
        <f t="shared" si="114"/>
        <v>67.105855228513633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9.1440000000000055</v>
      </c>
      <c r="BD143" s="12">
        <f>IF('Données projet'!$A$88&gt;35,BD142+BC143-BL142,IF(A143&lt;'Données projet'!$A$88,$BA$205^A143,IF(A143='Données projet'!$A$88,'Données projet'!$B$88,BD142+BC143-BL142)))</f>
        <v>478.36400000000094</v>
      </c>
      <c r="BE143" s="13">
        <f>BD143*VLOOKUP('Données projet'!$B$11,Paramètres!$A$1:$I$89,3,0)*VLOOKUP('Données projet'!$B$11,Paramètres!$A$1:$I$89,5,0)</f>
        <v>432.82374720000081</v>
      </c>
      <c r="BF143" s="13">
        <f t="shared" si="145"/>
        <v>98.400325655042849</v>
      </c>
      <c r="BG143" s="20">
        <f t="shared" si="115"/>
        <v>925.21526022253431</v>
      </c>
      <c r="BH143" s="59">
        <f t="shared" si="116"/>
        <v>1210.6383481267587</v>
      </c>
      <c r="BI143" s="59">
        <f ca="1">AVERAGE(OFFSET($BH$3,0,0,'Données projet'!$E$11+1,1))-AVERAGE(OFFSET($H$3,0,0,'Données projet'!$E$11+1,1))</f>
        <v>681.47578137804555</v>
      </c>
      <c r="BJ143" s="59">
        <f t="shared" si="146"/>
        <v>300.88511065995885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39.733039797554845</v>
      </c>
      <c r="BQ143" s="21">
        <f>EXP(-LN(2)/25)*BQ142+(1-EXP(-LN(2)/25))/(LN(2)/25)*Calculateur!BL143*Calculateur!BN143*VLOOKUP('Données projet'!$B$11,Paramètres!$A$1:$I$89,3,0)*0.475*44/12</f>
        <v>20.126085786040782</v>
      </c>
      <c r="BR143" s="21">
        <f>EXP(-LN(2)/2)*BR142+(1-EXP(-LN(2)/2))/(LN(2)/2)*BL143*BO143*VLOOKUP('Données projet'!$B$11,Paramètres!$A$1:$I$89,3,0)*0.475*44/12</f>
        <v>1.9945235693455597E-2</v>
      </c>
      <c r="BS143" s="22">
        <f t="shared" si="117"/>
        <v>59.879070819289083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2.2737367544323206E-13</v>
      </c>
      <c r="BZ143" s="13">
        <f>BY143*VLOOKUP('Données projet'!$B$12,Paramètres!$A$1:$I$89,3,0)*VLOOKUP('Données projet'!$B$12,Paramètres!$A$1:$I$89,5,0)</f>
        <v>1.5252226148732008E-13</v>
      </c>
      <c r="CA143" s="13">
        <f t="shared" si="147"/>
        <v>2.1814502464536512E-12</v>
      </c>
      <c r="CB143" s="20">
        <f t="shared" si="118"/>
        <v>4.0650021179971913E-12</v>
      </c>
      <c r="CC143" s="59">
        <f t="shared" si="119"/>
        <v>285.42308790422845</v>
      </c>
      <c r="CD143" s="59">
        <f ca="1">AVERAGE(OFFSET($CC$3,0,0,'Données projet'!$E$12+1,1))-AVERAGE(OFFSET($H$3,0,0,'Données projet'!$E$12+1,1))</f>
        <v>335.73816489539837</v>
      </c>
      <c r="CE143" s="59">
        <f t="shared" si="148"/>
        <v>254.09787950201044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20.679349909904982</v>
      </c>
      <c r="CL143" s="21">
        <f>EXP(-LN(2)/25)*CL142+(1-EXP(-LN(2)/25))/(LN(2)/25)*Calculateur!CG143*Calculateur!CI143*VLOOKUP('Données projet'!$B$12,Paramètres!$A$1:$I$89,3,0)*0.475*44/12</f>
        <v>16.502827063581027</v>
      </c>
      <c r="CM143" s="21">
        <f>EXP(-LN(2)/2)*CM142+(1-EXP(-LN(2)/2))/(LN(2)/2)*CG143*CJ143*VLOOKUP('Données projet'!$B$12,Paramètres!$A$1:$I$89,3,0)*0.475*44/12</f>
        <v>1.4940074334261998E-3</v>
      </c>
      <c r="CN143" s="22">
        <f t="shared" si="120"/>
        <v>37.183670980919437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1.1368683772161603E-13</v>
      </c>
      <c r="CU143" s="17">
        <f>CT143*VLOOKUP('Données projet'!$B$13,Paramètres!$A$1:$I$89,3,0)*VLOOKUP('Données projet'!$B$13,Paramètres!$A$1:$I$89,5,0)</f>
        <v>6.7984728957526396E-14</v>
      </c>
      <c r="CV143" s="13">
        <f t="shared" si="149"/>
        <v>1.0682447123141398E-12</v>
      </c>
      <c r="CW143" s="20">
        <f t="shared" si="121"/>
        <v>1.978932943548152E-12</v>
      </c>
      <c r="CX143" s="59">
        <f t="shared" si="122"/>
        <v>285.42308790422635</v>
      </c>
      <c r="CY143" s="59">
        <f ca="1">AVERAGE(OFFSET($CX$3,0,0,'Données projet'!$E$13+1,1))-AVERAGE(OFFSET($H$3,0,0,'Données projet'!$E$13+1,1))</f>
        <v>318.50474972254085</v>
      </c>
      <c r="CZ143" s="59">
        <f t="shared" si="150"/>
        <v>326.45858332753562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28.479809975978075</v>
      </c>
      <c r="DG143" s="21">
        <f>EXP(-LN(2)/25)*DG142+(1-EXP(-LN(2)/25))/(LN(2)/25)*Calculateur!DB143*Calculateur!DD143*VLOOKUP('Données projet'!$B$13,Paramètres!$A$1:$I$89,3,0)*0.475*44/12</f>
        <v>5.2712400032096838</v>
      </c>
      <c r="DH143" s="21">
        <f>EXP(-LN(2)/2)*DH142+(1-EXP(-LN(2)/2))/(LN(2)/2)*DB143*DE143*VLOOKUP('Données projet'!$B$13,Paramètres!$A$1:$I$89,3,0)*0.475*44/12</f>
        <v>5.4534614558500374E-11</v>
      </c>
      <c r="DI143" s="22">
        <f t="shared" si="123"/>
        <v>33.751049979242289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3">
        <f>'Scénario référence'!$B$16*5+'Scénario référence'!$B$17*0+'Scénario référence'!$B$18*5</f>
        <v>5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67">
        <f t="shared" si="110"/>
        <v>183.33333333333334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5.6843418860808015E-14</v>
      </c>
      <c r="O144" s="13">
        <f>N144*VLOOKUP('Données projet'!$B$9,Paramètres!$A$1:$I$89,3,0)*VLOOKUP('Données projet'!$B$9,Paramètres!$A$1:$I$89,5,0)</f>
        <v>5.1431925385259088E-14</v>
      </c>
      <c r="P144" s="13">
        <f t="shared" si="141"/>
        <v>8.3482866290946129E-13</v>
      </c>
      <c r="Q144" s="20">
        <f t="shared" si="108"/>
        <v>1.5435705246133045E-12</v>
      </c>
      <c r="R144" s="59">
        <f t="shared" si="109"/>
        <v>285.56031297776155</v>
      </c>
      <c r="S144" s="59">
        <f ca="1">AVERAGE(OFFSET($R$3,0,0,'Données projet'!$E$9+1,1))-AVERAGE(OFFSET($H$3,0,0,'Données projet'!$E$9+1,1))</f>
        <v>214.60547318405733</v>
      </c>
      <c r="T144" s="59">
        <f t="shared" si="142"/>
        <v>306.35874106546646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2.3318475670093441</v>
      </c>
      <c r="AA144" s="21">
        <f>EXP(-LN(2)/25)*AA143+(1-EXP(-LN(2)/25))/(LN(2)/25)*Calculateur!V144*Calculateur!X144*VLOOKUP('Données projet'!$B$9,Paramètres!$A$1:$I$89,3,0)*0.475*44/12</f>
        <v>0.92294919608289083</v>
      </c>
      <c r="AB144" s="21">
        <f>EXP(-LN(2)/2)*AB143+(1-EXP(-LN(2)/2))/(LN(2)/2)*V144*Y144*VLOOKUP('Données projet'!$B$9,Paramètres!$A$1:$I$89,3,0)*0.475*44/12</f>
        <v>4.8994015542804332E-14</v>
      </c>
      <c r="AC144" s="22">
        <f t="shared" si="111"/>
        <v>3.2547967630922838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9.1440000000000055</v>
      </c>
      <c r="AI144" s="13">
        <f>IF('Données projet'!$A$62&gt;35,AI143+AH144-AQ143,IF(A144&lt;'Données projet'!$A$62,$AF$205^A144,IF(A144='Données projet'!$A$62,'Données projet'!$B$62,AI143+AH144-AQ143)))</f>
        <v>487.50800000000095</v>
      </c>
      <c r="AJ144" s="13">
        <f>AI144*VLOOKUP('Données projet'!$B$10,Paramètres!$A$1:$I$89,3,0)*VLOOKUP('Données projet'!$B$10,Paramètres!$A$1:$I$89,5,0)</f>
        <v>494.33311200000099</v>
      </c>
      <c r="AK144" s="13">
        <f t="shared" si="143"/>
        <v>110.65928847529446</v>
      </c>
      <c r="AL144" s="20">
        <f t="shared" si="112"/>
        <v>1053.6950974944727</v>
      </c>
      <c r="AM144" s="59">
        <f t="shared" si="113"/>
        <v>1339.2554104722328</v>
      </c>
      <c r="AN144" s="59">
        <f ca="1">AVERAGE(OFFSET($AM$3,0,0,'Données projet'!$E$10+1,1))-AVERAGE(OFFSET($H$3,0,0,'Données projet'!$E$10+1,1))</f>
        <v>752.45542076695506</v>
      </c>
      <c r="AO144" s="59">
        <f t="shared" si="144"/>
        <v>329.70629768420724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43.655231774527515</v>
      </c>
      <c r="AV144" s="21">
        <f>EXP(-LN(2)/25)*AV143+(1-EXP(-LN(2)/25))/(LN(2)/25)*Calculateur!AQ144*Calculateur!AS144*VLOOKUP('Données projet'!$B$10,Paramètres!$A$1:$I$89,3,0)*0.475*44/12</f>
        <v>21.938325849472108</v>
      </c>
      <c r="AW144" s="21">
        <f>EXP(-LN(2)/2)*AW143+(1-EXP(-LN(2)/2))/(LN(2)/2)*AQ144*AT144*VLOOKUP('Données projet'!$B$10,Paramètres!$A$1:$I$89,3,0)*0.475*44/12</f>
        <v>1.5805547271179603E-2</v>
      </c>
      <c r="AX144" s="21">
        <f t="shared" si="114"/>
        <v>65.609363171270815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9.1440000000000055</v>
      </c>
      <c r="BD144" s="12">
        <f>IF('Données projet'!$A$88&gt;35,BD143+BC144-BL143,IF(A144&lt;'Données projet'!$A$88,$BA$205^A144,IF(A144='Données projet'!$A$88,'Données projet'!$B$88,BD143+BC144-BL143)))</f>
        <v>487.50800000000095</v>
      </c>
      <c r="BE144" s="13">
        <f>BD144*VLOOKUP('Données projet'!$B$11,Paramètres!$A$1:$I$89,3,0)*VLOOKUP('Données projet'!$B$11,Paramètres!$A$1:$I$89,5,0)</f>
        <v>441.09723840000083</v>
      </c>
      <c r="BF144" s="13">
        <f t="shared" si="145"/>
        <v>100.06048569250036</v>
      </c>
      <c r="BG144" s="20">
        <f t="shared" si="115"/>
        <v>942.51636946110614</v>
      </c>
      <c r="BH144" s="59">
        <f t="shared" si="116"/>
        <v>1228.0766824388661</v>
      </c>
      <c r="BI144" s="59">
        <f ca="1">AVERAGE(OFFSET($BH$3,0,0,'Données projet'!$E$11+1,1))-AVERAGE(OFFSET($H$3,0,0,'Données projet'!$E$11+1,1))</f>
        <v>681.47578137804555</v>
      </c>
      <c r="BJ144" s="59">
        <f t="shared" si="146"/>
        <v>300.88511065995885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38.953899121886089</v>
      </c>
      <c r="BQ144" s="21">
        <f>EXP(-LN(2)/25)*BQ143+(1-EXP(-LN(2)/25))/(LN(2)/25)*Calculateur!BL144*Calculateur!BN144*VLOOKUP('Données projet'!$B$11,Paramètres!$A$1:$I$89,3,0)*0.475*44/12</f>
        <v>19.575736911836646</v>
      </c>
      <c r="BR144" s="21">
        <f>EXP(-LN(2)/2)*BR143+(1-EXP(-LN(2)/2))/(LN(2)/2)*BL144*BO144*VLOOKUP('Données projet'!$B$11,Paramètres!$A$1:$I$89,3,0)*0.475*44/12</f>
        <v>1.4103411411206425E-2</v>
      </c>
      <c r="BS144" s="22">
        <f t="shared" si="117"/>
        <v>58.543739445133944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2.2737367544323206E-13</v>
      </c>
      <c r="BZ144" s="13">
        <f>BY144*VLOOKUP('Données projet'!$B$12,Paramètres!$A$1:$I$89,3,0)*VLOOKUP('Données projet'!$B$12,Paramètres!$A$1:$I$89,5,0)</f>
        <v>1.5252226148732008E-13</v>
      </c>
      <c r="CA144" s="13">
        <f t="shared" si="147"/>
        <v>2.1814502464536512E-12</v>
      </c>
      <c r="CB144" s="20">
        <f t="shared" si="118"/>
        <v>4.0650021179971913E-12</v>
      </c>
      <c r="CC144" s="59">
        <f t="shared" si="119"/>
        <v>285.56031297776411</v>
      </c>
      <c r="CD144" s="59">
        <f ca="1">AVERAGE(OFFSET($CC$3,0,0,'Données projet'!$E$12+1,1))-AVERAGE(OFFSET($H$3,0,0,'Données projet'!$E$12+1,1))</f>
        <v>335.73816489539837</v>
      </c>
      <c r="CE144" s="59">
        <f t="shared" si="148"/>
        <v>254.09787950201044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20.273840471329745</v>
      </c>
      <c r="CL144" s="21">
        <f>EXP(-LN(2)/25)*CL143+(1-EXP(-LN(2)/25))/(LN(2)/25)*Calculateur!CG144*Calculateur!CI144*VLOOKUP('Données projet'!$B$12,Paramètres!$A$1:$I$89,3,0)*0.475*44/12</f>
        <v>16.051556389681444</v>
      </c>
      <c r="CM144" s="21">
        <f>EXP(-LN(2)/2)*CM143+(1-EXP(-LN(2)/2))/(LN(2)/2)*CG144*CJ144*VLOOKUP('Données projet'!$B$12,Paramètres!$A$1:$I$89,3,0)*0.475*44/12</f>
        <v>1.0564227873187753E-3</v>
      </c>
      <c r="CN144" s="22">
        <f t="shared" si="120"/>
        <v>36.326453283798507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1.1368683772161603E-13</v>
      </c>
      <c r="CU144" s="17">
        <f>CT144*VLOOKUP('Données projet'!$B$13,Paramètres!$A$1:$I$89,3,0)*VLOOKUP('Données projet'!$B$13,Paramètres!$A$1:$I$89,5,0)</f>
        <v>6.7984728957526396E-14</v>
      </c>
      <c r="CV144" s="13">
        <f t="shared" si="149"/>
        <v>1.0682447123141398E-12</v>
      </c>
      <c r="CW144" s="20">
        <f t="shared" si="121"/>
        <v>1.978932943548152E-12</v>
      </c>
      <c r="CX144" s="59">
        <f t="shared" si="122"/>
        <v>285.56031297776201</v>
      </c>
      <c r="CY144" s="59">
        <f ca="1">AVERAGE(OFFSET($CX$3,0,0,'Données projet'!$E$13+1,1))-AVERAGE(OFFSET($H$3,0,0,'Données projet'!$E$13+1,1))</f>
        <v>318.50474972254085</v>
      </c>
      <c r="CZ144" s="59">
        <f t="shared" si="150"/>
        <v>326.45858332753562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27.921338273317989</v>
      </c>
      <c r="DG144" s="21">
        <f>EXP(-LN(2)/25)*DG143+(1-EXP(-LN(2)/25))/(LN(2)/25)*Calculateur!DB144*Calculateur!DD144*VLOOKUP('Données projet'!$B$13,Paramètres!$A$1:$I$89,3,0)*0.475*44/12</f>
        <v>5.1270976681194504</v>
      </c>
      <c r="DH144" s="21">
        <f>EXP(-LN(2)/2)*DH143+(1-EXP(-LN(2)/2))/(LN(2)/2)*DB144*DE144*VLOOKUP('Données projet'!$B$13,Paramètres!$A$1:$I$89,3,0)*0.475*44/12</f>
        <v>3.8561795763710233E-11</v>
      </c>
      <c r="DI144" s="22">
        <f t="shared" si="123"/>
        <v>33.048435941476001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3">
        <f>'Scénario référence'!$B$16*5+'Scénario référence'!$B$17*0+'Scénario référence'!$B$18*5</f>
        <v>5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67">
        <f t="shared" si="110"/>
        <v>183.33333333333334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5.6843418860808015E-14</v>
      </c>
      <c r="O145" s="13">
        <f>N145*VLOOKUP('Données projet'!$B$9,Paramètres!$A$1:$I$89,3,0)*VLOOKUP('Données projet'!$B$9,Paramètres!$A$1:$I$89,5,0)</f>
        <v>5.1431925385259088E-14</v>
      </c>
      <c r="P145" s="13">
        <f t="shared" si="141"/>
        <v>8.3482866290946129E-13</v>
      </c>
      <c r="Q145" s="20">
        <f t="shared" si="108"/>
        <v>1.5435705246133045E-12</v>
      </c>
      <c r="R145" s="59">
        <f t="shared" si="109"/>
        <v>285.69515750306061</v>
      </c>
      <c r="S145" s="59">
        <f ca="1">AVERAGE(OFFSET($R$3,0,0,'Données projet'!$E$9+1,1))-AVERAGE(OFFSET($H$3,0,0,'Données projet'!$E$9+1,1))</f>
        <v>214.60547318405733</v>
      </c>
      <c r="T145" s="59">
        <f t="shared" si="142"/>
        <v>306.35874106546646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2.2861214585068677</v>
      </c>
      <c r="AA145" s="21">
        <f>EXP(-LN(2)/25)*AA144+(1-EXP(-LN(2)/25))/(LN(2)/25)*Calculateur!V145*Calculateur!X145*VLOOKUP('Données projet'!$B$9,Paramètres!$A$1:$I$89,3,0)*0.475*44/12</f>
        <v>0.8977111017802154</v>
      </c>
      <c r="AB145" s="21">
        <f>EXP(-LN(2)/2)*AB144+(1-EXP(-LN(2)/2))/(LN(2)/2)*V145*Y145*VLOOKUP('Données projet'!$B$9,Paramètres!$A$1:$I$89,3,0)*0.475*44/12</f>
        <v>3.4644000627876051E-14</v>
      </c>
      <c r="AC145" s="22">
        <f t="shared" si="111"/>
        <v>3.1838325602871178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9.1440000000000055</v>
      </c>
      <c r="AI145" s="13">
        <f>IF('Données projet'!$A$62&gt;35,AI144+AH145-AQ144,IF(A145&lt;'Données projet'!$A$62,$AF$205^A145,IF(A145='Données projet'!$A$62,'Données projet'!$B$62,AI144+AH145-AQ144)))</f>
        <v>496.65200000000095</v>
      </c>
      <c r="AJ145" s="13">
        <f>AI145*VLOOKUP('Données projet'!$B$10,Paramètres!$A$1:$I$89,3,0)*VLOOKUP('Données projet'!$B$10,Paramètres!$A$1:$I$89,5,0)</f>
        <v>503.605128000001</v>
      </c>
      <c r="AK145" s="13">
        <f t="shared" si="143"/>
        <v>112.49129485365643</v>
      </c>
      <c r="AL145" s="20">
        <f t="shared" si="112"/>
        <v>1073.0346031367867</v>
      </c>
      <c r="AM145" s="59">
        <f t="shared" si="113"/>
        <v>1358.7297606398458</v>
      </c>
      <c r="AN145" s="59">
        <f ca="1">AVERAGE(OFFSET($AM$3,0,0,'Données projet'!$E$10+1,1))-AVERAGE(OFFSET($H$3,0,0,'Données projet'!$E$10+1,1))</f>
        <v>752.45542076695506</v>
      </c>
      <c r="AO145" s="59">
        <f t="shared" si="144"/>
        <v>329.70629768420724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42.799179306491212</v>
      </c>
      <c r="AV145" s="21">
        <f>EXP(-LN(2)/25)*AV144+(1-EXP(-LN(2)/25))/(LN(2)/25)*Calculateur!AQ145*Calculateur!AS145*VLOOKUP('Données projet'!$B$10,Paramètres!$A$1:$I$89,3,0)*0.475*44/12</f>
        <v>21.338421175431876</v>
      </c>
      <c r="AW145" s="21">
        <f>EXP(-LN(2)/2)*AW144+(1-EXP(-LN(2)/2))/(LN(2)/2)*AQ145*AT145*VLOOKUP('Données projet'!$B$10,Paramètres!$A$1:$I$89,3,0)*0.475*44/12</f>
        <v>1.1176209655815629E-2</v>
      </c>
      <c r="AX145" s="21">
        <f t="shared" si="114"/>
        <v>64.148776691578902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9.1440000000000055</v>
      </c>
      <c r="BD145" s="12">
        <f>IF('Données projet'!$A$88&gt;35,BD144+BC145-BL144,IF(A145&lt;'Données projet'!$A$88,$BA$205^A145,IF(A145='Données projet'!$A$88,'Données projet'!$B$88,BD144+BC145-BL144)))</f>
        <v>496.65200000000095</v>
      </c>
      <c r="BE145" s="13">
        <f>BD145*VLOOKUP('Données projet'!$B$11,Paramètres!$A$1:$I$89,3,0)*VLOOKUP('Données projet'!$B$11,Paramètres!$A$1:$I$89,5,0)</f>
        <v>449.37072960000086</v>
      </c>
      <c r="BF145" s="13">
        <f t="shared" si="145"/>
        <v>101.71702488172154</v>
      </c>
      <c r="BG145" s="20">
        <f t="shared" si="115"/>
        <v>959.81117238899981</v>
      </c>
      <c r="BH145" s="59">
        <f t="shared" si="116"/>
        <v>1245.5063298920588</v>
      </c>
      <c r="BI145" s="59">
        <f ca="1">AVERAGE(OFFSET($BH$3,0,0,'Données projet'!$E$11+1,1))-AVERAGE(OFFSET($H$3,0,0,'Données projet'!$E$11+1,1))</f>
        <v>681.47578137804555</v>
      </c>
      <c r="BJ145" s="59">
        <f t="shared" si="146"/>
        <v>300.88511065995885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38.19003691963831</v>
      </c>
      <c r="BQ145" s="21">
        <f>EXP(-LN(2)/25)*BQ144+(1-EXP(-LN(2)/25))/(LN(2)/25)*Calculateur!BL145*Calculateur!BN145*VLOOKUP('Données projet'!$B$11,Paramètres!$A$1:$I$89,3,0)*0.475*44/12</f>
        <v>19.040437356539211</v>
      </c>
      <c r="BR145" s="21">
        <f>EXP(-LN(2)/2)*BR144+(1-EXP(-LN(2)/2))/(LN(2)/2)*BL145*BO145*VLOOKUP('Données projet'!$B$11,Paramètres!$A$1:$I$89,3,0)*0.475*44/12</f>
        <v>9.9726178467277986E-3</v>
      </c>
      <c r="BS145" s="22">
        <f t="shared" si="117"/>
        <v>57.240446894024245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2.2737367544323206E-13</v>
      </c>
      <c r="BZ145" s="13">
        <f>BY145*VLOOKUP('Données projet'!$B$12,Paramètres!$A$1:$I$89,3,0)*VLOOKUP('Données projet'!$B$12,Paramètres!$A$1:$I$89,5,0)</f>
        <v>1.5252226148732008E-13</v>
      </c>
      <c r="CA145" s="13">
        <f t="shared" si="147"/>
        <v>2.1814502464536512E-12</v>
      </c>
      <c r="CB145" s="20">
        <f t="shared" si="118"/>
        <v>4.0650021179971913E-12</v>
      </c>
      <c r="CC145" s="59">
        <f t="shared" si="119"/>
        <v>285.69515750306317</v>
      </c>
      <c r="CD145" s="59">
        <f ca="1">AVERAGE(OFFSET($CC$3,0,0,'Données projet'!$E$12+1,1))-AVERAGE(OFFSET($H$3,0,0,'Données projet'!$E$12+1,1))</f>
        <v>335.73816489539837</v>
      </c>
      <c r="CE145" s="59">
        <f t="shared" si="148"/>
        <v>254.09787950201044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19.876282825508632</v>
      </c>
      <c r="CL145" s="21">
        <f>EXP(-LN(2)/25)*CL144+(1-EXP(-LN(2)/25))/(LN(2)/25)*Calculateur!CG145*Calculateur!CI145*VLOOKUP('Données projet'!$B$12,Paramètres!$A$1:$I$89,3,0)*0.475*44/12</f>
        <v>15.612625736090941</v>
      </c>
      <c r="CM145" s="21">
        <f>EXP(-LN(2)/2)*CM144+(1-EXP(-LN(2)/2))/(LN(2)/2)*CG145*CJ145*VLOOKUP('Données projet'!$B$12,Paramètres!$A$1:$I$89,3,0)*0.475*44/12</f>
        <v>7.4700371671309988E-4</v>
      </c>
      <c r="CN145" s="22">
        <f t="shared" si="120"/>
        <v>35.489655565316284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1.1368683772161603E-13</v>
      </c>
      <c r="CU145" s="17">
        <f>CT145*VLOOKUP('Données projet'!$B$13,Paramètres!$A$1:$I$89,3,0)*VLOOKUP('Données projet'!$B$13,Paramètres!$A$1:$I$89,5,0)</f>
        <v>6.7984728957526396E-14</v>
      </c>
      <c r="CV145" s="13">
        <f t="shared" si="149"/>
        <v>1.0682447123141398E-12</v>
      </c>
      <c r="CW145" s="20">
        <f t="shared" si="121"/>
        <v>1.978932943548152E-12</v>
      </c>
      <c r="CX145" s="59">
        <f t="shared" si="122"/>
        <v>285.69515750306107</v>
      </c>
      <c r="CY145" s="59">
        <f ca="1">AVERAGE(OFFSET($CX$3,0,0,'Données projet'!$E$13+1,1))-AVERAGE(OFFSET($H$3,0,0,'Données projet'!$E$13+1,1))</f>
        <v>318.50474972254085</v>
      </c>
      <c r="CZ145" s="59">
        <f t="shared" si="150"/>
        <v>326.45858332753562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27.373817860112965</v>
      </c>
      <c r="DG145" s="21">
        <f>EXP(-LN(2)/25)*DG144+(1-EXP(-LN(2)/25))/(LN(2)/25)*Calculateur!DB145*Calculateur!DD145*VLOOKUP('Données projet'!$B$13,Paramètres!$A$1:$I$89,3,0)*0.475*44/12</f>
        <v>4.9868969127623757</v>
      </c>
      <c r="DH145" s="21">
        <f>EXP(-LN(2)/2)*DH144+(1-EXP(-LN(2)/2))/(LN(2)/2)*DB145*DE145*VLOOKUP('Données projet'!$B$13,Paramètres!$A$1:$I$89,3,0)*0.475*44/12</f>
        <v>2.7267307279250187E-11</v>
      </c>
      <c r="DI145" s="22">
        <f t="shared" si="123"/>
        <v>32.360714772902611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3">
        <f>'Scénario référence'!$B$16*5+'Scénario référence'!$B$17*0+'Scénario référence'!$B$18*5</f>
        <v>5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67">
        <f t="shared" si="110"/>
        <v>183.33333333333334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5.6843418860808015E-14</v>
      </c>
      <c r="O146" s="13">
        <f>N146*VLOOKUP('Données projet'!$B$9,Paramètres!$A$1:$I$89,3,0)*VLOOKUP('Données projet'!$B$9,Paramètres!$A$1:$I$89,5,0)</f>
        <v>5.1431925385259088E-14</v>
      </c>
      <c r="P146" s="13">
        <f t="shared" si="141"/>
        <v>8.3482866290946129E-13</v>
      </c>
      <c r="Q146" s="20">
        <f t="shared" si="108"/>
        <v>1.5435705246133045E-12</v>
      </c>
      <c r="R146" s="59">
        <f t="shared" si="109"/>
        <v>285.82766277731298</v>
      </c>
      <c r="S146" s="59">
        <f ca="1">AVERAGE(OFFSET($R$3,0,0,'Données projet'!$E$9+1,1))-AVERAGE(OFFSET($H$3,0,0,'Données projet'!$E$9+1,1))</f>
        <v>214.60547318405733</v>
      </c>
      <c r="T146" s="59">
        <f t="shared" si="142"/>
        <v>306.35874106546646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2.2412920111019523</v>
      </c>
      <c r="AA146" s="21">
        <f>EXP(-LN(2)/25)*AA145+(1-EXP(-LN(2)/25))/(LN(2)/25)*Calculateur!V146*Calculateur!X146*VLOOKUP('Données projet'!$B$9,Paramètres!$A$1:$I$89,3,0)*0.475*44/12</f>
        <v>0.87316314449346033</v>
      </c>
      <c r="AB146" s="21">
        <f>EXP(-LN(2)/2)*AB145+(1-EXP(-LN(2)/2))/(LN(2)/2)*V146*Y146*VLOOKUP('Données projet'!$B$9,Paramètres!$A$1:$I$89,3,0)*0.475*44/12</f>
        <v>2.4497007771402166E-14</v>
      </c>
      <c r="AC146" s="22">
        <f t="shared" si="111"/>
        <v>3.114455155595437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9.1440000000000055</v>
      </c>
      <c r="AI146" s="13">
        <f>IF('Données projet'!$A$62&gt;35,AI145+AH146-AQ145,IF(A146&lt;'Données projet'!$A$62,$AF$205^A146,IF(A146='Données projet'!$A$62,'Données projet'!$B$62,AI145+AH146-AQ145)))</f>
        <v>505.79600000000096</v>
      </c>
      <c r="AJ146" s="13">
        <f>AI146*VLOOKUP('Données projet'!$B$10,Paramètres!$A$1:$I$89,3,0)*VLOOKUP('Données projet'!$B$10,Paramètres!$A$1:$I$89,5,0)</f>
        <v>512.87714400000095</v>
      </c>
      <c r="AK146" s="13">
        <f t="shared" si="143"/>
        <v>114.31937907794493</v>
      </c>
      <c r="AL146" s="20">
        <f t="shared" si="112"/>
        <v>1092.3672776940891</v>
      </c>
      <c r="AM146" s="59">
        <f t="shared" si="113"/>
        <v>1378.1949404714005</v>
      </c>
      <c r="AN146" s="59">
        <f ca="1">AVERAGE(OFFSET($AM$3,0,0,'Données projet'!$E$10+1,1))-AVERAGE(OFFSET($H$3,0,0,'Données projet'!$E$10+1,1))</f>
        <v>752.45542076695506</v>
      </c>
      <c r="AO146" s="59">
        <f t="shared" si="144"/>
        <v>329.70629768420724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41.959913505212647</v>
      </c>
      <c r="AV146" s="21">
        <f>EXP(-LN(2)/25)*AV145+(1-EXP(-LN(2)/25))/(LN(2)/25)*Calculateur!AQ146*Calculateur!AS146*VLOOKUP('Données projet'!$B$10,Paramètres!$A$1:$I$89,3,0)*0.475*44/12</f>
        <v>20.75492092625089</v>
      </c>
      <c r="AW146" s="21">
        <f>EXP(-LN(2)/2)*AW145+(1-EXP(-LN(2)/2))/(LN(2)/2)*AQ146*AT146*VLOOKUP('Données projet'!$B$10,Paramètres!$A$1:$I$89,3,0)*0.475*44/12</f>
        <v>7.9027736355898014E-3</v>
      </c>
      <c r="AX146" s="21">
        <f t="shared" si="114"/>
        <v>62.722737205099129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9.1440000000000055</v>
      </c>
      <c r="BD146" s="12">
        <f>IF('Données projet'!$A$88&gt;35,BD145+BC146-BL145,IF(A146&lt;'Données projet'!$A$88,$BA$205^A146,IF(A146='Données projet'!$A$88,'Données projet'!$B$88,BD145+BC146-BL145)))</f>
        <v>505.79600000000096</v>
      </c>
      <c r="BE146" s="13">
        <f>BD146*VLOOKUP('Données projet'!$B$11,Paramètres!$A$1:$I$89,3,0)*VLOOKUP('Données projet'!$B$11,Paramètres!$A$1:$I$89,5,0)</f>
        <v>457.64422080000088</v>
      </c>
      <c r="BF146" s="13">
        <f t="shared" si="145"/>
        <v>103.37001757568726</v>
      </c>
      <c r="BG146" s="20">
        <f t="shared" si="115"/>
        <v>977.0997985043233</v>
      </c>
      <c r="BH146" s="59">
        <f t="shared" si="116"/>
        <v>1262.9274612816348</v>
      </c>
      <c r="BI146" s="59">
        <f ca="1">AVERAGE(OFFSET($BH$3,0,0,'Données projet'!$E$11+1,1))-AVERAGE(OFFSET($H$3,0,0,'Données projet'!$E$11+1,1))</f>
        <v>681.47578137804555</v>
      </c>
      <c r="BJ146" s="59">
        <f t="shared" si="146"/>
        <v>300.88511065995885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37.441153589266669</v>
      </c>
      <c r="BQ146" s="21">
        <f>EXP(-LN(2)/25)*BQ145+(1-EXP(-LN(2)/25))/(LN(2)/25)*Calculateur!BL146*Calculateur!BN146*VLOOKUP('Données projet'!$B$11,Paramètres!$A$1:$I$89,3,0)*0.475*44/12</f>
        <v>18.519775595731563</v>
      </c>
      <c r="BR146" s="21">
        <f>EXP(-LN(2)/2)*BR145+(1-EXP(-LN(2)/2))/(LN(2)/2)*BL146*BO146*VLOOKUP('Données projet'!$B$11,Paramètres!$A$1:$I$89,3,0)*0.475*44/12</f>
        <v>7.0517057056032123E-3</v>
      </c>
      <c r="BS146" s="22">
        <f t="shared" si="117"/>
        <v>55.967980890703842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2.2737367544323206E-13</v>
      </c>
      <c r="BZ146" s="13">
        <f>BY146*VLOOKUP('Données projet'!$B$12,Paramètres!$A$1:$I$89,3,0)*VLOOKUP('Données projet'!$B$12,Paramètres!$A$1:$I$89,5,0)</f>
        <v>1.5252226148732008E-13</v>
      </c>
      <c r="CA146" s="13">
        <f t="shared" si="147"/>
        <v>2.1814502464536512E-12</v>
      </c>
      <c r="CB146" s="20">
        <f t="shared" si="118"/>
        <v>4.0650021179971913E-12</v>
      </c>
      <c r="CC146" s="59">
        <f t="shared" si="119"/>
        <v>285.82766277731554</v>
      </c>
      <c r="CD146" s="59">
        <f ca="1">AVERAGE(OFFSET($CC$3,0,0,'Données projet'!$E$12+1,1))-AVERAGE(OFFSET($H$3,0,0,'Données projet'!$E$12+1,1))</f>
        <v>335.73816489539837</v>
      </c>
      <c r="CE146" s="59">
        <f t="shared" si="148"/>
        <v>254.09787950201044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19.48652104263585</v>
      </c>
      <c r="CL146" s="21">
        <f>EXP(-LN(2)/25)*CL145+(1-EXP(-LN(2)/25))/(LN(2)/25)*Calculateur!CG146*Calculateur!CI146*VLOOKUP('Données projet'!$B$12,Paramètres!$A$1:$I$89,3,0)*0.475*44/12</f>
        <v>15.185697664305229</v>
      </c>
      <c r="CM146" s="21">
        <f>EXP(-LN(2)/2)*CM145+(1-EXP(-LN(2)/2))/(LN(2)/2)*CG146*CJ146*VLOOKUP('Données projet'!$B$12,Paramètres!$A$1:$I$89,3,0)*0.475*44/12</f>
        <v>5.2821139365938764E-4</v>
      </c>
      <c r="CN146" s="22">
        <f t="shared" si="120"/>
        <v>34.672746918334738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1.1368683772161603E-13</v>
      </c>
      <c r="CU146" s="17">
        <f>CT146*VLOOKUP('Données projet'!$B$13,Paramètres!$A$1:$I$89,3,0)*VLOOKUP('Données projet'!$B$13,Paramètres!$A$1:$I$89,5,0)</f>
        <v>6.7984728957526396E-14</v>
      </c>
      <c r="CV146" s="13">
        <f t="shared" si="149"/>
        <v>1.0682447123141398E-12</v>
      </c>
      <c r="CW146" s="20">
        <f t="shared" si="121"/>
        <v>1.978932943548152E-12</v>
      </c>
      <c r="CX146" s="59">
        <f t="shared" si="122"/>
        <v>285.82766277731344</v>
      </c>
      <c r="CY146" s="59">
        <f ca="1">AVERAGE(OFFSET($CX$3,0,0,'Données projet'!$E$13+1,1))-AVERAGE(OFFSET($H$3,0,0,'Données projet'!$E$13+1,1))</f>
        <v>318.50474972254085</v>
      </c>
      <c r="CZ146" s="59">
        <f t="shared" si="150"/>
        <v>326.45858332753562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26.837033988256415</v>
      </c>
      <c r="DG146" s="21">
        <f>EXP(-LN(2)/25)*DG145+(1-EXP(-LN(2)/25))/(LN(2)/25)*Calculateur!DB146*Calculateur!DD146*VLOOKUP('Données projet'!$B$13,Paramètres!$A$1:$I$89,3,0)*0.475*44/12</f>
        <v>4.8505299544333775</v>
      </c>
      <c r="DH146" s="21">
        <f>EXP(-LN(2)/2)*DH145+(1-EXP(-LN(2)/2))/(LN(2)/2)*DB146*DE146*VLOOKUP('Données projet'!$B$13,Paramètres!$A$1:$I$89,3,0)*0.475*44/12</f>
        <v>1.9280897881855116E-11</v>
      </c>
      <c r="DI146" s="22">
        <f t="shared" si="123"/>
        <v>31.687563942709073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3">
        <f>'Scénario référence'!$B$16*5+'Scénario référence'!$B$17*0+'Scénario référence'!$B$18*5</f>
        <v>5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67">
        <f t="shared" si="110"/>
        <v>183.33333333333334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5.6843418860808015E-14</v>
      </c>
      <c r="O147" s="13">
        <f>N147*VLOOKUP('Données projet'!$B$9,Paramètres!$A$1:$I$89,3,0)*VLOOKUP('Données projet'!$B$9,Paramètres!$A$1:$I$89,5,0)</f>
        <v>5.1431925385259088E-14</v>
      </c>
      <c r="P147" s="13">
        <f t="shared" si="141"/>
        <v>8.3482866290946129E-13</v>
      </c>
      <c r="Q147" s="20">
        <f t="shared" si="108"/>
        <v>1.5435705246133045E-12</v>
      </c>
      <c r="R147" s="59">
        <f t="shared" si="109"/>
        <v>285.95786938129442</v>
      </c>
      <c r="S147" s="59">
        <f ca="1">AVERAGE(OFFSET($R$3,0,0,'Données projet'!$E$9+1,1))-AVERAGE(OFFSET($H$3,0,0,'Données projet'!$E$9+1,1))</f>
        <v>214.60547318405733</v>
      </c>
      <c r="T147" s="59">
        <f t="shared" si="142"/>
        <v>306.35874106546646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2.1973416418173843</v>
      </c>
      <c r="AA147" s="21">
        <f>EXP(-LN(2)/25)*AA146+(1-EXP(-LN(2)/25))/(LN(2)/25)*Calculateur!V147*Calculateur!X147*VLOOKUP('Données projet'!$B$9,Paramètres!$A$1:$I$89,3,0)*0.475*44/12</f>
        <v>0.84928645238963252</v>
      </c>
      <c r="AB147" s="21">
        <f>EXP(-LN(2)/2)*AB146+(1-EXP(-LN(2)/2))/(LN(2)/2)*V147*Y147*VLOOKUP('Données projet'!$B$9,Paramètres!$A$1:$I$89,3,0)*0.475*44/12</f>
        <v>1.7322000313938025E-14</v>
      </c>
      <c r="AC147" s="22">
        <f t="shared" si="111"/>
        <v>3.0466280942070343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>
        <f>VLOOKUP(A147,'Données projet'!$A$61:$I$81,2,0)</f>
        <v>514.94000000000005</v>
      </c>
      <c r="AG147" s="12">
        <f>VLOOKUP(A147,'Données projet'!$A$61:$I$81,9,0)</f>
        <v>9.1440000000000055</v>
      </c>
      <c r="AH147" s="12">
        <f t="array" ref="AH147">INDEX(AG:AG,MIN(IF(ISNUMBER(AG147:AG343),ROW(AG147:AG343),"")))</f>
        <v>9.1440000000000055</v>
      </c>
      <c r="AI147" s="13">
        <f>IF('Données projet'!$A$62&gt;35,AI146+AH147-AQ146,IF(A147&lt;'Données projet'!$A$62,$AF$205^A147,IF(A147='Données projet'!$A$62,'Données projet'!$B$62,AI146+AH147-AQ146)))</f>
        <v>514.94000000000096</v>
      </c>
      <c r="AJ147" s="13">
        <f>AI147*VLOOKUP('Données projet'!$B$10,Paramètres!$A$1:$I$89,3,0)*VLOOKUP('Données projet'!$B$10,Paramètres!$A$1:$I$89,5,0)</f>
        <v>522.14916000000096</v>
      </c>
      <c r="AK147" s="13">
        <f t="shared" si="143"/>
        <v>116.14362023352821</v>
      </c>
      <c r="AL147" s="20">
        <f t="shared" si="112"/>
        <v>1111.6932589067299</v>
      </c>
      <c r="AM147" s="59">
        <f t="shared" si="113"/>
        <v>1397.6511282880228</v>
      </c>
      <c r="AN147" s="59">
        <f ca="1">AVERAGE(OFFSET($AM$3,0,0,'Données projet'!$E$10+1,1))-AVERAGE(OFFSET($H$3,0,0,'Données projet'!$E$10+1,1))</f>
        <v>752.45542076695506</v>
      </c>
      <c r="AO147" s="59">
        <f t="shared" si="144"/>
        <v>329.70629768420724</v>
      </c>
      <c r="AP147" s="15">
        <f>IF(ISNA(VLOOKUP(A147,'Données projet'!$A$61:$I$81,3,0)),0,VLOOKUP(A147,'Données projet'!$A$61:$I$81,3,0))</f>
        <v>12</v>
      </c>
      <c r="AQ147" s="15">
        <f>IF(ISNA(VLOOKUP(A147,'Données projet'!$A$61:$I$81,4,0)),0,VLOOKUP(A147,'Données projet'!$A$61:$I$81,4,0))</f>
        <v>61.800000000000068</v>
      </c>
      <c r="AR147" s="16">
        <f>IF(ISNA(VLOOKUP(A147,'Données projet'!$A$61:$I$81,5,0)),0%,VLOOKUP(A147,'Données projet'!$A$61:$I$81,5,0)*VLOOKUP('Données projet'!$B$10,Paramètres!$A$1:$I$89,7,0))</f>
        <v>0.215</v>
      </c>
      <c r="AS147" s="16">
        <f>IF(ISNA(VLOOKUP(A147,'Données projet'!$A$61:$I$81,6,0)),0%,VLOOKUP(A147,'Données projet'!$A$61:$I$81,6,0)*VLOOKUP('Données projet'!$B$10,Paramètres!$A$1:$I$89,7,0))</f>
        <v>8.6000000000000007E-2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56.031127516309859</v>
      </c>
      <c r="AV147" s="21">
        <f>EXP(-LN(2)/25)*AV146+(1-EXP(-LN(2)/25))/(LN(2)/25)*Calculateur!AQ147*Calculateur!AS147*VLOOKUP('Données projet'!$B$10,Paramètres!$A$1:$I$89,3,0)*0.475*44/12</f>
        <v>26.121528074454901</v>
      </c>
      <c r="AW147" s="21">
        <f>EXP(-LN(2)/2)*AW146+(1-EXP(-LN(2)/2))/(LN(2)/2)*AQ147*AT147*VLOOKUP('Données projet'!$B$10,Paramètres!$A$1:$I$89,3,0)*0.475*44/12</f>
        <v>5.5881048279078143E-3</v>
      </c>
      <c r="AX147" s="21">
        <f t="shared" si="114"/>
        <v>82.158243695592674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>
        <f>VLOOKUP(A147,'Données projet'!$A$87:$I$107,2,0)</f>
        <v>514.94000000000005</v>
      </c>
      <c r="BB147" s="12">
        <f>VLOOKUP(A147,'Données projet'!$A$87:$I$107,9,0)</f>
        <v>9.1440000000000055</v>
      </c>
      <c r="BC147" s="12">
        <f t="array" ref="BC147">INDEX(BB:BB,MIN(IF(ISNUMBER(BB147:BB343),ROW(BB147:BB343),"")))</f>
        <v>9.1440000000000055</v>
      </c>
      <c r="BD147" s="12">
        <f>IF('Données projet'!$A$88&gt;35,BD146+BC147-BL146,IF(A147&lt;'Données projet'!$A$88,$BA$205^A147,IF(A147='Données projet'!$A$88,'Données projet'!$B$88,BD146+BC147-BL146)))</f>
        <v>514.94000000000096</v>
      </c>
      <c r="BE147" s="13">
        <f>BD147*VLOOKUP('Données projet'!$B$11,Paramètres!$A$1:$I$89,3,0)*VLOOKUP('Données projet'!$B$11,Paramètres!$A$1:$I$89,5,0)</f>
        <v>465.91771200000085</v>
      </c>
      <c r="BF147" s="13">
        <f t="shared" si="145"/>
        <v>105.01953528507198</v>
      </c>
      <c r="BG147" s="20">
        <f t="shared" si="115"/>
        <v>994.38237235483496</v>
      </c>
      <c r="BH147" s="59">
        <f t="shared" si="116"/>
        <v>1280.3402417361278</v>
      </c>
      <c r="BI147" s="59">
        <f ca="1">AVERAGE(OFFSET($BH$3,0,0,'Données projet'!$E$11+1,1))-AVERAGE(OFFSET($H$3,0,0,'Données projet'!$E$11+1,1))</f>
        <v>681.47578137804555</v>
      </c>
      <c r="BJ147" s="59">
        <f t="shared" si="146"/>
        <v>300.88511065995885</v>
      </c>
      <c r="BK147" s="15">
        <f>IF(ISNA(VLOOKUP(A147,'Données projet'!$A$87:$I$107,3,0)),0,VLOOKUP(A147,'Données projet'!$A$87:$I$107,3,0))</f>
        <v>12</v>
      </c>
      <c r="BL147" s="15">
        <f>IF(ISNA(VLOOKUP(A147,'Données projet'!$A$87:$I$107,4,0)),0,VLOOKUP(A147,'Données projet'!$A$87:$I$107,4,0))</f>
        <v>61.800000000000068</v>
      </c>
      <c r="BM147" s="16">
        <f>IF(ISNA(VLOOKUP(A147,'Données projet'!$A$87:$I$107,5,0)),0%,VLOOKUP(A147,'Données projet'!$A$87:$I$107,5,0)*VLOOKUP('Données projet'!$B$11,Paramètres!$A$1:$I$89,7,0))</f>
        <v>0.215</v>
      </c>
      <c r="BN147" s="16">
        <f>IF(ISNA(VLOOKUP(A147,'Données projet'!$A$87:$I$107,6,0)),0%,VLOOKUP(A147,'Données projet'!$A$87:$I$107,6,0)*VLOOKUP('Données projet'!$B$11,Paramètres!$A$1:$I$89,7,0))</f>
        <v>8.6000000000000007E-2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49.997006091476479</v>
      </c>
      <c r="BQ147" s="21">
        <f>EXP(-LN(2)/25)*BQ146+(1-EXP(-LN(2)/25))/(LN(2)/25)*Calculateur!BL147*Calculateur!BN147*VLOOKUP('Données projet'!$B$11,Paramètres!$A$1:$I$89,3,0)*0.475*44/12</f>
        <v>23.30844043566745</v>
      </c>
      <c r="BR147" s="21">
        <f>EXP(-LN(2)/2)*BR146+(1-EXP(-LN(2)/2))/(LN(2)/2)*BL147*BO147*VLOOKUP('Données projet'!$B$11,Paramètres!$A$1:$I$89,3,0)*0.475*44/12</f>
        <v>4.9863089233638993E-3</v>
      </c>
      <c r="BS147" s="22">
        <f t="shared" si="117"/>
        <v>73.310432836067292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2.2737367544323206E-13</v>
      </c>
      <c r="BZ147" s="13">
        <f>BY147*VLOOKUP('Données projet'!$B$12,Paramètres!$A$1:$I$89,3,0)*VLOOKUP('Données projet'!$B$12,Paramètres!$A$1:$I$89,5,0)</f>
        <v>1.5252226148732008E-13</v>
      </c>
      <c r="CA147" s="13">
        <f t="shared" si="147"/>
        <v>2.1814502464536512E-12</v>
      </c>
      <c r="CB147" s="20">
        <f t="shared" si="118"/>
        <v>4.0650021179971913E-12</v>
      </c>
      <c r="CC147" s="59">
        <f t="shared" si="119"/>
        <v>285.95786938129697</v>
      </c>
      <c r="CD147" s="59">
        <f ca="1">AVERAGE(OFFSET($CC$3,0,0,'Données projet'!$E$12+1,1))-AVERAGE(OFFSET($H$3,0,0,'Données projet'!$E$12+1,1))</f>
        <v>335.73816489539837</v>
      </c>
      <c r="CE147" s="59">
        <f t="shared" si="148"/>
        <v>254.09787950201044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19.104402250593992</v>
      </c>
      <c r="CL147" s="21">
        <f>EXP(-LN(2)/25)*CL146+(1-EXP(-LN(2)/25))/(LN(2)/25)*Calculateur!CG147*Calculateur!CI147*VLOOKUP('Données projet'!$B$12,Paramètres!$A$1:$I$89,3,0)*0.475*44/12</f>
        <v>14.770443963093669</v>
      </c>
      <c r="CM147" s="21">
        <f>EXP(-LN(2)/2)*CM146+(1-EXP(-LN(2)/2))/(LN(2)/2)*CG147*CJ147*VLOOKUP('Données projet'!$B$12,Paramètres!$A$1:$I$89,3,0)*0.475*44/12</f>
        <v>3.7350185835654994E-4</v>
      </c>
      <c r="CN147" s="22">
        <f t="shared" si="120"/>
        <v>33.875219715546017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1.1368683772161603E-13</v>
      </c>
      <c r="CU147" s="17">
        <f>CT147*VLOOKUP('Données projet'!$B$13,Paramètres!$A$1:$I$89,3,0)*VLOOKUP('Données projet'!$B$13,Paramètres!$A$1:$I$89,5,0)</f>
        <v>6.7984728957526396E-14</v>
      </c>
      <c r="CV147" s="13">
        <f t="shared" si="149"/>
        <v>1.0682447123141398E-12</v>
      </c>
      <c r="CW147" s="20">
        <f t="shared" si="121"/>
        <v>1.978932943548152E-12</v>
      </c>
      <c r="CX147" s="59">
        <f t="shared" si="122"/>
        <v>285.95786938129487</v>
      </c>
      <c r="CY147" s="59">
        <f ca="1">AVERAGE(OFFSET($CX$3,0,0,'Données projet'!$E$13+1,1))-AVERAGE(OFFSET($H$3,0,0,'Données projet'!$E$13+1,1))</f>
        <v>318.50474972254085</v>
      </c>
      <c r="CZ147" s="59">
        <f t="shared" si="150"/>
        <v>326.45858332753562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26.310776120721137</v>
      </c>
      <c r="DG147" s="21">
        <f>EXP(-LN(2)/25)*DG146+(1-EXP(-LN(2)/25))/(LN(2)/25)*Calculateur!DB147*Calculateur!DD147*VLOOKUP('Données projet'!$B$13,Paramètres!$A$1:$I$89,3,0)*0.475*44/12</f>
        <v>4.7178919577511129</v>
      </c>
      <c r="DH147" s="21">
        <f>EXP(-LN(2)/2)*DH146+(1-EXP(-LN(2)/2))/(LN(2)/2)*DB147*DE147*VLOOKUP('Données projet'!$B$13,Paramètres!$A$1:$I$89,3,0)*0.475*44/12</f>
        <v>1.3633653639625093E-11</v>
      </c>
      <c r="DI147" s="22">
        <f t="shared" si="123"/>
        <v>31.028668078485886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3">
        <f>'Scénario référence'!$B$16*5+'Scénario référence'!$B$17*0+'Scénario référence'!$B$18*5</f>
        <v>5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67">
        <f t="shared" si="110"/>
        <v>183.33333333333334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5.6843418860808015E-14</v>
      </c>
      <c r="O148" s="13">
        <f>N148*VLOOKUP('Données projet'!$B$9,Paramètres!$A$1:$I$89,3,0)*VLOOKUP('Données projet'!$B$9,Paramètres!$A$1:$I$89,5,0)</f>
        <v>5.1431925385259088E-14</v>
      </c>
      <c r="P148" s="13">
        <f t="shared" si="141"/>
        <v>8.3482866290946129E-13</v>
      </c>
      <c r="Q148" s="20">
        <f t="shared" si="108"/>
        <v>1.5435705246133045E-12</v>
      </c>
      <c r="R148" s="59">
        <f t="shared" si="109"/>
        <v>286.08581719179512</v>
      </c>
      <c r="S148" s="59">
        <f ca="1">AVERAGE(OFFSET($R$3,0,0,'Données projet'!$E$9+1,1))-AVERAGE(OFFSET($H$3,0,0,'Données projet'!$E$9+1,1))</f>
        <v>214.60547318405733</v>
      </c>
      <c r="T148" s="59">
        <f t="shared" si="142"/>
        <v>306.35874106546646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2.1542531124674085</v>
      </c>
      <c r="AA148" s="21">
        <f>EXP(-LN(2)/25)*AA147+(1-EXP(-LN(2)/25))/(LN(2)/25)*Calculateur!V148*Calculateur!X148*VLOOKUP('Données projet'!$B$9,Paramètres!$A$1:$I$89,3,0)*0.475*44/12</f>
        <v>0.82606266968700459</v>
      </c>
      <c r="AB148" s="21">
        <f>EXP(-LN(2)/2)*AB147+(1-EXP(-LN(2)/2))/(LN(2)/2)*V148*Y148*VLOOKUP('Données projet'!$B$9,Paramètres!$A$1:$I$89,3,0)*0.475*44/12</f>
        <v>1.2248503885701083E-14</v>
      </c>
      <c r="AC148" s="22">
        <f t="shared" si="111"/>
        <v>2.9803157821544257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9.3350000000000026</v>
      </c>
      <c r="AI148" s="13">
        <f>IF('Données projet'!$A$62&gt;35,AI147+AH148-AQ147,IF(A148&lt;'Données projet'!$A$62,$AF$205^A148,IF(A148='Données projet'!$A$62,'Données projet'!$B$62,AI147+AH148-AQ147)))</f>
        <v>462.47500000000093</v>
      </c>
      <c r="AJ148" s="13">
        <f>AI148*VLOOKUP('Données projet'!$B$10,Paramètres!$A$1:$I$89,3,0)*VLOOKUP('Données projet'!$B$10,Paramètres!$A$1:$I$89,5,0)</f>
        <v>468.94965000000099</v>
      </c>
      <c r="AK148" s="13">
        <f t="shared" si="143"/>
        <v>105.62316801364989</v>
      </c>
      <c r="AL148" s="20">
        <f t="shared" si="112"/>
        <v>1000.7143247071086</v>
      </c>
      <c r="AM148" s="59">
        <f t="shared" si="113"/>
        <v>1286.8001418989022</v>
      </c>
      <c r="AN148" s="59">
        <f ca="1">AVERAGE(OFFSET($AM$3,0,0,'Données projet'!$E$10+1,1))-AVERAGE(OFFSET($H$3,0,0,'Données projet'!$E$10+1,1))</f>
        <v>752.45542076695506</v>
      </c>
      <c r="AO148" s="59">
        <f t="shared" si="144"/>
        <v>329.70629768420724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54.932391281328243</v>
      </c>
      <c r="AV148" s="21">
        <f>EXP(-LN(2)/25)*AV147+(1-EXP(-LN(2)/25))/(LN(2)/25)*Calculateur!AQ148*Calculateur!AS148*VLOOKUP('Données projet'!$B$10,Paramètres!$A$1:$I$89,3,0)*0.475*44/12</f>
        <v>25.407233515587471</v>
      </c>
      <c r="AW148" s="21">
        <f>EXP(-LN(2)/2)*AW147+(1-EXP(-LN(2)/2))/(LN(2)/2)*AQ148*AT148*VLOOKUP('Données projet'!$B$10,Paramètres!$A$1:$I$89,3,0)*0.475*44/12</f>
        <v>3.9513868177949007E-3</v>
      </c>
      <c r="AX148" s="21">
        <f t="shared" si="114"/>
        <v>80.343576183733504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9.3350000000000026</v>
      </c>
      <c r="BD148" s="12">
        <f>IF('Données projet'!$A$88&gt;35,BD147+BC148-BL147,IF(A148&lt;'Données projet'!$A$88,$BA$205^A148,IF(A148='Données projet'!$A$88,'Données projet'!$B$88,BD147+BC148-BL147)))</f>
        <v>462.47500000000093</v>
      </c>
      <c r="BE148" s="13">
        <f>BD148*VLOOKUP('Données projet'!$B$11,Paramètres!$A$1:$I$89,3,0)*VLOOKUP('Données projet'!$B$11,Paramètres!$A$1:$I$89,5,0)</f>
        <v>418.44738000000081</v>
      </c>
      <c r="BF148" s="13">
        <f t="shared" si="145"/>
        <v>95.506718301246906</v>
      </c>
      <c r="BG148" s="20">
        <f t="shared" si="115"/>
        <v>895.13672120800663</v>
      </c>
      <c r="BH148" s="59">
        <f t="shared" si="116"/>
        <v>1181.2225383998002</v>
      </c>
      <c r="BI148" s="59">
        <f ca="1">AVERAGE(OFFSET($BH$3,0,0,'Données projet'!$E$11+1,1))-AVERAGE(OFFSET($H$3,0,0,'Données projet'!$E$11+1,1))</f>
        <v>681.47578137804555</v>
      </c>
      <c r="BJ148" s="59">
        <f t="shared" si="146"/>
        <v>300.88511065995885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49.016595297185191</v>
      </c>
      <c r="BQ148" s="21">
        <f>EXP(-LN(2)/25)*BQ147+(1-EXP(-LN(2)/25))/(LN(2)/25)*Calculateur!BL148*Calculateur!BN148*VLOOKUP('Données projet'!$B$11,Paramètres!$A$1:$I$89,3,0)*0.475*44/12</f>
        <v>22.671069906216513</v>
      </c>
      <c r="BR148" s="21">
        <f>EXP(-LN(2)/2)*BR147+(1-EXP(-LN(2)/2))/(LN(2)/2)*BL148*BO148*VLOOKUP('Données projet'!$B$11,Paramètres!$A$1:$I$89,3,0)*0.475*44/12</f>
        <v>3.5258528528016061E-3</v>
      </c>
      <c r="BS148" s="22">
        <f t="shared" si="117"/>
        <v>71.69119105625451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2.2737367544323206E-13</v>
      </c>
      <c r="BZ148" s="13">
        <f>BY148*VLOOKUP('Données projet'!$B$12,Paramètres!$A$1:$I$89,3,0)*VLOOKUP('Données projet'!$B$12,Paramètres!$A$1:$I$89,5,0)</f>
        <v>1.5252226148732008E-13</v>
      </c>
      <c r="CA148" s="13">
        <f t="shared" si="147"/>
        <v>2.1814502464536512E-12</v>
      </c>
      <c r="CB148" s="20">
        <f t="shared" si="118"/>
        <v>4.0650021179971913E-12</v>
      </c>
      <c r="CC148" s="59">
        <f t="shared" si="119"/>
        <v>286.08581719179767</v>
      </c>
      <c r="CD148" s="59">
        <f ca="1">AVERAGE(OFFSET($CC$3,0,0,'Données projet'!$E$12+1,1))-AVERAGE(OFFSET($H$3,0,0,'Données projet'!$E$12+1,1))</f>
        <v>335.73816489539837</v>
      </c>
      <c r="CE148" s="59">
        <f t="shared" si="148"/>
        <v>254.09787950201044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18.729776574994624</v>
      </c>
      <c r="CL148" s="21">
        <f>EXP(-LN(2)/25)*CL147+(1-EXP(-LN(2)/25))/(LN(2)/25)*Calculateur!CG148*Calculateur!CI148*VLOOKUP('Données projet'!$B$12,Paramètres!$A$1:$I$89,3,0)*0.475*44/12</f>
        <v>14.366545396178983</v>
      </c>
      <c r="CM148" s="21">
        <f>EXP(-LN(2)/2)*CM147+(1-EXP(-LN(2)/2))/(LN(2)/2)*CG148*CJ148*VLOOKUP('Données projet'!$B$12,Paramètres!$A$1:$I$89,3,0)*0.475*44/12</f>
        <v>2.6410569682969382E-4</v>
      </c>
      <c r="CN148" s="22">
        <f t="shared" si="120"/>
        <v>33.096586076870437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1.1368683772161603E-13</v>
      </c>
      <c r="CU148" s="17">
        <f>CT148*VLOOKUP('Données projet'!$B$13,Paramètres!$A$1:$I$89,3,0)*VLOOKUP('Données projet'!$B$13,Paramètres!$A$1:$I$89,5,0)</f>
        <v>6.7984728957526396E-14</v>
      </c>
      <c r="CV148" s="13">
        <f t="shared" si="149"/>
        <v>1.0682447123141398E-12</v>
      </c>
      <c r="CW148" s="20">
        <f t="shared" si="121"/>
        <v>1.978932943548152E-12</v>
      </c>
      <c r="CX148" s="59">
        <f t="shared" si="122"/>
        <v>286.08581719179557</v>
      </c>
      <c r="CY148" s="59">
        <f ca="1">AVERAGE(OFFSET($CX$3,0,0,'Données projet'!$E$13+1,1))-AVERAGE(OFFSET($H$3,0,0,'Données projet'!$E$13+1,1))</f>
        <v>318.50474972254085</v>
      </c>
      <c r="CZ148" s="59">
        <f t="shared" si="150"/>
        <v>326.45858332753562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25.79483784898262</v>
      </c>
      <c r="DG148" s="21">
        <f>EXP(-LN(2)/25)*DG147+(1-EXP(-LN(2)/25))/(LN(2)/25)*Calculateur!DB148*Calculateur!DD148*VLOOKUP('Données projet'!$B$13,Paramètres!$A$1:$I$89,3,0)*0.475*44/12</f>
        <v>4.5888809540632538</v>
      </c>
      <c r="DH148" s="21">
        <f>EXP(-LN(2)/2)*DH147+(1-EXP(-LN(2)/2))/(LN(2)/2)*DB148*DE148*VLOOKUP('Données projet'!$B$13,Paramètres!$A$1:$I$89,3,0)*0.475*44/12</f>
        <v>9.6404489409275581E-12</v>
      </c>
      <c r="DI148" s="22">
        <f t="shared" si="123"/>
        <v>30.383718803055515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3">
        <f>'Scénario référence'!$B$16*5+'Scénario référence'!$B$17*0+'Scénario référence'!$B$18*5</f>
        <v>5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67">
        <f t="shared" si="110"/>
        <v>183.33333333333334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5.6843418860808015E-14</v>
      </c>
      <c r="O149" s="13">
        <f>N149*VLOOKUP('Données projet'!$B$9,Paramètres!$A$1:$I$89,3,0)*VLOOKUP('Données projet'!$B$9,Paramètres!$A$1:$I$89,5,0)</f>
        <v>5.1431925385259088E-14</v>
      </c>
      <c r="P149" s="13">
        <f t="shared" si="141"/>
        <v>8.3482866290946129E-13</v>
      </c>
      <c r="Q149" s="20">
        <f t="shared" si="108"/>
        <v>1.5435705246133045E-12</v>
      </c>
      <c r="R149" s="59">
        <f t="shared" si="109"/>
        <v>286.21154539383218</v>
      </c>
      <c r="S149" s="59">
        <f ca="1">AVERAGE(OFFSET($R$3,0,0,'Données projet'!$E$9+1,1))-AVERAGE(OFFSET($H$3,0,0,'Données projet'!$E$9+1,1))</f>
        <v>214.60547318405733</v>
      </c>
      <c r="T149" s="59">
        <f t="shared" si="142"/>
        <v>306.35874106546646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2.1120095228965781</v>
      </c>
      <c r="AA149" s="21">
        <f>EXP(-LN(2)/25)*AA148+(1-EXP(-LN(2)/25))/(LN(2)/25)*Calculateur!V149*Calculateur!X149*VLOOKUP('Données projet'!$B$9,Paramètres!$A$1:$I$89,3,0)*0.475*44/12</f>
        <v>0.80347394254366566</v>
      </c>
      <c r="AB149" s="21">
        <f>EXP(-LN(2)/2)*AB148+(1-EXP(-LN(2)/2))/(LN(2)/2)*V149*Y149*VLOOKUP('Données projet'!$B$9,Paramètres!$A$1:$I$89,3,0)*0.475*44/12</f>
        <v>8.6610001569690127E-15</v>
      </c>
      <c r="AC149" s="22">
        <f t="shared" si="111"/>
        <v>2.9154834654402526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9.3350000000000026</v>
      </c>
      <c r="AI149" s="13">
        <f>IF('Données projet'!$A$62&gt;35,AI148+AH149-AQ148,IF(A149&lt;'Données projet'!$A$62,$AF$205^A149,IF(A149='Données projet'!$A$62,'Données projet'!$B$62,AI148+AH149-AQ148)))</f>
        <v>471.81000000000091</v>
      </c>
      <c r="AJ149" s="13">
        <f>AI149*VLOOKUP('Données projet'!$B$10,Paramètres!$A$1:$I$89,3,0)*VLOOKUP('Données projet'!$B$10,Paramètres!$A$1:$I$89,5,0)</f>
        <v>478.41534000000098</v>
      </c>
      <c r="AK149" s="13">
        <f t="shared" si="143"/>
        <v>107.50479816034752</v>
      </c>
      <c r="AL149" s="20">
        <f t="shared" si="112"/>
        <v>1020.4775739626069</v>
      </c>
      <c r="AM149" s="59">
        <f t="shared" si="113"/>
        <v>1306.6891193564375</v>
      </c>
      <c r="AN149" s="59">
        <f ca="1">AVERAGE(OFFSET($AM$3,0,0,'Données projet'!$E$10+1,1))-AVERAGE(OFFSET($H$3,0,0,'Données projet'!$E$10+1,1))</f>
        <v>752.45542076695506</v>
      </c>
      <c r="AO149" s="59">
        <f t="shared" si="144"/>
        <v>329.70629768420724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53.85520059375169</v>
      </c>
      <c r="AV149" s="21">
        <f>EXP(-LN(2)/25)*AV148+(1-EXP(-LN(2)/25))/(LN(2)/25)*Calculateur!AQ149*Calculateur!AS149*VLOOKUP('Données projet'!$B$10,Paramètres!$A$1:$I$89,3,0)*0.475*44/12</f>
        <v>24.712471378995389</v>
      </c>
      <c r="AW149" s="21">
        <f>EXP(-LN(2)/2)*AW148+(1-EXP(-LN(2)/2))/(LN(2)/2)*AQ149*AT149*VLOOKUP('Données projet'!$B$10,Paramètres!$A$1:$I$89,3,0)*0.475*44/12</f>
        <v>2.7940524139539072E-3</v>
      </c>
      <c r="AX149" s="21">
        <f t="shared" si="114"/>
        <v>78.570466025161039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9.3350000000000026</v>
      </c>
      <c r="BD149" s="12">
        <f>IF('Données projet'!$A$88&gt;35,BD148+BC149-BL148,IF(A149&lt;'Données projet'!$A$88,$BA$205^A149,IF(A149='Données projet'!$A$88,'Données projet'!$B$88,BD148+BC149-BL148)))</f>
        <v>471.81000000000091</v>
      </c>
      <c r="BE149" s="13">
        <f>BD149*VLOOKUP('Données projet'!$B$11,Paramètres!$A$1:$I$89,3,0)*VLOOKUP('Données projet'!$B$11,Paramètres!$A$1:$I$89,5,0)</f>
        <v>426.89368800000079</v>
      </c>
      <c r="BF149" s="13">
        <f t="shared" si="145"/>
        <v>97.208128358788159</v>
      </c>
      <c r="BG149" s="20">
        <f t="shared" si="115"/>
        <v>912.81066349155742</v>
      </c>
      <c r="BH149" s="59">
        <f t="shared" si="116"/>
        <v>1199.022208885388</v>
      </c>
      <c r="BI149" s="59">
        <f ca="1">AVERAGE(OFFSET($BH$3,0,0,'Données projet'!$E$11+1,1))-AVERAGE(OFFSET($H$3,0,0,'Données projet'!$E$11+1,1))</f>
        <v>681.47578137804555</v>
      </c>
      <c r="BJ149" s="59">
        <f t="shared" si="146"/>
        <v>300.88511065995885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48.055409760578421</v>
      </c>
      <c r="BQ149" s="21">
        <f>EXP(-LN(2)/25)*BQ148+(1-EXP(-LN(2)/25))/(LN(2)/25)*Calculateur!BL149*Calculateur!BN149*VLOOKUP('Données projet'!$B$11,Paramètres!$A$1:$I$89,3,0)*0.475*44/12</f>
        <v>22.051128307411272</v>
      </c>
      <c r="BR149" s="21">
        <f>EXP(-LN(2)/2)*BR148+(1-EXP(-LN(2)/2))/(LN(2)/2)*BL149*BO149*VLOOKUP('Données projet'!$B$11,Paramètres!$A$1:$I$89,3,0)*0.475*44/12</f>
        <v>2.4931544616819496E-3</v>
      </c>
      <c r="BS149" s="22">
        <f t="shared" si="117"/>
        <v>70.109031222451364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2.2737367544323206E-13</v>
      </c>
      <c r="BZ149" s="13">
        <f>BY149*VLOOKUP('Données projet'!$B$12,Paramètres!$A$1:$I$89,3,0)*VLOOKUP('Données projet'!$B$12,Paramètres!$A$1:$I$89,5,0)</f>
        <v>1.5252226148732008E-13</v>
      </c>
      <c r="CA149" s="13">
        <f t="shared" si="147"/>
        <v>2.1814502464536512E-12</v>
      </c>
      <c r="CB149" s="20">
        <f t="shared" si="118"/>
        <v>4.0650021179971913E-12</v>
      </c>
      <c r="CC149" s="59">
        <f t="shared" si="119"/>
        <v>286.21154539383474</v>
      </c>
      <c r="CD149" s="59">
        <f ca="1">AVERAGE(OFFSET($CC$3,0,0,'Données projet'!$E$12+1,1))-AVERAGE(OFFSET($H$3,0,0,'Données projet'!$E$12+1,1))</f>
        <v>335.73816489539837</v>
      </c>
      <c r="CE149" s="59">
        <f t="shared" si="148"/>
        <v>254.09787950201044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18.362497080394661</v>
      </c>
      <c r="CL149" s="21">
        <f>EXP(-LN(2)/25)*CL148+(1-EXP(-LN(2)/25))/(LN(2)/25)*Calculateur!CG149*Calculateur!CI149*VLOOKUP('Données projet'!$B$12,Paramètres!$A$1:$I$89,3,0)*0.475*44/12</f>
        <v>13.973691456816681</v>
      </c>
      <c r="CM149" s="21">
        <f>EXP(-LN(2)/2)*CM148+(1-EXP(-LN(2)/2))/(LN(2)/2)*CG149*CJ149*VLOOKUP('Données projet'!$B$12,Paramètres!$A$1:$I$89,3,0)*0.475*44/12</f>
        <v>1.8675092917827497E-4</v>
      </c>
      <c r="CN149" s="22">
        <f t="shared" si="120"/>
        <v>32.336375288140523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1.1368683772161603E-13</v>
      </c>
      <c r="CU149" s="17">
        <f>CT149*VLOOKUP('Données projet'!$B$13,Paramètres!$A$1:$I$89,3,0)*VLOOKUP('Données projet'!$B$13,Paramètres!$A$1:$I$89,5,0)</f>
        <v>6.7984728957526396E-14</v>
      </c>
      <c r="CV149" s="13">
        <f t="shared" si="149"/>
        <v>1.0682447123141398E-12</v>
      </c>
      <c r="CW149" s="20">
        <f t="shared" si="121"/>
        <v>1.978932943548152E-12</v>
      </c>
      <c r="CX149" s="59">
        <f t="shared" si="122"/>
        <v>286.21154539383264</v>
      </c>
      <c r="CY149" s="59">
        <f ca="1">AVERAGE(OFFSET($CX$3,0,0,'Données projet'!$E$13+1,1))-AVERAGE(OFFSET($H$3,0,0,'Données projet'!$E$13+1,1))</f>
        <v>318.50474972254085</v>
      </c>
      <c r="CZ149" s="59">
        <f t="shared" si="150"/>
        <v>326.45858332753562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25.289016812061625</v>
      </c>
      <c r="DG149" s="21">
        <f>EXP(-LN(2)/25)*DG148+(1-EXP(-LN(2)/25))/(LN(2)/25)*Calculateur!DB149*Calculateur!DD149*VLOOKUP('Données projet'!$B$13,Paramètres!$A$1:$I$89,3,0)*0.475*44/12</f>
        <v>4.4633977630556325</v>
      </c>
      <c r="DH149" s="21">
        <f>EXP(-LN(2)/2)*DH148+(1-EXP(-LN(2)/2))/(LN(2)/2)*DB149*DE149*VLOOKUP('Données projet'!$B$13,Paramètres!$A$1:$I$89,3,0)*0.475*44/12</f>
        <v>6.8168268198125467E-12</v>
      </c>
      <c r="DI149" s="22">
        <f t="shared" si="123"/>
        <v>29.752414575124075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3">
        <f>'Scénario référence'!$B$16*5+'Scénario référence'!$B$17*0+'Scénario référence'!$B$18*5</f>
        <v>5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67">
        <f t="shared" si="110"/>
        <v>183.33333333333334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5.6843418860808015E-14</v>
      </c>
      <c r="O150" s="13">
        <f>N150*VLOOKUP('Données projet'!$B$9,Paramètres!$A$1:$I$89,3,0)*VLOOKUP('Données projet'!$B$9,Paramètres!$A$1:$I$89,5,0)</f>
        <v>5.1431925385259088E-14</v>
      </c>
      <c r="P150" s="13">
        <f t="shared" si="141"/>
        <v>8.3482866290946129E-13</v>
      </c>
      <c r="Q150" s="20">
        <f t="shared" si="108"/>
        <v>1.5435705246133045E-12</v>
      </c>
      <c r="R150" s="59">
        <f t="shared" si="109"/>
        <v>286.33509249264995</v>
      </c>
      <c r="S150" s="59">
        <f ca="1">AVERAGE(OFFSET($R$3,0,0,'Données projet'!$E$9+1,1))-AVERAGE(OFFSET($H$3,0,0,'Données projet'!$E$9+1,1))</f>
        <v>214.60547318405733</v>
      </c>
      <c r="T150" s="59">
        <f t="shared" si="142"/>
        <v>306.35874106546646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2.0705943043511863</v>
      </c>
      <c r="AA150" s="21">
        <f>EXP(-LN(2)/25)*AA149+(1-EXP(-LN(2)/25))/(LN(2)/25)*Calculateur!V150*Calculateur!X150*VLOOKUP('Données projet'!$B$9,Paramètres!$A$1:$I$89,3,0)*0.475*44/12</f>
        <v>0.78150290533195088</v>
      </c>
      <c r="AB150" s="21">
        <f>EXP(-LN(2)/2)*AB149+(1-EXP(-LN(2)/2))/(LN(2)/2)*V150*Y150*VLOOKUP('Données projet'!$B$9,Paramètres!$A$1:$I$89,3,0)*0.475*44/12</f>
        <v>6.1242519428505415E-15</v>
      </c>
      <c r="AC150" s="22">
        <f t="shared" si="111"/>
        <v>2.8520972096831434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9.3350000000000026</v>
      </c>
      <c r="AI150" s="13">
        <f>IF('Données projet'!$A$62&gt;35,AI149+AH150-AQ149,IF(A150&lt;'Données projet'!$A$62,$AF$205^A150,IF(A150='Données projet'!$A$62,'Données projet'!$B$62,AI149+AH150-AQ149)))</f>
        <v>481.14500000000089</v>
      </c>
      <c r="AJ150" s="13">
        <f>AI150*VLOOKUP('Données projet'!$B$10,Paramètres!$A$1:$I$89,3,0)*VLOOKUP('Données projet'!$B$10,Paramètres!$A$1:$I$89,5,0)</f>
        <v>487.88103000000092</v>
      </c>
      <c r="AK150" s="13">
        <f t="shared" si="143"/>
        <v>109.38209953839079</v>
      </c>
      <c r="AL150" s="20">
        <f t="shared" si="112"/>
        <v>1040.2332839460321</v>
      </c>
      <c r="AM150" s="59">
        <f t="shared" si="113"/>
        <v>1326.5683764386804</v>
      </c>
      <c r="AN150" s="59">
        <f ca="1">AVERAGE(OFFSET($AM$3,0,0,'Données projet'!$E$10+1,1))-AVERAGE(OFFSET($H$3,0,0,'Données projet'!$E$10+1,1))</f>
        <v>752.45542076695506</v>
      </c>
      <c r="AO150" s="59">
        <f t="shared" si="144"/>
        <v>329.70629768420724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52.799132958537065</v>
      </c>
      <c r="AV150" s="21">
        <f>EXP(-LN(2)/25)*AV149+(1-EXP(-LN(2)/25))/(LN(2)/25)*Calculateur!AQ150*Calculateur!AS150*VLOOKUP('Données projet'!$B$10,Paramètres!$A$1:$I$89,3,0)*0.475*44/12</f>
        <v>24.036707549564372</v>
      </c>
      <c r="AW150" s="21">
        <f>EXP(-LN(2)/2)*AW149+(1-EXP(-LN(2)/2))/(LN(2)/2)*AQ150*AT150*VLOOKUP('Données projet'!$B$10,Paramètres!$A$1:$I$89,3,0)*0.475*44/12</f>
        <v>1.9756934088974503E-3</v>
      </c>
      <c r="AX150" s="21">
        <f t="shared" si="114"/>
        <v>76.837816201510336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9.3350000000000026</v>
      </c>
      <c r="BD150" s="12">
        <f>IF('Données projet'!$A$88&gt;35,BD149+BC150-BL149,IF(A150&lt;'Données projet'!$A$88,$BA$205^A150,IF(A150='Données projet'!$A$88,'Données projet'!$B$88,BD149+BC150-BL149)))</f>
        <v>481.14500000000089</v>
      </c>
      <c r="BE150" s="13">
        <f>BD150*VLOOKUP('Données projet'!$B$11,Paramètres!$A$1:$I$89,3,0)*VLOOKUP('Données projet'!$B$11,Paramètres!$A$1:$I$89,5,0)</f>
        <v>435.33999600000078</v>
      </c>
      <c r="BF150" s="13">
        <f t="shared" si="145"/>
        <v>98.905624251508897</v>
      </c>
      <c r="BG150" s="20">
        <f t="shared" si="115"/>
        <v>930.4777886047126</v>
      </c>
      <c r="BH150" s="59">
        <f t="shared" si="116"/>
        <v>1216.812881097361</v>
      </c>
      <c r="BI150" s="59">
        <f ca="1">AVERAGE(OFFSET($BH$3,0,0,'Données projet'!$E$11+1,1))-AVERAGE(OFFSET($H$3,0,0,'Données projet'!$E$11+1,1))</f>
        <v>681.47578137804555</v>
      </c>
      <c r="BJ150" s="59">
        <f t="shared" si="146"/>
        <v>300.88511065995885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47.113072486079218</v>
      </c>
      <c r="BQ150" s="21">
        <f>EXP(-LN(2)/25)*BQ149+(1-EXP(-LN(2)/25))/(LN(2)/25)*Calculateur!BL150*Calculateur!BN150*VLOOKUP('Données projet'!$B$11,Paramètres!$A$1:$I$89,3,0)*0.475*44/12</f>
        <v>21.448139044226672</v>
      </c>
      <c r="BR150" s="21">
        <f>EXP(-LN(2)/2)*BR149+(1-EXP(-LN(2)/2))/(LN(2)/2)*BL150*BO150*VLOOKUP('Données projet'!$B$11,Paramètres!$A$1:$I$89,3,0)*0.475*44/12</f>
        <v>1.7629264264008031E-3</v>
      </c>
      <c r="BS150" s="22">
        <f t="shared" si="117"/>
        <v>68.562974456732277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2.2737367544323206E-13</v>
      </c>
      <c r="BZ150" s="13">
        <f>BY150*VLOOKUP('Données projet'!$B$12,Paramètres!$A$1:$I$89,3,0)*VLOOKUP('Données projet'!$B$12,Paramètres!$A$1:$I$89,5,0)</f>
        <v>1.5252226148732008E-13</v>
      </c>
      <c r="CA150" s="13">
        <f t="shared" si="147"/>
        <v>2.1814502464536512E-12</v>
      </c>
      <c r="CB150" s="20">
        <f t="shared" si="118"/>
        <v>4.0650021179971913E-12</v>
      </c>
      <c r="CC150" s="59">
        <f t="shared" si="119"/>
        <v>286.33509249265251</v>
      </c>
      <c r="CD150" s="59">
        <f ca="1">AVERAGE(OFFSET($CC$3,0,0,'Données projet'!$E$12+1,1))-AVERAGE(OFFSET($H$3,0,0,'Données projet'!$E$12+1,1))</f>
        <v>335.73816489539837</v>
      </c>
      <c r="CE150" s="59">
        <f t="shared" si="148"/>
        <v>254.09787950201044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18.002419712665432</v>
      </c>
      <c r="CL150" s="21">
        <f>EXP(-LN(2)/25)*CL149+(1-EXP(-LN(2)/25))/(LN(2)/25)*Calculateur!CG150*Calculateur!CI150*VLOOKUP('Données projet'!$B$12,Paramètres!$A$1:$I$89,3,0)*0.475*44/12</f>
        <v>13.591580129085532</v>
      </c>
      <c r="CM150" s="21">
        <f>EXP(-LN(2)/2)*CM149+(1-EXP(-LN(2)/2))/(LN(2)/2)*CG150*CJ150*VLOOKUP('Données projet'!$B$12,Paramètres!$A$1:$I$89,3,0)*0.475*44/12</f>
        <v>1.3205284841484691E-4</v>
      </c>
      <c r="CN150" s="22">
        <f t="shared" si="120"/>
        <v>31.594131894599379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1.1368683772161603E-13</v>
      </c>
      <c r="CU150" s="17">
        <f>CT150*VLOOKUP('Données projet'!$B$13,Paramètres!$A$1:$I$89,3,0)*VLOOKUP('Données projet'!$B$13,Paramètres!$A$1:$I$89,5,0)</f>
        <v>6.7984728957526396E-14</v>
      </c>
      <c r="CV150" s="13">
        <f t="shared" si="149"/>
        <v>1.0682447123141398E-12</v>
      </c>
      <c r="CW150" s="20">
        <f t="shared" si="121"/>
        <v>1.978932943548152E-12</v>
      </c>
      <c r="CX150" s="59">
        <f t="shared" si="122"/>
        <v>286.3350924926504</v>
      </c>
      <c r="CY150" s="59">
        <f ca="1">AVERAGE(OFFSET($CX$3,0,0,'Données projet'!$E$13+1,1))-AVERAGE(OFFSET($H$3,0,0,'Données projet'!$E$13+1,1))</f>
        <v>318.50474972254085</v>
      </c>
      <c r="CZ150" s="59">
        <f t="shared" si="150"/>
        <v>326.45858332753562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24.793114617154281</v>
      </c>
      <c r="DG150" s="21">
        <f>EXP(-LN(2)/25)*DG149+(1-EXP(-LN(2)/25))/(LN(2)/25)*Calculateur!DB150*Calculateur!DD150*VLOOKUP('Données projet'!$B$13,Paramètres!$A$1:$I$89,3,0)*0.475*44/12</f>
        <v>4.3413459165049888</v>
      </c>
      <c r="DH150" s="21">
        <f>EXP(-LN(2)/2)*DH149+(1-EXP(-LN(2)/2))/(LN(2)/2)*DB150*DE150*VLOOKUP('Données projet'!$B$13,Paramètres!$A$1:$I$89,3,0)*0.475*44/12</f>
        <v>4.8202244704637791E-12</v>
      </c>
      <c r="DI150" s="22">
        <f t="shared" si="123"/>
        <v>29.13446053366409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3">
        <f>'Scénario référence'!$B$16*5+'Scénario référence'!$B$17*0+'Scénario référence'!$B$18*5</f>
        <v>5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67">
        <f t="shared" si="110"/>
        <v>183.33333333333334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5.6843418860808015E-14</v>
      </c>
      <c r="O151" s="13">
        <f>N151*VLOOKUP('Données projet'!$B$9,Paramètres!$A$1:$I$89,3,0)*VLOOKUP('Données projet'!$B$9,Paramètres!$A$1:$I$89,5,0)</f>
        <v>5.1431925385259088E-14</v>
      </c>
      <c r="P151" s="13">
        <f t="shared" si="141"/>
        <v>8.3482866290946129E-13</v>
      </c>
      <c r="Q151" s="20">
        <f t="shared" si="108"/>
        <v>1.5435705246133045E-12</v>
      </c>
      <c r="R151" s="59">
        <f t="shared" si="109"/>
        <v>286.45649632551323</v>
      </c>
      <c r="S151" s="59">
        <f ca="1">AVERAGE(OFFSET($R$3,0,0,'Données projet'!$E$9+1,1))-AVERAGE(OFFSET($H$3,0,0,'Données projet'!$E$9+1,1))</f>
        <v>214.60547318405733</v>
      </c>
      <c r="T151" s="59">
        <f t="shared" si="142"/>
        <v>306.35874106546646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2.0299912129806805</v>
      </c>
      <c r="AA151" s="21">
        <f>EXP(-LN(2)/25)*AA150+(1-EXP(-LN(2)/25))/(LN(2)/25)*Calculateur!V151*Calculateur!X151*VLOOKUP('Données projet'!$B$9,Paramètres!$A$1:$I$89,3,0)*0.475*44/12</f>
        <v>0.76013266728819706</v>
      </c>
      <c r="AB151" s="21">
        <f>EXP(-LN(2)/2)*AB150+(1-EXP(-LN(2)/2))/(LN(2)/2)*V151*Y151*VLOOKUP('Données projet'!$B$9,Paramètres!$A$1:$I$89,3,0)*0.475*44/12</f>
        <v>4.3305000784845063E-15</v>
      </c>
      <c r="AC151" s="22">
        <f t="shared" si="111"/>
        <v>2.7901238802688821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9.3350000000000026</v>
      </c>
      <c r="AI151" s="13">
        <f>IF('Données projet'!$A$62&gt;35,AI150+AH151-AQ150,IF(A151&lt;'Données projet'!$A$62,$AF$205^A151,IF(A151='Données projet'!$A$62,'Données projet'!$B$62,AI150+AH151-AQ150)))</f>
        <v>490.48000000000087</v>
      </c>
      <c r="AJ151" s="13">
        <f>AI151*VLOOKUP('Données projet'!$B$10,Paramètres!$A$1:$I$89,3,0)*VLOOKUP('Données projet'!$B$10,Paramètres!$A$1:$I$89,5,0)</f>
        <v>497.34672000000091</v>
      </c>
      <c r="AK151" s="13">
        <f t="shared" si="143"/>
        <v>111.25516581491246</v>
      </c>
      <c r="AL151" s="20">
        <f t="shared" si="112"/>
        <v>1059.9816177943073</v>
      </c>
      <c r="AM151" s="59">
        <f t="shared" si="113"/>
        <v>1346.4381141198191</v>
      </c>
      <c r="AN151" s="59">
        <f ca="1">AVERAGE(OFFSET($AM$3,0,0,'Données projet'!$E$10+1,1))-AVERAGE(OFFSET($H$3,0,0,'Données projet'!$E$10+1,1))</f>
        <v>752.45542076695506</v>
      </c>
      <c r="AO151" s="59">
        <f t="shared" si="144"/>
        <v>329.70629768420724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51.76377416551135</v>
      </c>
      <c r="AV151" s="21">
        <f>EXP(-LN(2)/25)*AV150+(1-EXP(-LN(2)/25))/(LN(2)/25)*Calculateur!AQ151*Calculateur!AS151*VLOOKUP('Données projet'!$B$10,Paramètres!$A$1:$I$89,3,0)*0.475*44/12</f>
        <v>23.379422517586022</v>
      </c>
      <c r="AW151" s="21">
        <f>EXP(-LN(2)/2)*AW150+(1-EXP(-LN(2)/2))/(LN(2)/2)*AQ151*AT151*VLOOKUP('Données projet'!$B$10,Paramètres!$A$1:$I$89,3,0)*0.475*44/12</f>
        <v>1.3970262069769536E-3</v>
      </c>
      <c r="AX151" s="21">
        <f t="shared" si="114"/>
        <v>75.144593709304345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9.3350000000000026</v>
      </c>
      <c r="BD151" s="12">
        <f>IF('Données projet'!$A$88&gt;35,BD150+BC151-BL150,IF(A151&lt;'Données projet'!$A$88,$BA$205^A151,IF(A151='Données projet'!$A$88,'Données projet'!$B$88,BD150+BC151-BL150)))</f>
        <v>490.48000000000087</v>
      </c>
      <c r="BE151" s="13">
        <f>BD151*VLOOKUP('Données projet'!$B$11,Paramètres!$A$1:$I$89,3,0)*VLOOKUP('Données projet'!$B$11,Paramètres!$A$1:$I$89,5,0)</f>
        <v>443.78630400000077</v>
      </c>
      <c r="BF151" s="13">
        <f t="shared" si="145"/>
        <v>100.59929067522565</v>
      </c>
      <c r="BG151" s="20">
        <f t="shared" si="115"/>
        <v>948.13824405935259</v>
      </c>
      <c r="BH151" s="59">
        <f t="shared" si="116"/>
        <v>1234.5947403848643</v>
      </c>
      <c r="BI151" s="59">
        <f ca="1">AVERAGE(OFFSET($BH$3,0,0,'Données projet'!$E$11+1,1))-AVERAGE(OFFSET($H$3,0,0,'Données projet'!$E$11+1,1))</f>
        <v>681.47578137804555</v>
      </c>
      <c r="BJ151" s="59">
        <f t="shared" si="146"/>
        <v>300.88511065995885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46.189213870763965</v>
      </c>
      <c r="BQ151" s="21">
        <f>EXP(-LN(2)/25)*BQ150+(1-EXP(-LN(2)/25))/(LN(2)/25)*Calculateur!BL151*Calculateur!BN151*VLOOKUP('Données projet'!$B$11,Paramètres!$A$1:$I$89,3,0)*0.475*44/12</f>
        <v>20.861638554153682</v>
      </c>
      <c r="BR151" s="21">
        <f>EXP(-LN(2)/2)*BR150+(1-EXP(-LN(2)/2))/(LN(2)/2)*BL151*BO151*VLOOKUP('Données projet'!$B$11,Paramètres!$A$1:$I$89,3,0)*0.475*44/12</f>
        <v>1.2465772308409748E-3</v>
      </c>
      <c r="BS151" s="22">
        <f t="shared" si="117"/>
        <v>67.052099002148495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2.2737367544323206E-13</v>
      </c>
      <c r="BZ151" s="13">
        <f>BY151*VLOOKUP('Données projet'!$B$12,Paramètres!$A$1:$I$89,3,0)*VLOOKUP('Données projet'!$B$12,Paramètres!$A$1:$I$89,5,0)</f>
        <v>1.5252226148732008E-13</v>
      </c>
      <c r="CA151" s="13">
        <f t="shared" si="147"/>
        <v>2.1814502464536512E-12</v>
      </c>
      <c r="CB151" s="20">
        <f t="shared" si="118"/>
        <v>4.0650021179971913E-12</v>
      </c>
      <c r="CC151" s="59">
        <f t="shared" si="119"/>
        <v>286.45649632551579</v>
      </c>
      <c r="CD151" s="59">
        <f ca="1">AVERAGE(OFFSET($CC$3,0,0,'Données projet'!$E$12+1,1))-AVERAGE(OFFSET($H$3,0,0,'Données projet'!$E$12+1,1))</f>
        <v>335.73816489539837</v>
      </c>
      <c r="CE151" s="59">
        <f t="shared" si="148"/>
        <v>254.09787950201044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17.649403242491864</v>
      </c>
      <c r="CL151" s="21">
        <f>EXP(-LN(2)/25)*CL150+(1-EXP(-LN(2)/25))/(LN(2)/25)*Calculateur!CG151*Calculateur!CI151*VLOOKUP('Données projet'!$B$12,Paramètres!$A$1:$I$89,3,0)*0.475*44/12</f>
        <v>13.219917655705553</v>
      </c>
      <c r="CM151" s="21">
        <f>EXP(-LN(2)/2)*CM150+(1-EXP(-LN(2)/2))/(LN(2)/2)*CG151*CJ151*VLOOKUP('Données projet'!$B$12,Paramètres!$A$1:$I$89,3,0)*0.475*44/12</f>
        <v>9.3375464589137485E-5</v>
      </c>
      <c r="CN151" s="22">
        <f t="shared" si="120"/>
        <v>30.869414273662006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1.1368683772161603E-13</v>
      </c>
      <c r="CU151" s="17">
        <f>CT151*VLOOKUP('Données projet'!$B$13,Paramètres!$A$1:$I$89,3,0)*VLOOKUP('Données projet'!$B$13,Paramètres!$A$1:$I$89,5,0)</f>
        <v>6.7984728957526396E-14</v>
      </c>
      <c r="CV151" s="13">
        <f t="shared" si="149"/>
        <v>1.0682447123141398E-12</v>
      </c>
      <c r="CW151" s="20">
        <f t="shared" si="121"/>
        <v>1.978932943548152E-12</v>
      </c>
      <c r="CX151" s="59">
        <f t="shared" si="122"/>
        <v>286.45649632551368</v>
      </c>
      <c r="CY151" s="59">
        <f ca="1">AVERAGE(OFFSET($CX$3,0,0,'Données projet'!$E$13+1,1))-AVERAGE(OFFSET($H$3,0,0,'Données projet'!$E$13+1,1))</f>
        <v>318.50474972254085</v>
      </c>
      <c r="CZ151" s="59">
        <f t="shared" si="150"/>
        <v>326.45858332753562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24.306936761818598</v>
      </c>
      <c r="DG151" s="21">
        <f>EXP(-LN(2)/25)*DG150+(1-EXP(-LN(2)/25))/(LN(2)/25)*Calculateur!DB151*Calculateur!DD151*VLOOKUP('Données projet'!$B$13,Paramètres!$A$1:$I$89,3,0)*0.475*44/12</f>
        <v>4.2226315841167006</v>
      </c>
      <c r="DH151" s="21">
        <f>EXP(-LN(2)/2)*DH150+(1-EXP(-LN(2)/2))/(LN(2)/2)*DB151*DE151*VLOOKUP('Données projet'!$B$13,Paramètres!$A$1:$I$89,3,0)*0.475*44/12</f>
        <v>3.4084134099062734E-12</v>
      </c>
      <c r="DI151" s="22">
        <f t="shared" si="123"/>
        <v>28.529568345938706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3">
        <f>'Scénario référence'!$B$16*5+'Scénario référence'!$B$17*0+'Scénario référence'!$B$18*5</f>
        <v>5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67">
        <f t="shared" si="110"/>
        <v>183.33333333333334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5.6843418860808015E-14</v>
      </c>
      <c r="O152" s="13">
        <f>N152*VLOOKUP('Données projet'!$B$9,Paramètres!$A$1:$I$89,3,0)*VLOOKUP('Données projet'!$B$9,Paramètres!$A$1:$I$89,5,0)</f>
        <v>5.1431925385259088E-14</v>
      </c>
      <c r="P152" s="13">
        <f t="shared" si="141"/>
        <v>8.3482866290946129E-13</v>
      </c>
      <c r="Q152" s="20">
        <f t="shared" si="108"/>
        <v>1.5435705246133045E-12</v>
      </c>
      <c r="R152" s="59">
        <f t="shared" si="109"/>
        <v>286.57579407329462</v>
      </c>
      <c r="S152" s="59">
        <f ca="1">AVERAGE(OFFSET($R$3,0,0,'Données projet'!$E$9+1,1))-AVERAGE(OFFSET($H$3,0,0,'Données projet'!$E$9+1,1))</f>
        <v>214.60547318405733</v>
      </c>
      <c r="T152" s="59">
        <f t="shared" si="142"/>
        <v>306.35874106546646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1.99018432346651</v>
      </c>
      <c r="AA152" s="21">
        <f>EXP(-LN(2)/25)*AA151+(1-EXP(-LN(2)/25))/(LN(2)/25)*Calculateur!V152*Calculateur!X152*VLOOKUP('Données projet'!$B$9,Paramètres!$A$1:$I$89,3,0)*0.475*44/12</f>
        <v>0.73934679952756166</v>
      </c>
      <c r="AB152" s="21">
        <f>EXP(-LN(2)/2)*AB151+(1-EXP(-LN(2)/2))/(LN(2)/2)*V152*Y152*VLOOKUP('Données projet'!$B$9,Paramètres!$A$1:$I$89,3,0)*0.475*44/12</f>
        <v>3.0621259714252708E-15</v>
      </c>
      <c r="AC152" s="22">
        <f t="shared" si="111"/>
        <v>2.7295311229940746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9.3350000000000026</v>
      </c>
      <c r="AI152" s="13">
        <f>IF('Données projet'!$A$62&gt;35,AI151+AH152-AQ151,IF(A152&lt;'Données projet'!$A$62,$AF$205^A152,IF(A152='Données projet'!$A$62,'Données projet'!$B$62,AI151+AH152-AQ151)))</f>
        <v>499.81500000000085</v>
      </c>
      <c r="AJ152" s="13">
        <f>AI152*VLOOKUP('Données projet'!$B$10,Paramètres!$A$1:$I$89,3,0)*VLOOKUP('Données projet'!$B$10,Paramètres!$A$1:$I$89,5,0)</f>
        <v>506.81241000000091</v>
      </c>
      <c r="AK152" s="13">
        <f t="shared" si="143"/>
        <v>113.12408688761556</v>
      </c>
      <c r="AL152" s="20">
        <f t="shared" si="112"/>
        <v>1079.7227320792654</v>
      </c>
      <c r="AM152" s="59">
        <f t="shared" si="113"/>
        <v>1366.2985261525585</v>
      </c>
      <c r="AN152" s="59">
        <f ca="1">AVERAGE(OFFSET($AM$3,0,0,'Données projet'!$E$10+1,1))-AVERAGE(OFFSET($H$3,0,0,'Données projet'!$E$10+1,1))</f>
        <v>752.45542076695506</v>
      </c>
      <c r="AO152" s="59">
        <f t="shared" si="144"/>
        <v>329.70629768420724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50.748718126910362</v>
      </c>
      <c r="AV152" s="21">
        <f>EXP(-LN(2)/25)*AV151+(1-EXP(-LN(2)/25))/(LN(2)/25)*Calculateur!AQ152*Calculateur!AS152*VLOOKUP('Données projet'!$B$10,Paramètres!$A$1:$I$89,3,0)*0.475*44/12</f>
        <v>22.740110979372236</v>
      </c>
      <c r="AW152" s="21">
        <f>EXP(-LN(2)/2)*AW151+(1-EXP(-LN(2)/2))/(LN(2)/2)*AQ152*AT152*VLOOKUP('Données projet'!$B$10,Paramètres!$A$1:$I$89,3,0)*0.475*44/12</f>
        <v>9.8784670444872517E-4</v>
      </c>
      <c r="AX152" s="21">
        <f t="shared" si="114"/>
        <v>73.489816952987042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9.3350000000000026</v>
      </c>
      <c r="BD152" s="12">
        <f>IF('Données projet'!$A$88&gt;35,BD151+BC152-BL151,IF(A152&lt;'Données projet'!$A$88,$BA$205^A152,IF(A152='Données projet'!$A$88,'Données projet'!$B$88,BD151+BC152-BL151)))</f>
        <v>499.81500000000085</v>
      </c>
      <c r="BE152" s="13">
        <f>BD152*VLOOKUP('Données projet'!$B$11,Paramètres!$A$1:$I$89,3,0)*VLOOKUP('Données projet'!$B$11,Paramètres!$A$1:$I$89,5,0)</f>
        <v>452.2326120000007</v>
      </c>
      <c r="BF152" s="13">
        <f t="shared" si="145"/>
        <v>102.28920891735658</v>
      </c>
      <c r="BG152" s="20">
        <f t="shared" si="115"/>
        <v>965.79217143106382</v>
      </c>
      <c r="BH152" s="59">
        <f t="shared" si="116"/>
        <v>1252.367965504357</v>
      </c>
      <c r="BI152" s="59">
        <f ca="1">AVERAGE(OFFSET($BH$3,0,0,'Données projet'!$E$11+1,1))-AVERAGE(OFFSET($H$3,0,0,'Données projet'!$E$11+1,1))</f>
        <v>681.47578137804555</v>
      </c>
      <c r="BJ152" s="59">
        <f t="shared" si="146"/>
        <v>300.88511065995885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45.283471559396929</v>
      </c>
      <c r="BQ152" s="21">
        <f>EXP(-LN(2)/25)*BQ151+(1-EXP(-LN(2)/25))/(LN(2)/25)*Calculateur!BL152*Calculateur!BN152*VLOOKUP('Données projet'!$B$11,Paramètres!$A$1:$I$89,3,0)*0.475*44/12</f>
        <v>20.291175950824456</v>
      </c>
      <c r="BR152" s="21">
        <f>EXP(-LN(2)/2)*BR151+(1-EXP(-LN(2)/2))/(LN(2)/2)*BL152*BO152*VLOOKUP('Données projet'!$B$11,Paramètres!$A$1:$I$89,3,0)*0.475*44/12</f>
        <v>8.8146321320040153E-4</v>
      </c>
      <c r="BS152" s="22">
        <f t="shared" si="117"/>
        <v>65.575528973434587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2.2737367544323206E-13</v>
      </c>
      <c r="BZ152" s="13">
        <f>BY152*VLOOKUP('Données projet'!$B$12,Paramètres!$A$1:$I$89,3,0)*VLOOKUP('Données projet'!$B$12,Paramètres!$A$1:$I$89,5,0)</f>
        <v>1.5252226148732008E-13</v>
      </c>
      <c r="CA152" s="13">
        <f t="shared" si="147"/>
        <v>2.1814502464536512E-12</v>
      </c>
      <c r="CB152" s="20">
        <f t="shared" si="118"/>
        <v>4.0650021179971913E-12</v>
      </c>
      <c r="CC152" s="59">
        <f t="shared" si="119"/>
        <v>286.57579407329717</v>
      </c>
      <c r="CD152" s="59">
        <f ca="1">AVERAGE(OFFSET($CC$3,0,0,'Données projet'!$E$12+1,1))-AVERAGE(OFFSET($H$3,0,0,'Données projet'!$E$12+1,1))</f>
        <v>335.73816489539837</v>
      </c>
      <c r="CE152" s="59">
        <f t="shared" si="148"/>
        <v>254.09787950201044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17.303309209979613</v>
      </c>
      <c r="CL152" s="21">
        <f>EXP(-LN(2)/25)*CL151+(1-EXP(-LN(2)/25))/(LN(2)/25)*Calculateur!CG152*Calculateur!CI152*VLOOKUP('Données projet'!$B$12,Paramètres!$A$1:$I$89,3,0)*0.475*44/12</f>
        <v>12.85841831220503</v>
      </c>
      <c r="CM152" s="21">
        <f>EXP(-LN(2)/2)*CM151+(1-EXP(-LN(2)/2))/(LN(2)/2)*CG152*CJ152*VLOOKUP('Données projet'!$B$12,Paramètres!$A$1:$I$89,3,0)*0.475*44/12</f>
        <v>6.6026424207423455E-5</v>
      </c>
      <c r="CN152" s="22">
        <f t="shared" si="120"/>
        <v>30.161793548608848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1.1368683772161603E-13</v>
      </c>
      <c r="CU152" s="17">
        <f>CT152*VLOOKUP('Données projet'!$B$13,Paramètres!$A$1:$I$89,3,0)*VLOOKUP('Données projet'!$B$13,Paramètres!$A$1:$I$89,5,0)</f>
        <v>6.7984728957526396E-14</v>
      </c>
      <c r="CV152" s="13">
        <f t="shared" si="149"/>
        <v>1.0682447123141398E-12</v>
      </c>
      <c r="CW152" s="20">
        <f t="shared" si="121"/>
        <v>1.978932943548152E-12</v>
      </c>
      <c r="CX152" s="59">
        <f t="shared" si="122"/>
        <v>286.57579407329507</v>
      </c>
      <c r="CY152" s="59">
        <f ca="1">AVERAGE(OFFSET($CX$3,0,0,'Données projet'!$E$13+1,1))-AVERAGE(OFFSET($H$3,0,0,'Données projet'!$E$13+1,1))</f>
        <v>318.50474972254085</v>
      </c>
      <c r="CZ152" s="59">
        <f t="shared" si="150"/>
        <v>326.45858332753562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23.830292557686835</v>
      </c>
      <c r="DG152" s="21">
        <f>EXP(-LN(2)/25)*DG151+(1-EXP(-LN(2)/25))/(LN(2)/25)*Calculateur!DB152*Calculateur!DD152*VLOOKUP('Données projet'!$B$13,Paramètres!$A$1:$I$89,3,0)*0.475*44/12</f>
        <v>4.1071635013904855</v>
      </c>
      <c r="DH152" s="21">
        <f>EXP(-LN(2)/2)*DH151+(1-EXP(-LN(2)/2))/(LN(2)/2)*DB152*DE152*VLOOKUP('Données projet'!$B$13,Paramètres!$A$1:$I$89,3,0)*0.475*44/12</f>
        <v>2.4101122352318895E-12</v>
      </c>
      <c r="DI152" s="22">
        <f t="shared" si="123"/>
        <v>27.937456059079729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3">
        <f>'Scénario référence'!$B$16*5+'Scénario référence'!$B$17*0+'Scénario référence'!$B$18*5</f>
        <v>5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67">
        <f t="shared" si="110"/>
        <v>183.33333333333334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5.6843418860808015E-14</v>
      </c>
      <c r="O153" s="13">
        <f>N153*VLOOKUP('Données projet'!$B$9,Paramètres!$A$1:$I$89,3,0)*VLOOKUP('Données projet'!$B$9,Paramètres!$A$1:$I$89,5,0)</f>
        <v>5.1431925385259088E-14</v>
      </c>
      <c r="P153" s="13">
        <f t="shared" si="141"/>
        <v>8.3482866290946129E-13</v>
      </c>
      <c r="Q153" s="20">
        <f t="shared" si="108"/>
        <v>1.5435705246133045E-12</v>
      </c>
      <c r="R153" s="59">
        <f t="shared" si="109"/>
        <v>286.69302227186188</v>
      </c>
      <c r="S153" s="59">
        <f ca="1">AVERAGE(OFFSET($R$3,0,0,'Données projet'!$E$9+1,1))-AVERAGE(OFFSET($H$3,0,0,'Données projet'!$E$9+1,1))</f>
        <v>214.60547318405733</v>
      </c>
      <c r="T153" s="59">
        <f t="shared" si="142"/>
        <v>306.35874106546646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1.9511580227759071</v>
      </c>
      <c r="AA153" s="21">
        <f>EXP(-LN(2)/25)*AA152+(1-EXP(-LN(2)/25))/(LN(2)/25)*Calculateur!V153*Calculateur!X153*VLOOKUP('Données projet'!$B$9,Paramètres!$A$1:$I$89,3,0)*0.475*44/12</f>
        <v>0.71912932241392213</v>
      </c>
      <c r="AB153" s="21">
        <f>EXP(-LN(2)/2)*AB152+(1-EXP(-LN(2)/2))/(LN(2)/2)*V153*Y153*VLOOKUP('Données projet'!$B$9,Paramètres!$A$1:$I$89,3,0)*0.475*44/12</f>
        <v>2.1652500392422532E-15</v>
      </c>
      <c r="AC153" s="22">
        <f t="shared" si="111"/>
        <v>2.6702873451898315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9.3350000000000026</v>
      </c>
      <c r="AI153" s="13">
        <f>IF('Données projet'!$A$62&gt;35,AI152+AH153-AQ152,IF(A153&lt;'Données projet'!$A$62,$AF$205^A153,IF(A153='Données projet'!$A$62,'Données projet'!$B$62,AI152+AH153-AQ152)))</f>
        <v>509.15000000000083</v>
      </c>
      <c r="AJ153" s="13">
        <f>AI153*VLOOKUP('Données projet'!$B$10,Paramètres!$A$1:$I$89,3,0)*VLOOKUP('Données projet'!$B$10,Paramètres!$A$1:$I$89,5,0)</f>
        <v>516.2781000000009</v>
      </c>
      <c r="AK153" s="13">
        <f t="shared" si="143"/>
        <v>114.98894910398533</v>
      </c>
      <c r="AL153" s="20">
        <f t="shared" si="112"/>
        <v>1099.4567771894424</v>
      </c>
      <c r="AM153" s="59">
        <f t="shared" si="113"/>
        <v>1386.1497994613028</v>
      </c>
      <c r="AN153" s="59">
        <f ca="1">AVERAGE(OFFSET($AM$3,0,0,'Données projet'!$E$10+1,1))-AVERAGE(OFFSET($H$3,0,0,'Données projet'!$E$10+1,1))</f>
        <v>752.45542076695506</v>
      </c>
      <c r="AO153" s="59">
        <f t="shared" si="144"/>
        <v>329.70629768420724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49.753566718103286</v>
      </c>
      <c r="AV153" s="21">
        <f>EXP(-LN(2)/25)*AV152+(1-EXP(-LN(2)/25))/(LN(2)/25)*Calculateur!AQ153*Calculateur!AS153*VLOOKUP('Données projet'!$B$10,Paramètres!$A$1:$I$89,3,0)*0.475*44/12</f>
        <v>22.118281448790839</v>
      </c>
      <c r="AW153" s="21">
        <f>EXP(-LN(2)/2)*AW152+(1-EXP(-LN(2)/2))/(LN(2)/2)*AQ153*AT153*VLOOKUP('Données projet'!$B$10,Paramètres!$A$1:$I$89,3,0)*0.475*44/12</f>
        <v>6.9851310348847679E-4</v>
      </c>
      <c r="AX153" s="21">
        <f t="shared" si="114"/>
        <v>71.872546679997612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9.3350000000000026</v>
      </c>
      <c r="BD153" s="12">
        <f>IF('Données projet'!$A$88&gt;35,BD152+BC153-BL152,IF(A153&lt;'Données projet'!$A$88,$BA$205^A153,IF(A153='Données projet'!$A$88,'Données projet'!$B$88,BD152+BC153-BL152)))</f>
        <v>509.15000000000083</v>
      </c>
      <c r="BE153" s="13">
        <f>BD153*VLOOKUP('Données projet'!$B$11,Paramètres!$A$1:$I$89,3,0)*VLOOKUP('Données projet'!$B$11,Paramètres!$A$1:$I$89,5,0)</f>
        <v>460.67892000000074</v>
      </c>
      <c r="BF153" s="13">
        <f t="shared" si="145"/>
        <v>103.97545705513664</v>
      </c>
      <c r="BG153" s="20">
        <f t="shared" si="115"/>
        <v>983.43970670436431</v>
      </c>
      <c r="BH153" s="59">
        <f t="shared" si="116"/>
        <v>1270.1327289762246</v>
      </c>
      <c r="BI153" s="59">
        <f ca="1">AVERAGE(OFFSET($BH$3,0,0,'Données projet'!$E$11+1,1))-AVERAGE(OFFSET($H$3,0,0,'Données projet'!$E$11+1,1))</f>
        <v>681.47578137804555</v>
      </c>
      <c r="BJ153" s="59">
        <f t="shared" si="146"/>
        <v>300.88511065995885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44.395490302307536</v>
      </c>
      <c r="BQ153" s="21">
        <f>EXP(-LN(2)/25)*BQ152+(1-EXP(-LN(2)/25))/(LN(2)/25)*Calculateur!BL153*Calculateur!BN153*VLOOKUP('Données projet'!$B$11,Paramètres!$A$1:$I$89,3,0)*0.475*44/12</f>
        <v>19.736312677382596</v>
      </c>
      <c r="BR153" s="21">
        <f>EXP(-LN(2)/2)*BR152+(1-EXP(-LN(2)/2))/(LN(2)/2)*BL153*BO153*VLOOKUP('Données projet'!$B$11,Paramètres!$A$1:$I$89,3,0)*0.475*44/12</f>
        <v>6.2328861542048741E-4</v>
      </c>
      <c r="BS153" s="22">
        <f t="shared" si="117"/>
        <v>64.132426268305551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2.2737367544323206E-13</v>
      </c>
      <c r="BZ153" s="13">
        <f>BY153*VLOOKUP('Données projet'!$B$12,Paramètres!$A$1:$I$89,3,0)*VLOOKUP('Données projet'!$B$12,Paramètres!$A$1:$I$89,5,0)</f>
        <v>1.5252226148732008E-13</v>
      </c>
      <c r="CA153" s="13">
        <f t="shared" si="147"/>
        <v>2.1814502464536512E-12</v>
      </c>
      <c r="CB153" s="20">
        <f t="shared" si="118"/>
        <v>4.0650021179971913E-12</v>
      </c>
      <c r="CC153" s="59">
        <f t="shared" si="119"/>
        <v>286.69302227186444</v>
      </c>
      <c r="CD153" s="59">
        <f ca="1">AVERAGE(OFFSET($CC$3,0,0,'Données projet'!$E$12+1,1))-AVERAGE(OFFSET($H$3,0,0,'Données projet'!$E$12+1,1))</f>
        <v>335.73816489539837</v>
      </c>
      <c r="CE153" s="59">
        <f t="shared" si="148"/>
        <v>254.09787950201044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16.964001870348412</v>
      </c>
      <c r="CL153" s="21">
        <f>EXP(-LN(2)/25)*CL152+(1-EXP(-LN(2)/25))/(LN(2)/25)*Calculateur!CG153*Calculateur!CI153*VLOOKUP('Données projet'!$B$12,Paramètres!$A$1:$I$89,3,0)*0.475*44/12</f>
        <v>12.506804187262953</v>
      </c>
      <c r="CM153" s="21">
        <f>EXP(-LN(2)/2)*CM152+(1-EXP(-LN(2)/2))/(LN(2)/2)*CG153*CJ153*VLOOKUP('Données projet'!$B$12,Paramètres!$A$1:$I$89,3,0)*0.475*44/12</f>
        <v>4.6687732294568743E-5</v>
      </c>
      <c r="CN153" s="22">
        <f t="shared" si="120"/>
        <v>29.470852745343656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1.1368683772161603E-13</v>
      </c>
      <c r="CU153" s="17">
        <f>CT153*VLOOKUP('Données projet'!$B$13,Paramètres!$A$1:$I$89,3,0)*VLOOKUP('Données projet'!$B$13,Paramètres!$A$1:$I$89,5,0)</f>
        <v>6.7984728957526396E-14</v>
      </c>
      <c r="CV153" s="13">
        <f t="shared" si="149"/>
        <v>1.0682447123141398E-12</v>
      </c>
      <c r="CW153" s="20">
        <f t="shared" si="121"/>
        <v>1.978932943548152E-12</v>
      </c>
      <c r="CX153" s="59">
        <f t="shared" si="122"/>
        <v>286.69302227186233</v>
      </c>
      <c r="CY153" s="59">
        <f ca="1">AVERAGE(OFFSET($CX$3,0,0,'Données projet'!$E$13+1,1))-AVERAGE(OFFSET($H$3,0,0,'Données projet'!$E$13+1,1))</f>
        <v>318.50474972254085</v>
      </c>
      <c r="CZ153" s="59">
        <f t="shared" si="150"/>
        <v>326.45858332753562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23.362995055673842</v>
      </c>
      <c r="DG153" s="21">
        <f>EXP(-LN(2)/25)*DG152+(1-EXP(-LN(2)/25))/(LN(2)/25)*Calculateur!DB153*Calculateur!DD153*VLOOKUP('Données projet'!$B$13,Paramètres!$A$1:$I$89,3,0)*0.475*44/12</f>
        <v>3.9948528994586212</v>
      </c>
      <c r="DH153" s="21">
        <f>EXP(-LN(2)/2)*DH152+(1-EXP(-LN(2)/2))/(LN(2)/2)*DB153*DE153*VLOOKUP('Données projet'!$B$13,Paramètres!$A$1:$I$89,3,0)*0.475*44/12</f>
        <v>1.7042067049531367E-12</v>
      </c>
      <c r="DI153" s="22">
        <f t="shared" si="123"/>
        <v>27.357847955134169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3">
        <f>'Scénario référence'!$B$16*5+'Scénario référence'!$B$17*0+'Scénario référence'!$B$18*5</f>
        <v>5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67">
        <f t="shared" si="110"/>
        <v>183.33333333333334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5.6843418860808015E-14</v>
      </c>
      <c r="O154" s="13">
        <f>N154*VLOOKUP('Données projet'!$B$9,Paramètres!$A$1:$I$89,3,0)*VLOOKUP('Données projet'!$B$9,Paramètres!$A$1:$I$89,5,0)</f>
        <v>5.1431925385259088E-14</v>
      </c>
      <c r="P154" s="13">
        <f t="shared" si="141"/>
        <v>8.3482866290946129E-13</v>
      </c>
      <c r="Q154" s="20">
        <f t="shared" ref="Q154:Q203" si="162">(O154+P154)*0.475*44/12</f>
        <v>1.5435705246133045E-12</v>
      </c>
      <c r="R154" s="59">
        <f t="shared" si="109"/>
        <v>286.80821682326689</v>
      </c>
      <c r="S154" s="59">
        <f ca="1">AVERAGE(OFFSET($R$3,0,0,'Données projet'!$E$9+1,1))-AVERAGE(OFFSET($H$3,0,0,'Données projet'!$E$9+1,1))</f>
        <v>214.60547318405733</v>
      </c>
      <c r="T154" s="59">
        <f t="shared" si="142"/>
        <v>306.35874106546646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1.9128970040381539</v>
      </c>
      <c r="AA154" s="21">
        <f>EXP(-LN(2)/25)*AA153+(1-EXP(-LN(2)/25))/(LN(2)/25)*Calculateur!V154*Calculateur!X154*VLOOKUP('Données projet'!$B$9,Paramètres!$A$1:$I$89,3,0)*0.475*44/12</f>
        <v>0.69946469327514593</v>
      </c>
      <c r="AB154" s="21">
        <f>EXP(-LN(2)/2)*AB153+(1-EXP(-LN(2)/2))/(LN(2)/2)*V154*Y154*VLOOKUP('Données projet'!$B$9,Paramètres!$A$1:$I$89,3,0)*0.475*44/12</f>
        <v>1.5310629857126354E-15</v>
      </c>
      <c r="AC154" s="22">
        <f t="shared" ref="AC154:AC203" si="163">SUM(Z154:AB154)</f>
        <v>2.6123616973133013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9.3350000000000026</v>
      </c>
      <c r="AI154" s="13">
        <f>IF('Données projet'!$A$62&gt;35,AI153+AH154-AQ153,IF(A154&lt;'Données projet'!$A$62,$AF$205^A154,IF(A154='Données projet'!$A$62,'Données projet'!$B$62,AI153+AH154-AQ153)))</f>
        <v>518.48500000000081</v>
      </c>
      <c r="AJ154" s="13">
        <f>AI154*VLOOKUP('Données projet'!$B$10,Paramètres!$A$1:$I$89,3,0)*VLOOKUP('Données projet'!$B$10,Paramètres!$A$1:$I$89,5,0)</f>
        <v>525.7437900000009</v>
      </c>
      <c r="AK154" s="13">
        <f t="shared" ref="AK154:AK203" si="164">EXP(-1.0587+0.8836*LN(AJ154)+0.284)</f>
        <v>116.84983546396843</v>
      </c>
      <c r="AL154" s="20">
        <f t="shared" ref="AL154:AL203" si="165">(AJ154+AK154)*0.475*44/12</f>
        <v>1119.18389768308</v>
      </c>
      <c r="AM154" s="59">
        <f t="shared" si="113"/>
        <v>1405.9921145063454</v>
      </c>
      <c r="AN154" s="59">
        <f ca="1">AVERAGE(OFFSET($AM$3,0,0,'Données projet'!$E$10+1,1))-AVERAGE(OFFSET($H$3,0,0,'Données projet'!$E$10+1,1))</f>
        <v>752.45542076695506</v>
      </c>
      <c r="AO154" s="59">
        <f t="shared" si="144"/>
        <v>329.70629768420724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48.777929621440492</v>
      </c>
      <c r="AV154" s="21">
        <f>EXP(-LN(2)/25)*AV153+(1-EXP(-LN(2)/25))/(LN(2)/25)*Calculateur!AQ154*Calculateur!AS154*VLOOKUP('Données projet'!$B$10,Paramètres!$A$1:$I$89,3,0)*0.475*44/12</f>
        <v>21.513455879423784</v>
      </c>
      <c r="AW154" s="21">
        <f>EXP(-LN(2)/2)*AW153+(1-EXP(-LN(2)/2))/(LN(2)/2)*AQ154*AT154*VLOOKUP('Données projet'!$B$10,Paramètres!$A$1:$I$89,3,0)*0.475*44/12</f>
        <v>4.9392335222436259E-4</v>
      </c>
      <c r="AX154" s="21">
        <f t="shared" ref="AX154:AX203" si="166">SUM(AU154:AW154)</f>
        <v>70.291879424216503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9.3350000000000026</v>
      </c>
      <c r="BD154" s="12">
        <f>IF('Données projet'!$A$88&gt;35,BD153+BC154-BL153,IF(A154&lt;'Données projet'!$A$88,$BA$205^A154,IF(A154='Données projet'!$A$88,'Données projet'!$B$88,BD153+BC154-BL153)))</f>
        <v>518.48500000000081</v>
      </c>
      <c r="BE154" s="13">
        <f>BD154*VLOOKUP('Données projet'!$B$11,Paramètres!$A$1:$I$89,3,0)*VLOOKUP('Données projet'!$B$11,Paramètres!$A$1:$I$89,5,0)</f>
        <v>469.12522800000067</v>
      </c>
      <c r="BF154" s="13">
        <f t="shared" ref="BF154:BF203" si="167">EXP(-1.0587+0.8836*LN(BE154)+0.284)</f>
        <v>105.65811013888603</v>
      </c>
      <c r="BG154" s="20">
        <f t="shared" ref="BG154:BG203" si="168">(BE154+BF154)*0.475*44/12</f>
        <v>1001.0809805918944</v>
      </c>
      <c r="BH154" s="59">
        <f t="shared" si="116"/>
        <v>1287.8891974151597</v>
      </c>
      <c r="BI154" s="59">
        <f ca="1">AVERAGE(OFFSET($BH$3,0,0,'Données projet'!$E$11+1,1))-AVERAGE(OFFSET($H$3,0,0,'Données projet'!$E$11+1,1))</f>
        <v>681.47578137804555</v>
      </c>
      <c r="BJ154" s="59">
        <f t="shared" si="146"/>
        <v>300.88511065995885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43.524921816054579</v>
      </c>
      <c r="BQ154" s="21">
        <f>EXP(-LN(2)/25)*BQ153+(1-EXP(-LN(2)/25))/(LN(2)/25)*Calculateur!BL154*Calculateur!BN154*VLOOKUP('Données projet'!$B$11,Paramètres!$A$1:$I$89,3,0)*0.475*44/12</f>
        <v>19.196622169331992</v>
      </c>
      <c r="BR154" s="21">
        <f>EXP(-LN(2)/2)*BR153+(1-EXP(-LN(2)/2))/(LN(2)/2)*BL154*BO154*VLOOKUP('Données projet'!$B$11,Paramètres!$A$1:$I$89,3,0)*0.475*44/12</f>
        <v>4.4073160660020077E-4</v>
      </c>
      <c r="BS154" s="22">
        <f t="shared" ref="BS154:BS203" si="169">SUM(BP154:BR154)</f>
        <v>62.721984716993177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2.2737367544323206E-13</v>
      </c>
      <c r="BZ154" s="13">
        <f>BY154*VLOOKUP('Données projet'!$B$12,Paramètres!$A$1:$I$89,3,0)*VLOOKUP('Données projet'!$B$12,Paramètres!$A$1:$I$89,5,0)</f>
        <v>1.5252226148732008E-13</v>
      </c>
      <c r="CA154" s="13">
        <f t="shared" ref="CA154:CA203" si="170">EXP(-1.0587+0.8836*LN(BZ154)+0.284)</f>
        <v>2.1814502464536512E-12</v>
      </c>
      <c r="CB154" s="20">
        <f t="shared" ref="CB154:CB203" si="171">(BZ154+CA154)*0.475*44/12</f>
        <v>4.0650021179971913E-12</v>
      </c>
      <c r="CC154" s="59">
        <f t="shared" si="119"/>
        <v>286.80821682326945</v>
      </c>
      <c r="CD154" s="59">
        <f ca="1">AVERAGE(OFFSET($CC$3,0,0,'Données projet'!$E$12+1,1))-AVERAGE(OFFSET($H$3,0,0,'Données projet'!$E$12+1,1))</f>
        <v>335.73816489539837</v>
      </c>
      <c r="CE154" s="59">
        <f t="shared" si="148"/>
        <v>254.09787950201044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16.631348140690339</v>
      </c>
      <c r="CL154" s="21">
        <f>EXP(-LN(2)/25)*CL153+(1-EXP(-LN(2)/25))/(LN(2)/25)*Calculateur!CG154*Calculateur!CI154*VLOOKUP('Données projet'!$B$12,Paramètres!$A$1:$I$89,3,0)*0.475*44/12</f>
        <v>12.164804969058</v>
      </c>
      <c r="CM154" s="21">
        <f>EXP(-LN(2)/2)*CM153+(1-EXP(-LN(2)/2))/(LN(2)/2)*CG154*CJ154*VLOOKUP('Données projet'!$B$12,Paramètres!$A$1:$I$89,3,0)*0.475*44/12</f>
        <v>3.3013212103711728E-5</v>
      </c>
      <c r="CN154" s="22">
        <f t="shared" ref="CN154:CN203" si="172">SUM(CK154:CM154)</f>
        <v>28.796186122960442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1.1368683772161603E-13</v>
      </c>
      <c r="CU154" s="17">
        <f>CT154*VLOOKUP('Données projet'!$B$13,Paramètres!$A$1:$I$89,3,0)*VLOOKUP('Données projet'!$B$13,Paramètres!$A$1:$I$89,5,0)</f>
        <v>6.7984728957526396E-14</v>
      </c>
      <c r="CV154" s="13">
        <f t="shared" ref="CV154:CV203" si="173">EXP(-1.0587+0.8836*LN(CU154)+0.284)</f>
        <v>1.0682447123141398E-12</v>
      </c>
      <c r="CW154" s="20">
        <f t="shared" ref="CW154:CW203" si="174">(CU154+CV154)*0.475*44/12</f>
        <v>1.978932943548152E-12</v>
      </c>
      <c r="CX154" s="59">
        <f t="shared" si="122"/>
        <v>286.80821682326734</v>
      </c>
      <c r="CY154" s="59">
        <f ca="1">AVERAGE(OFFSET($CX$3,0,0,'Données projet'!$E$13+1,1))-AVERAGE(OFFSET($H$3,0,0,'Données projet'!$E$13+1,1))</f>
        <v>318.50474972254085</v>
      </c>
      <c r="CZ154" s="59">
        <f t="shared" si="150"/>
        <v>326.45858332753562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22.904860972651989</v>
      </c>
      <c r="DG154" s="21">
        <f>EXP(-LN(2)/25)*DG153+(1-EXP(-LN(2)/25))/(LN(2)/25)*Calculateur!DB154*Calculateur!DD154*VLOOKUP('Données projet'!$B$13,Paramètres!$A$1:$I$89,3,0)*0.475*44/12</f>
        <v>3.8856134368427417</v>
      </c>
      <c r="DH154" s="21">
        <f>EXP(-LN(2)/2)*DH153+(1-EXP(-LN(2)/2))/(LN(2)/2)*DB154*DE154*VLOOKUP('Données projet'!$B$13,Paramètres!$A$1:$I$89,3,0)*0.475*44/12</f>
        <v>1.2050561176159448E-12</v>
      </c>
      <c r="DI154" s="22">
        <f t="shared" ref="DI154:DI203" si="175">SUM(DF154:DH154)</f>
        <v>26.790474409495936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3">
        <f>'Scénario référence'!$B$16*5+'Scénario référence'!$B$17*0+'Scénario référence'!$B$18*5</f>
        <v>5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67">
        <f t="shared" si="110"/>
        <v>183.33333333333334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5.6843418860808015E-14</v>
      </c>
      <c r="O155" s="13">
        <f>N155*VLOOKUP('Données projet'!$B$9,Paramètres!$A$1:$I$89,3,0)*VLOOKUP('Données projet'!$B$9,Paramètres!$A$1:$I$89,5,0)</f>
        <v>5.1431925385259088E-14</v>
      </c>
      <c r="P155" s="13">
        <f t="shared" si="141"/>
        <v>8.3482866290946129E-13</v>
      </c>
      <c r="Q155" s="20">
        <f t="shared" si="162"/>
        <v>1.5435705246133045E-12</v>
      </c>
      <c r="R155" s="59">
        <f t="shared" si="109"/>
        <v>286.92141300674143</v>
      </c>
      <c r="S155" s="59">
        <f ca="1">AVERAGE(OFFSET($R$3,0,0,'Données projet'!$E$9+1,1))-AVERAGE(OFFSET($H$3,0,0,'Données projet'!$E$9+1,1))</f>
        <v>214.60547318405733</v>
      </c>
      <c r="T155" s="59">
        <f t="shared" si="142"/>
        <v>306.35874106546646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1.875386260540931</v>
      </c>
      <c r="AA155" s="21">
        <f>EXP(-LN(2)/25)*AA154+(1-EXP(-LN(2)/25))/(LN(2)/25)*Calculateur!V155*Calculateur!X155*VLOOKUP('Données projet'!$B$9,Paramètres!$A$1:$I$89,3,0)*0.475*44/12</f>
        <v>0.68033779445428755</v>
      </c>
      <c r="AB155" s="21">
        <f>EXP(-LN(2)/2)*AB154+(1-EXP(-LN(2)/2))/(LN(2)/2)*V155*Y155*VLOOKUP('Données projet'!$B$9,Paramètres!$A$1:$I$89,3,0)*0.475*44/12</f>
        <v>1.0826250196211266E-15</v>
      </c>
      <c r="AC155" s="22">
        <f t="shared" si="163"/>
        <v>2.5557240549952196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9.3350000000000026</v>
      </c>
      <c r="AI155" s="13">
        <f>IF('Données projet'!$A$62&gt;35,AI154+AH155-AQ154,IF(A155&lt;'Données projet'!$A$62,$AF$205^A155,IF(A155='Données projet'!$A$62,'Données projet'!$B$62,AI154+AH155-AQ154)))</f>
        <v>527.82000000000085</v>
      </c>
      <c r="AJ155" s="13">
        <f>AI155*VLOOKUP('Données projet'!$B$10,Paramètres!$A$1:$I$89,3,0)*VLOOKUP('Données projet'!$B$10,Paramètres!$A$1:$I$89,5,0)</f>
        <v>535.20948000000089</v>
      </c>
      <c r="AK155" s="13">
        <f t="shared" si="164"/>
        <v>118.70682580764394</v>
      </c>
      <c r="AL155" s="20">
        <f t="shared" si="165"/>
        <v>1138.9042326149813</v>
      </c>
      <c r="AM155" s="59">
        <f t="shared" si="113"/>
        <v>1425.8256456217212</v>
      </c>
      <c r="AN155" s="59">
        <f ca="1">AVERAGE(OFFSET($AM$3,0,0,'Données projet'!$E$10+1,1))-AVERAGE(OFFSET($H$3,0,0,'Données projet'!$E$10+1,1))</f>
        <v>752.45542076695506</v>
      </c>
      <c r="AO155" s="59">
        <f t="shared" si="144"/>
        <v>329.70629768420724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47.821424173163386</v>
      </c>
      <c r="AV155" s="21">
        <f>EXP(-LN(2)/25)*AV154+(1-EXP(-LN(2)/25))/(LN(2)/25)*Calculateur!AQ155*Calculateur!AS155*VLOOKUP('Données projet'!$B$10,Paramètres!$A$1:$I$89,3,0)*0.475*44/12</f>
        <v>20.925169297057465</v>
      </c>
      <c r="AW155" s="21">
        <f>EXP(-LN(2)/2)*AW154+(1-EXP(-LN(2)/2))/(LN(2)/2)*AQ155*AT155*VLOOKUP('Données projet'!$B$10,Paramètres!$A$1:$I$89,3,0)*0.475*44/12</f>
        <v>3.492565517442384E-4</v>
      </c>
      <c r="AX155" s="21">
        <f t="shared" si="166"/>
        <v>68.746942726772602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9.3350000000000026</v>
      </c>
      <c r="BD155" s="12">
        <f>IF('Données projet'!$A$88&gt;35,BD154+BC155-BL154,IF(A155&lt;'Données projet'!$A$88,$BA$205^A155,IF(A155='Données projet'!$A$88,'Données projet'!$B$88,BD154+BC155-BL154)))</f>
        <v>527.82000000000085</v>
      </c>
      <c r="BE155" s="13">
        <f>BD155*VLOOKUP('Données projet'!$B$11,Paramètres!$A$1:$I$89,3,0)*VLOOKUP('Données projet'!$B$11,Paramètres!$A$1:$I$89,5,0)</f>
        <v>477.57153600000072</v>
      </c>
      <c r="BF155" s="13">
        <f t="shared" si="167"/>
        <v>107.3372403617045</v>
      </c>
      <c r="BG155" s="20">
        <f t="shared" si="168"/>
        <v>1018.71611882997</v>
      </c>
      <c r="BH155" s="59">
        <f t="shared" si="116"/>
        <v>1305.63753183671</v>
      </c>
      <c r="BI155" s="59">
        <f ca="1">AVERAGE(OFFSET($BH$3,0,0,'Données projet'!$E$11+1,1))-AVERAGE(OFFSET($H$3,0,0,'Données projet'!$E$11+1,1))</f>
        <v>681.47578137804555</v>
      </c>
      <c r="BJ155" s="59">
        <f t="shared" si="146"/>
        <v>300.88511065995885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42.6714246468227</v>
      </c>
      <c r="BQ155" s="21">
        <f>EXP(-LN(2)/25)*BQ154+(1-EXP(-LN(2)/25))/(LN(2)/25)*Calculateur!BL155*Calculateur!BN155*VLOOKUP('Données projet'!$B$11,Paramètres!$A$1:$I$89,3,0)*0.475*44/12</f>
        <v>18.671689526605125</v>
      </c>
      <c r="BR155" s="21">
        <f>EXP(-LN(2)/2)*BR154+(1-EXP(-LN(2)/2))/(LN(2)/2)*BL155*BO155*VLOOKUP('Données projet'!$B$11,Paramètres!$A$1:$I$89,3,0)*0.475*44/12</f>
        <v>3.1164430771024371E-4</v>
      </c>
      <c r="BS155" s="22">
        <f t="shared" si="169"/>
        <v>61.343425817735529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2.2737367544323206E-13</v>
      </c>
      <c r="BZ155" s="13">
        <f>BY155*VLOOKUP('Données projet'!$B$12,Paramètres!$A$1:$I$89,3,0)*VLOOKUP('Données projet'!$B$12,Paramètres!$A$1:$I$89,5,0)</f>
        <v>1.5252226148732008E-13</v>
      </c>
      <c r="CA155" s="13">
        <f t="shared" si="170"/>
        <v>2.1814502464536512E-12</v>
      </c>
      <c r="CB155" s="20">
        <f t="shared" si="171"/>
        <v>4.0650021179971913E-12</v>
      </c>
      <c r="CC155" s="59">
        <f t="shared" si="119"/>
        <v>286.92141300674399</v>
      </c>
      <c r="CD155" s="59">
        <f ca="1">AVERAGE(OFFSET($CC$3,0,0,'Données projet'!$E$12+1,1))-AVERAGE(OFFSET($H$3,0,0,'Données projet'!$E$12+1,1))</f>
        <v>335.73816489539837</v>
      </c>
      <c r="CE155" s="59">
        <f t="shared" si="148"/>
        <v>254.09787950201044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16.305217547772116</v>
      </c>
      <c r="CL155" s="21">
        <f>EXP(-LN(2)/25)*CL154+(1-EXP(-LN(2)/25))/(LN(2)/25)*Calculateur!CG155*Calculateur!CI155*VLOOKUP('Données projet'!$B$12,Paramètres!$A$1:$I$89,3,0)*0.475*44/12</f>
        <v>11.832157737459818</v>
      </c>
      <c r="CM155" s="21">
        <f>EXP(-LN(2)/2)*CM154+(1-EXP(-LN(2)/2))/(LN(2)/2)*CG155*CJ155*VLOOKUP('Données projet'!$B$12,Paramètres!$A$1:$I$89,3,0)*0.475*44/12</f>
        <v>2.3343866147284371E-5</v>
      </c>
      <c r="CN155" s="22">
        <f t="shared" si="172"/>
        <v>28.13739862909808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1.1368683772161603E-13</v>
      </c>
      <c r="CU155" s="17">
        <f>CT155*VLOOKUP('Données projet'!$B$13,Paramètres!$A$1:$I$89,3,0)*VLOOKUP('Données projet'!$B$13,Paramètres!$A$1:$I$89,5,0)</f>
        <v>6.7984728957526396E-14</v>
      </c>
      <c r="CV155" s="13">
        <f t="shared" si="173"/>
        <v>1.0682447123141398E-12</v>
      </c>
      <c r="CW155" s="20">
        <f t="shared" si="174"/>
        <v>1.978932943548152E-12</v>
      </c>
      <c r="CX155" s="59">
        <f t="shared" si="122"/>
        <v>286.92141300674189</v>
      </c>
      <c r="CY155" s="59">
        <f ca="1">AVERAGE(OFFSET($CX$3,0,0,'Données projet'!$E$13+1,1))-AVERAGE(OFFSET($H$3,0,0,'Données projet'!$E$13+1,1))</f>
        <v>318.50474972254085</v>
      </c>
      <c r="CZ155" s="59">
        <f t="shared" si="150"/>
        <v>326.45858332753562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22.455710619563995</v>
      </c>
      <c r="DG155" s="21">
        <f>EXP(-LN(2)/25)*DG154+(1-EXP(-LN(2)/25))/(LN(2)/25)*Calculateur!DB155*Calculateur!DD155*VLOOKUP('Données projet'!$B$13,Paramètres!$A$1:$I$89,3,0)*0.475*44/12</f>
        <v>3.7793611330767471</v>
      </c>
      <c r="DH155" s="21">
        <f>EXP(-LN(2)/2)*DH154+(1-EXP(-LN(2)/2))/(LN(2)/2)*DB155*DE155*VLOOKUP('Données projet'!$B$13,Paramètres!$A$1:$I$89,3,0)*0.475*44/12</f>
        <v>8.5210335247656834E-13</v>
      </c>
      <c r="DI155" s="22">
        <f t="shared" si="175"/>
        <v>26.235071752641595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3">
        <f>'Scénario référence'!$B$16*5+'Scénario référence'!$B$17*0+'Scénario référence'!$B$18*5</f>
        <v>5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67">
        <f t="shared" si="110"/>
        <v>183.33333333333334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5.6843418860808015E-14</v>
      </c>
      <c r="O156" s="13">
        <f>N156*VLOOKUP('Données projet'!$B$9,Paramètres!$A$1:$I$89,3,0)*VLOOKUP('Données projet'!$B$9,Paramètres!$A$1:$I$89,5,0)</f>
        <v>5.1431925385259088E-14</v>
      </c>
      <c r="P156" s="13">
        <f t="shared" si="141"/>
        <v>8.3482866290946129E-13</v>
      </c>
      <c r="Q156" s="20">
        <f t="shared" si="162"/>
        <v>1.5435705246133045E-12</v>
      </c>
      <c r="R156" s="59">
        <f t="shared" si="109"/>
        <v>287.03264548950153</v>
      </c>
      <c r="S156" s="59">
        <f ca="1">AVERAGE(OFFSET($R$3,0,0,'Données projet'!$E$9+1,1))-AVERAGE(OFFSET($H$3,0,0,'Données projet'!$E$9+1,1))</f>
        <v>214.60547318405733</v>
      </c>
      <c r="T156" s="59">
        <f t="shared" si="142"/>
        <v>306.35874106546646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1.8386110798443942</v>
      </c>
      <c r="AA156" s="21">
        <f>EXP(-LN(2)/25)*AA155+(1-EXP(-LN(2)/25))/(LN(2)/25)*Calculateur!V156*Calculateur!X156*VLOOKUP('Données projet'!$B$9,Paramètres!$A$1:$I$89,3,0)*0.475*44/12</f>
        <v>0.66173392168752543</v>
      </c>
      <c r="AB156" s="21">
        <f>EXP(-LN(2)/2)*AB155+(1-EXP(-LN(2)/2))/(LN(2)/2)*V156*Y156*VLOOKUP('Données projet'!$B$9,Paramètres!$A$1:$I$89,3,0)*0.475*44/12</f>
        <v>7.6553149285631769E-16</v>
      </c>
      <c r="AC156" s="22">
        <f t="shared" si="163"/>
        <v>2.5003450015319206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9.3350000000000026</v>
      </c>
      <c r="AI156" s="13">
        <f>IF('Données projet'!$A$62&gt;35,AI155+AH156-AQ155,IF(A156&lt;'Données projet'!$A$62,$AF$205^A156,IF(A156='Données projet'!$A$62,'Données projet'!$B$62,AI155+AH156-AQ155)))</f>
        <v>537.15500000000088</v>
      </c>
      <c r="AJ156" s="13">
        <f>AI156*VLOOKUP('Données projet'!$B$10,Paramètres!$A$1:$I$89,3,0)*VLOOKUP('Données projet'!$B$10,Paramètres!$A$1:$I$89,5,0)</f>
        <v>544.67517000000089</v>
      </c>
      <c r="AK156" s="13">
        <f t="shared" si="164"/>
        <v>120.55999698924055</v>
      </c>
      <c r="AL156" s="20">
        <f t="shared" si="165"/>
        <v>1158.6179158395955</v>
      </c>
      <c r="AM156" s="59">
        <f t="shared" si="113"/>
        <v>1445.6505613290956</v>
      </c>
      <c r="AN156" s="59">
        <f ca="1">AVERAGE(OFFSET($AM$3,0,0,'Données projet'!$E$10+1,1))-AVERAGE(OFFSET($H$3,0,0,'Données projet'!$E$10+1,1))</f>
        <v>752.45542076695506</v>
      </c>
      <c r="AO156" s="59">
        <f t="shared" si="144"/>
        <v>329.70629768420724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46.88367521331628</v>
      </c>
      <c r="AV156" s="21">
        <f>EXP(-LN(2)/25)*AV155+(1-EXP(-LN(2)/25))/(LN(2)/25)*Calculateur!AQ156*Calculateur!AS156*VLOOKUP('Données projet'!$B$10,Paramètres!$A$1:$I$89,3,0)*0.475*44/12</f>
        <v>20.352969442222602</v>
      </c>
      <c r="AW156" s="21">
        <f>EXP(-LN(2)/2)*AW155+(1-EXP(-LN(2)/2))/(LN(2)/2)*AQ156*AT156*VLOOKUP('Données projet'!$B$10,Paramètres!$A$1:$I$89,3,0)*0.475*44/12</f>
        <v>2.4696167611218129E-4</v>
      </c>
      <c r="AX156" s="21">
        <f t="shared" si="166"/>
        <v>67.236891617214994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9.3350000000000026</v>
      </c>
      <c r="BD156" s="12">
        <f>IF('Données projet'!$A$88&gt;35,BD155+BC156-BL155,IF(A156&lt;'Données projet'!$A$88,$BA$205^A156,IF(A156='Données projet'!$A$88,'Données projet'!$B$88,BD155+BC156-BL155)))</f>
        <v>537.15500000000088</v>
      </c>
      <c r="BE156" s="13">
        <f>BD156*VLOOKUP('Données projet'!$B$11,Paramètres!$A$1:$I$89,3,0)*VLOOKUP('Données projet'!$B$11,Paramètres!$A$1:$I$89,5,0)</f>
        <v>486.01784400000076</v>
      </c>
      <c r="BF156" s="13">
        <f t="shared" si="167"/>
        <v>109.01291721682281</v>
      </c>
      <c r="BG156" s="20">
        <f t="shared" si="168"/>
        <v>1036.3452424526342</v>
      </c>
      <c r="BH156" s="59">
        <f t="shared" si="116"/>
        <v>1323.3778879421343</v>
      </c>
      <c r="BI156" s="59">
        <f ca="1">AVERAGE(OFFSET($BH$3,0,0,'Données projet'!$E$11+1,1))-AVERAGE(OFFSET($H$3,0,0,'Données projet'!$E$11+1,1))</f>
        <v>681.47578137804555</v>
      </c>
      <c r="BJ156" s="59">
        <f t="shared" si="146"/>
        <v>300.88511065995885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41.834664036497585</v>
      </c>
      <c r="BQ156" s="21">
        <f>EXP(-LN(2)/25)*BQ155+(1-EXP(-LN(2)/25))/(LN(2)/25)*Calculateur!BL156*Calculateur!BN156*VLOOKUP('Données projet'!$B$11,Paramètres!$A$1:$I$89,3,0)*0.475*44/12</f>
        <v>18.161111194598629</v>
      </c>
      <c r="BR156" s="21">
        <f>EXP(-LN(2)/2)*BR155+(1-EXP(-LN(2)/2))/(LN(2)/2)*BL156*BO156*VLOOKUP('Données projet'!$B$11,Paramètres!$A$1:$I$89,3,0)*0.475*44/12</f>
        <v>2.2036580330010038E-4</v>
      </c>
      <c r="BS156" s="22">
        <f t="shared" si="169"/>
        <v>59.995995596899519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2.2737367544323206E-13</v>
      </c>
      <c r="BZ156" s="13">
        <f>BY156*VLOOKUP('Données projet'!$B$12,Paramètres!$A$1:$I$89,3,0)*VLOOKUP('Données projet'!$B$12,Paramètres!$A$1:$I$89,5,0)</f>
        <v>1.5252226148732008E-13</v>
      </c>
      <c r="CA156" s="13">
        <f t="shared" si="170"/>
        <v>2.1814502464536512E-12</v>
      </c>
      <c r="CB156" s="20">
        <f t="shared" si="171"/>
        <v>4.0650021179971913E-12</v>
      </c>
      <c r="CC156" s="59">
        <f t="shared" si="119"/>
        <v>287.03264548950409</v>
      </c>
      <c r="CD156" s="59">
        <f ca="1">AVERAGE(OFFSET($CC$3,0,0,'Données projet'!$E$12+1,1))-AVERAGE(OFFSET($H$3,0,0,'Données projet'!$E$12+1,1))</f>
        <v>335.73816489539837</v>
      </c>
      <c r="CE156" s="59">
        <f t="shared" si="148"/>
        <v>254.09787950201044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15.985482176861002</v>
      </c>
      <c r="CL156" s="21">
        <f>EXP(-LN(2)/25)*CL155+(1-EXP(-LN(2)/25))/(LN(2)/25)*Calculateur!CG156*Calculateur!CI156*VLOOKUP('Données projet'!$B$12,Paramètres!$A$1:$I$89,3,0)*0.475*44/12</f>
        <v>11.508606761902847</v>
      </c>
      <c r="CM156" s="21">
        <f>EXP(-LN(2)/2)*CM155+(1-EXP(-LN(2)/2))/(LN(2)/2)*CG156*CJ156*VLOOKUP('Données projet'!$B$12,Paramètres!$A$1:$I$89,3,0)*0.475*44/12</f>
        <v>1.6506606051855864E-5</v>
      </c>
      <c r="CN156" s="22">
        <f t="shared" si="172"/>
        <v>27.4941054453699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1.1368683772161603E-13</v>
      </c>
      <c r="CU156" s="17">
        <f>CT156*VLOOKUP('Données projet'!$B$13,Paramètres!$A$1:$I$89,3,0)*VLOOKUP('Données projet'!$B$13,Paramètres!$A$1:$I$89,5,0)</f>
        <v>6.7984728957526396E-14</v>
      </c>
      <c r="CV156" s="13">
        <f t="shared" si="173"/>
        <v>1.0682447123141398E-12</v>
      </c>
      <c r="CW156" s="20">
        <f t="shared" si="174"/>
        <v>1.978932943548152E-12</v>
      </c>
      <c r="CX156" s="59">
        <f t="shared" si="122"/>
        <v>287.03264548950199</v>
      </c>
      <c r="CY156" s="59">
        <f ca="1">AVERAGE(OFFSET($CX$3,0,0,'Données projet'!$E$13+1,1))-AVERAGE(OFFSET($H$3,0,0,'Données projet'!$E$13+1,1))</f>
        <v>318.50474972254085</v>
      </c>
      <c r="CZ156" s="59">
        <f t="shared" si="150"/>
        <v>326.45858332753562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22.015367830945394</v>
      </c>
      <c r="DG156" s="21">
        <f>EXP(-LN(2)/25)*DG155+(1-EXP(-LN(2)/25))/(LN(2)/25)*Calculateur!DB156*Calculateur!DD156*VLOOKUP('Données projet'!$B$13,Paramètres!$A$1:$I$89,3,0)*0.475*44/12</f>
        <v>3.6760143041447995</v>
      </c>
      <c r="DH156" s="21">
        <f>EXP(-LN(2)/2)*DH155+(1-EXP(-LN(2)/2))/(LN(2)/2)*DB156*DE156*VLOOKUP('Données projet'!$B$13,Paramètres!$A$1:$I$89,3,0)*0.475*44/12</f>
        <v>6.0252805880797238E-13</v>
      </c>
      <c r="DI156" s="22">
        <f t="shared" si="175"/>
        <v>25.691382135090798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3">
        <f>'Scénario référence'!$B$16*5+'Scénario référence'!$B$17*0+'Scénario référence'!$B$18*5</f>
        <v>5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67">
        <f t="shared" si="110"/>
        <v>183.33333333333334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5.6843418860808015E-14</v>
      </c>
      <c r="O157" s="13">
        <f>N157*VLOOKUP('Données projet'!$B$9,Paramètres!$A$1:$I$89,3,0)*VLOOKUP('Données projet'!$B$9,Paramètres!$A$1:$I$89,5,0)</f>
        <v>5.1431925385259088E-14</v>
      </c>
      <c r="P157" s="13">
        <f t="shared" si="141"/>
        <v>8.3482866290946129E-13</v>
      </c>
      <c r="Q157" s="20">
        <f t="shared" si="162"/>
        <v>1.5435705246133045E-12</v>
      </c>
      <c r="R157" s="59">
        <f t="shared" si="109"/>
        <v>287.14194833736428</v>
      </c>
      <c r="S157" s="59">
        <f ca="1">AVERAGE(OFFSET($R$3,0,0,'Données projet'!$E$9+1,1))-AVERAGE(OFFSET($H$3,0,0,'Données projet'!$E$9+1,1))</f>
        <v>214.60547318405733</v>
      </c>
      <c r="T157" s="59">
        <f t="shared" si="142"/>
        <v>306.35874106546646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1.8025570380106712</v>
      </c>
      <c r="AA157" s="21">
        <f>EXP(-LN(2)/25)*AA156+(1-EXP(-LN(2)/25))/(LN(2)/25)*Calculateur!V157*Calculateur!X157*VLOOKUP('Données projet'!$B$9,Paramètres!$A$1:$I$89,3,0)*0.475*44/12</f>
        <v>0.64363877279990556</v>
      </c>
      <c r="AB157" s="21">
        <f>EXP(-LN(2)/2)*AB156+(1-EXP(-LN(2)/2))/(LN(2)/2)*V157*Y157*VLOOKUP('Données projet'!$B$9,Paramètres!$A$1:$I$89,3,0)*0.475*44/12</f>
        <v>5.4131250981056329E-16</v>
      </c>
      <c r="AC157" s="22">
        <f t="shared" si="163"/>
        <v>2.4461958108105772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>
        <f>VLOOKUP(A157,'Données projet'!$A$61:$I$81,2,0)</f>
        <v>546.49</v>
      </c>
      <c r="AG157" s="12">
        <f>VLOOKUP(A157,'Données projet'!$A$61:$I$81,9,0)</f>
        <v>9.3350000000000026</v>
      </c>
      <c r="AH157" s="12">
        <f t="array" ref="AH157">INDEX(AG:AG,MIN(IF(ISNUMBER(AG157:AG353),ROW(AG157:AG353),"")))</f>
        <v>9.3350000000000026</v>
      </c>
      <c r="AI157" s="13">
        <f>IF('Données projet'!$A$62&gt;35,AI156+AH157-AQ156,IF(A157&lt;'Données projet'!$A$62,$AF$205^A157,IF(A157='Données projet'!$A$62,'Données projet'!$B$62,AI156+AH157-AQ156)))</f>
        <v>546.49000000000092</v>
      </c>
      <c r="AJ157" s="13">
        <f>AI157*VLOOKUP('Données projet'!$B$10,Paramètres!$A$1:$I$89,3,0)*VLOOKUP('Données projet'!$B$10,Paramètres!$A$1:$I$89,5,0)</f>
        <v>554.140860000001</v>
      </c>
      <c r="AK157" s="13">
        <f t="shared" si="164"/>
        <v>122.40942303871579</v>
      </c>
      <c r="AL157" s="20">
        <f t="shared" si="165"/>
        <v>1178.3250762924317</v>
      </c>
      <c r="AM157" s="59">
        <f t="shared" si="113"/>
        <v>1465.4670246297944</v>
      </c>
      <c r="AN157" s="59">
        <f ca="1">AVERAGE(OFFSET($AM$3,0,0,'Données projet'!$E$10+1,1))-AVERAGE(OFFSET($H$3,0,0,'Données projet'!$E$10+1,1))</f>
        <v>752.45542076695506</v>
      </c>
      <c r="AO157" s="59">
        <f t="shared" si="144"/>
        <v>329.70629768420724</v>
      </c>
      <c r="AP157" s="15">
        <f>IF(ISNA(VLOOKUP(A157,'Données projet'!$A$61:$I$81,3,0)),0,VLOOKUP(A157,'Données projet'!$A$61:$I$81,3,0))</f>
        <v>13</v>
      </c>
      <c r="AQ157" s="15">
        <f>IF(ISNA(VLOOKUP(A157,'Données projet'!$A$61:$I$81,4,0)),0,VLOOKUP(A157,'Données projet'!$A$61:$I$81,4,0))</f>
        <v>61.050000000000011</v>
      </c>
      <c r="AR157" s="16">
        <f>IF(ISNA(VLOOKUP(A157,'Données projet'!$A$61:$I$81,5,0)),0%,VLOOKUP(A157,'Données projet'!$A$61:$I$81,5,0)*VLOOKUP('Données projet'!$B$10,Paramètres!$A$1:$I$89,7,0))</f>
        <v>0.215</v>
      </c>
      <c r="AS157" s="16">
        <f>IF(ISNA(VLOOKUP(A157,'Données projet'!$A$61:$I$81,6,0)),0%,VLOOKUP(A157,'Données projet'!$A$61:$I$81,6,0)*VLOOKUP('Données projet'!$B$10,Paramètres!$A$1:$I$89,7,0))</f>
        <v>8.6000000000000007E-2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60.67758456243417</v>
      </c>
      <c r="AV157" s="21">
        <f>EXP(-LN(2)/25)*AV156+(1-EXP(-LN(2)/25))/(LN(2)/25)*Calculateur!AQ157*Calculateur!AS157*VLOOKUP('Données projet'!$B$10,Paramètres!$A$1:$I$89,3,0)*0.475*44/12</f>
        <v>25.658551572560288</v>
      </c>
      <c r="AW157" s="21">
        <f>EXP(-LN(2)/2)*AW156+(1-EXP(-LN(2)/2))/(LN(2)/2)*AQ157*AT157*VLOOKUP('Données projet'!$B$10,Paramètres!$A$1:$I$89,3,0)*0.475*44/12</f>
        <v>1.746282758721192E-4</v>
      </c>
      <c r="AX157" s="21">
        <f t="shared" si="166"/>
        <v>86.336310763270333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>
        <f>VLOOKUP(A157,'Données projet'!$A$87:$I$107,2,0)</f>
        <v>546.49</v>
      </c>
      <c r="BB157" s="12">
        <f>VLOOKUP(A157,'Données projet'!$A$87:$I$107,9,0)</f>
        <v>9.3350000000000026</v>
      </c>
      <c r="BC157" s="12">
        <f t="array" ref="BC157">INDEX(BB:BB,MIN(IF(ISNUMBER(BB157:BB353),ROW(BB157:BB353),"")))</f>
        <v>9.3350000000000026</v>
      </c>
      <c r="BD157" s="12">
        <f>IF('Données projet'!$A$88&gt;35,BD156+BC157-BL156,IF(A157&lt;'Données projet'!$A$88,$BA$205^A157,IF(A157='Données projet'!$A$88,'Données projet'!$B$88,BD156+BC157-BL156)))</f>
        <v>546.49000000000092</v>
      </c>
      <c r="BE157" s="13">
        <f>BD157*VLOOKUP('Données projet'!$B$11,Paramètres!$A$1:$I$89,3,0)*VLOOKUP('Données projet'!$B$11,Paramètres!$A$1:$I$89,5,0)</f>
        <v>494.46415200000081</v>
      </c>
      <c r="BF157" s="13">
        <f t="shared" si="167"/>
        <v>110.68520764370523</v>
      </c>
      <c r="BG157" s="20">
        <f t="shared" si="168"/>
        <v>1053.9684680461214</v>
      </c>
      <c r="BH157" s="59">
        <f t="shared" si="116"/>
        <v>1341.1104163834841</v>
      </c>
      <c r="BI157" s="59">
        <f ca="1">AVERAGE(OFFSET($BH$3,0,0,'Données projet'!$E$11+1,1))-AVERAGE(OFFSET($H$3,0,0,'Données projet'!$E$11+1,1))</f>
        <v>681.47578137804555</v>
      </c>
      <c r="BJ157" s="59">
        <f t="shared" si="146"/>
        <v>300.88511065995885</v>
      </c>
      <c r="BK157" s="15">
        <f>IF(ISNA(VLOOKUP(A157,'Données projet'!$A$87:$I$107,3,0)),0,VLOOKUP(A157,'Données projet'!$A$87:$I$107,3,0))</f>
        <v>13</v>
      </c>
      <c r="BL157" s="15">
        <f>IF(ISNA(VLOOKUP(A157,'Données projet'!$A$87:$I$107,4,0)),0,VLOOKUP(A157,'Données projet'!$A$87:$I$107,4,0))</f>
        <v>61.050000000000011</v>
      </c>
      <c r="BM157" s="16">
        <f>IF(ISNA(VLOOKUP(A157,'Données projet'!$A$87:$I$107,5,0)),0%,VLOOKUP(A157,'Données projet'!$A$87:$I$107,5,0)*VLOOKUP('Données projet'!$B$11,Paramètres!$A$1:$I$89,7,0))</f>
        <v>0.215</v>
      </c>
      <c r="BN157" s="16">
        <f>IF(ISNA(VLOOKUP(A157,'Données projet'!$A$87:$I$107,6,0)),0%,VLOOKUP(A157,'Données projet'!$A$87:$I$107,6,0)*VLOOKUP('Données projet'!$B$11,Paramètres!$A$1:$I$89,7,0))</f>
        <v>8.6000000000000007E-2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54.143075455710473</v>
      </c>
      <c r="BQ157" s="21">
        <f>EXP(-LN(2)/25)*BQ156+(1-EXP(-LN(2)/25))/(LN(2)/25)*Calculateur!BL157*Calculateur!BN157*VLOOKUP('Données projet'!$B$11,Paramètres!$A$1:$I$89,3,0)*0.475*44/12</f>
        <v>22.895322941669175</v>
      </c>
      <c r="BR157" s="21">
        <f>EXP(-LN(2)/2)*BR156+(1-EXP(-LN(2)/2))/(LN(2)/2)*BL157*BO157*VLOOKUP('Données projet'!$B$11,Paramètres!$A$1:$I$89,3,0)*0.475*44/12</f>
        <v>1.5582215385512185E-4</v>
      </c>
      <c r="BS157" s="22">
        <f t="shared" si="169"/>
        <v>77.038554219533509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2.2737367544323206E-13</v>
      </c>
      <c r="BZ157" s="13">
        <f>BY157*VLOOKUP('Données projet'!$B$12,Paramètres!$A$1:$I$89,3,0)*VLOOKUP('Données projet'!$B$12,Paramètres!$A$1:$I$89,5,0)</f>
        <v>1.5252226148732008E-13</v>
      </c>
      <c r="CA157" s="13">
        <f t="shared" si="170"/>
        <v>2.1814502464536512E-12</v>
      </c>
      <c r="CB157" s="20">
        <f t="shared" si="171"/>
        <v>4.0650021179971913E-12</v>
      </c>
      <c r="CC157" s="59">
        <f t="shared" si="119"/>
        <v>287.14194833736684</v>
      </c>
      <c r="CD157" s="59">
        <f ca="1">AVERAGE(OFFSET($CC$3,0,0,'Données projet'!$E$12+1,1))-AVERAGE(OFFSET($H$3,0,0,'Données projet'!$E$12+1,1))</f>
        <v>335.73816489539837</v>
      </c>
      <c r="CE157" s="59">
        <f t="shared" si="148"/>
        <v>254.09787950201044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15.672016621554135</v>
      </c>
      <c r="CL157" s="21">
        <f>EXP(-LN(2)/25)*CL156+(1-EXP(-LN(2)/25))/(LN(2)/25)*Calculateur!CG157*Calculateur!CI157*VLOOKUP('Données projet'!$B$12,Paramètres!$A$1:$I$89,3,0)*0.475*44/12</f>
        <v>11.193903304787288</v>
      </c>
      <c r="CM157" s="21">
        <f>EXP(-LN(2)/2)*CM156+(1-EXP(-LN(2)/2))/(LN(2)/2)*CG157*CJ157*VLOOKUP('Données projet'!$B$12,Paramètres!$A$1:$I$89,3,0)*0.475*44/12</f>
        <v>1.1671933073642186E-5</v>
      </c>
      <c r="CN157" s="22">
        <f t="shared" si="172"/>
        <v>26.865931598274496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1.1368683772161603E-13</v>
      </c>
      <c r="CU157" s="17">
        <f>CT157*VLOOKUP('Données projet'!$B$13,Paramètres!$A$1:$I$89,3,0)*VLOOKUP('Données projet'!$B$13,Paramètres!$A$1:$I$89,5,0)</f>
        <v>6.7984728957526396E-14</v>
      </c>
      <c r="CV157" s="13">
        <f t="shared" si="173"/>
        <v>1.0682447123141398E-12</v>
      </c>
      <c r="CW157" s="20">
        <f t="shared" si="174"/>
        <v>1.978932943548152E-12</v>
      </c>
      <c r="CX157" s="59">
        <f t="shared" si="122"/>
        <v>287.14194833736474</v>
      </c>
      <c r="CY157" s="59">
        <f ca="1">AVERAGE(OFFSET($CX$3,0,0,'Données projet'!$E$13+1,1))-AVERAGE(OFFSET($H$3,0,0,'Données projet'!$E$13+1,1))</f>
        <v>318.50474972254085</v>
      </c>
      <c r="CZ157" s="59">
        <f t="shared" si="150"/>
        <v>326.45858332753562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21.583659895829022</v>
      </c>
      <c r="DG157" s="21">
        <f>EXP(-LN(2)/25)*DG156+(1-EXP(-LN(2)/25))/(LN(2)/25)*Calculateur!DB157*Calculateur!DD157*VLOOKUP('Données projet'!$B$13,Paramètres!$A$1:$I$89,3,0)*0.475*44/12</f>
        <v>3.5754934996847694</v>
      </c>
      <c r="DH157" s="21">
        <f>EXP(-LN(2)/2)*DH156+(1-EXP(-LN(2)/2))/(LN(2)/2)*DB157*DE157*VLOOKUP('Données projet'!$B$13,Paramètres!$A$1:$I$89,3,0)*0.475*44/12</f>
        <v>4.2605167623828417E-13</v>
      </c>
      <c r="DI157" s="22">
        <f t="shared" si="175"/>
        <v>25.159153395514217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3">
        <f>'Scénario référence'!$B$16*5+'Scénario référence'!$B$17*0+'Scénario référence'!$B$18*5</f>
        <v>5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67">
        <f t="shared" si="110"/>
        <v>183.33333333333334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5.6843418860808015E-14</v>
      </c>
      <c r="O158" s="13">
        <f>N158*VLOOKUP('Données projet'!$B$9,Paramètres!$A$1:$I$89,3,0)*VLOOKUP('Données projet'!$B$9,Paramètres!$A$1:$I$89,5,0)</f>
        <v>5.1431925385259088E-14</v>
      </c>
      <c r="P158" s="13">
        <f t="shared" si="141"/>
        <v>8.3482866290946129E-13</v>
      </c>
      <c r="Q158" s="20">
        <f t="shared" si="162"/>
        <v>1.5435705246133045E-12</v>
      </c>
      <c r="R158" s="59">
        <f t="shared" si="109"/>
        <v>287.24935502518122</v>
      </c>
      <c r="S158" s="59">
        <f ca="1">AVERAGE(OFFSET($R$3,0,0,'Données projet'!$E$9+1,1))-AVERAGE(OFFSET($H$3,0,0,'Données projet'!$E$9+1,1))</f>
        <v>214.60547318405733</v>
      </c>
      <c r="T158" s="59">
        <f t="shared" si="142"/>
        <v>306.35874106546646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1.7672099939465133</v>
      </c>
      <c r="AA158" s="21">
        <f>EXP(-LN(2)/25)*AA157+(1-EXP(-LN(2)/25))/(LN(2)/25)*Calculateur!V158*Calculateur!X158*VLOOKUP('Données projet'!$B$9,Paramètres!$A$1:$I$89,3,0)*0.475*44/12</f>
        <v>0.6260384367102001</v>
      </c>
      <c r="AB158" s="21">
        <f>EXP(-LN(2)/2)*AB157+(1-EXP(-LN(2)/2))/(LN(2)/2)*V158*Y158*VLOOKUP('Données projet'!$B$9,Paramètres!$A$1:$I$89,3,0)*0.475*44/12</f>
        <v>3.8276574642815884E-16</v>
      </c>
      <c r="AC158" s="22">
        <f t="shared" si="163"/>
        <v>2.3932484306567141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9.4880000000000049</v>
      </c>
      <c r="AI158" s="13">
        <f>IF('Données projet'!$A$62&gt;35,AI157+AH158-AQ157,IF(A158&lt;'Données projet'!$A$62,$AF$205^A158,IF(A158='Données projet'!$A$62,'Données projet'!$B$62,AI157+AH158-AQ157)))</f>
        <v>494.92800000000096</v>
      </c>
      <c r="AJ158" s="13">
        <f>AI158*VLOOKUP('Données projet'!$B$10,Paramètres!$A$1:$I$89,3,0)*VLOOKUP('Données projet'!$B$10,Paramètres!$A$1:$I$89,5,0)</f>
        <v>501.85699200000107</v>
      </c>
      <c r="AK158" s="13">
        <f t="shared" si="164"/>
        <v>112.14619280341684</v>
      </c>
      <c r="AL158" s="20">
        <f t="shared" si="165"/>
        <v>1069.3888801992859</v>
      </c>
      <c r="AM158" s="59">
        <f t="shared" si="113"/>
        <v>1356.6382352244657</v>
      </c>
      <c r="AN158" s="59">
        <f ca="1">AVERAGE(OFFSET($AM$3,0,0,'Données projet'!$E$10+1,1))-AVERAGE(OFFSET($H$3,0,0,'Données projet'!$E$10+1,1))</f>
        <v>752.45542076695506</v>
      </c>
      <c r="AO158" s="59">
        <f t="shared" si="144"/>
        <v>329.70629768420724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59.48773413883702</v>
      </c>
      <c r="AV158" s="21">
        <f>EXP(-LN(2)/25)*AV157+(1-EXP(-LN(2)/25))/(LN(2)/25)*Calculateur!AQ158*Calculateur!AS158*VLOOKUP('Données projet'!$B$10,Paramètres!$A$1:$I$89,3,0)*0.475*44/12</f>
        <v>24.956917130484044</v>
      </c>
      <c r="AW158" s="21">
        <f>EXP(-LN(2)/2)*AW157+(1-EXP(-LN(2)/2))/(LN(2)/2)*AQ158*AT158*VLOOKUP('Données projet'!$B$10,Paramètres!$A$1:$I$89,3,0)*0.475*44/12</f>
        <v>1.2348083805609065E-4</v>
      </c>
      <c r="AX158" s="21">
        <f t="shared" si="166"/>
        <v>84.444774750159127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9.4880000000000049</v>
      </c>
      <c r="BD158" s="12">
        <f>IF('Données projet'!$A$88&gt;35,BD157+BC158-BL157,IF(A158&lt;'Données projet'!$A$88,$BA$205^A158,IF(A158='Données projet'!$A$88,'Données projet'!$B$88,BD157+BC158-BL157)))</f>
        <v>494.92800000000096</v>
      </c>
      <c r="BE158" s="13">
        <f>BD158*VLOOKUP('Données projet'!$B$11,Paramètres!$A$1:$I$89,3,0)*VLOOKUP('Données projet'!$B$11,Paramètres!$A$1:$I$89,5,0)</f>
        <v>447.81085440000084</v>
      </c>
      <c r="BF158" s="13">
        <f t="shared" si="167"/>
        <v>101.40497625718913</v>
      </c>
      <c r="BG158" s="20">
        <f t="shared" si="168"/>
        <v>956.55090506127237</v>
      </c>
      <c r="BH158" s="59">
        <f t="shared" si="116"/>
        <v>1243.800260086452</v>
      </c>
      <c r="BI158" s="59">
        <f ca="1">AVERAGE(OFFSET($BH$3,0,0,'Données projet'!$E$11+1,1))-AVERAGE(OFFSET($H$3,0,0,'Données projet'!$E$11+1,1))</f>
        <v>681.47578137804555</v>
      </c>
      <c r="BJ158" s="59">
        <f t="shared" si="146"/>
        <v>300.88511065995885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53.081362770039171</v>
      </c>
      <c r="BQ158" s="21">
        <f>EXP(-LN(2)/25)*BQ157+(1-EXP(-LN(2)/25))/(LN(2)/25)*Calculateur!BL158*Calculateur!BN158*VLOOKUP('Données projet'!$B$11,Paramètres!$A$1:$I$89,3,0)*0.475*44/12</f>
        <v>22.269249131816526</v>
      </c>
      <c r="BR158" s="21">
        <f>EXP(-LN(2)/2)*BR157+(1-EXP(-LN(2)/2))/(LN(2)/2)*BL158*BO158*VLOOKUP('Données projet'!$B$11,Paramètres!$A$1:$I$89,3,0)*0.475*44/12</f>
        <v>1.1018290165005019E-4</v>
      </c>
      <c r="BS158" s="22">
        <f t="shared" si="169"/>
        <v>75.350722084757351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2.2737367544323206E-13</v>
      </c>
      <c r="BZ158" s="13">
        <f>BY158*VLOOKUP('Données projet'!$B$12,Paramètres!$A$1:$I$89,3,0)*VLOOKUP('Données projet'!$B$12,Paramètres!$A$1:$I$89,5,0)</f>
        <v>1.5252226148732008E-13</v>
      </c>
      <c r="CA158" s="13">
        <f t="shared" si="170"/>
        <v>2.1814502464536512E-12</v>
      </c>
      <c r="CB158" s="20">
        <f t="shared" si="171"/>
        <v>4.0650021179971913E-12</v>
      </c>
      <c r="CC158" s="59">
        <f t="shared" si="119"/>
        <v>287.24935502518377</v>
      </c>
      <c r="CD158" s="59">
        <f ca="1">AVERAGE(OFFSET($CC$3,0,0,'Données projet'!$E$12+1,1))-AVERAGE(OFFSET($H$3,0,0,'Données projet'!$E$12+1,1))</f>
        <v>335.73816489539837</v>
      </c>
      <c r="CE158" s="59">
        <f t="shared" si="148"/>
        <v>254.09787950201044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15.364697934591726</v>
      </c>
      <c r="CL158" s="21">
        <f>EXP(-LN(2)/25)*CL157+(1-EXP(-LN(2)/25))/(LN(2)/25)*Calculateur!CG158*Calculateur!CI158*VLOOKUP('Données projet'!$B$12,Paramètres!$A$1:$I$89,3,0)*0.475*44/12</f>
        <v>10.887805430256089</v>
      </c>
      <c r="CM158" s="21">
        <f>EXP(-LN(2)/2)*CM157+(1-EXP(-LN(2)/2))/(LN(2)/2)*CG158*CJ158*VLOOKUP('Données projet'!$B$12,Paramètres!$A$1:$I$89,3,0)*0.475*44/12</f>
        <v>8.2533030259279319E-6</v>
      </c>
      <c r="CN158" s="22">
        <f t="shared" si="172"/>
        <v>26.252511618150841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1.1368683772161603E-13</v>
      </c>
      <c r="CU158" s="17">
        <f>CT158*VLOOKUP('Données projet'!$B$13,Paramètres!$A$1:$I$89,3,0)*VLOOKUP('Données projet'!$B$13,Paramètres!$A$1:$I$89,5,0)</f>
        <v>6.7984728957526396E-14</v>
      </c>
      <c r="CV158" s="13">
        <f t="shared" si="173"/>
        <v>1.0682447123141398E-12</v>
      </c>
      <c r="CW158" s="20">
        <f t="shared" si="174"/>
        <v>1.978932943548152E-12</v>
      </c>
      <c r="CX158" s="59">
        <f t="shared" si="122"/>
        <v>287.24935502518167</v>
      </c>
      <c r="CY158" s="59">
        <f ca="1">AVERAGE(OFFSET($CX$3,0,0,'Données projet'!$E$13+1,1))-AVERAGE(OFFSET($H$3,0,0,'Données projet'!$E$13+1,1))</f>
        <v>318.50474972254085</v>
      </c>
      <c r="CZ158" s="59">
        <f t="shared" si="150"/>
        <v>326.45858332753562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21.160417490004441</v>
      </c>
      <c r="DG158" s="21">
        <f>EXP(-LN(2)/25)*DG157+(1-EXP(-LN(2)/25))/(LN(2)/25)*Calculateur!DB158*Calculateur!DD158*VLOOKUP('Données projet'!$B$13,Paramètres!$A$1:$I$89,3,0)*0.475*44/12</f>
        <v>3.4777214419088582</v>
      </c>
      <c r="DH158" s="21">
        <f>EXP(-LN(2)/2)*DH157+(1-EXP(-LN(2)/2))/(LN(2)/2)*DB158*DE158*VLOOKUP('Données projet'!$B$13,Paramètres!$A$1:$I$89,3,0)*0.475*44/12</f>
        <v>3.0126402940398619E-13</v>
      </c>
      <c r="DI158" s="22">
        <f t="shared" si="175"/>
        <v>24.638138931913602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3">
        <f>'Scénario référence'!$B$16*5+'Scénario référence'!$B$17*0+'Scénario référence'!$B$18*5</f>
        <v>5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67">
        <f t="shared" si="110"/>
        <v>183.33333333333334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5.6843418860808015E-14</v>
      </c>
      <c r="O159" s="13">
        <f>N159*VLOOKUP('Données projet'!$B$9,Paramètres!$A$1:$I$89,3,0)*VLOOKUP('Données projet'!$B$9,Paramètres!$A$1:$I$89,5,0)</f>
        <v>5.1431925385259088E-14</v>
      </c>
      <c r="P159" s="13">
        <f t="shared" si="141"/>
        <v>8.3482866290946129E-13</v>
      </c>
      <c r="Q159" s="20">
        <f t="shared" si="162"/>
        <v>1.5435705246133045E-12</v>
      </c>
      <c r="R159" s="59">
        <f t="shared" si="109"/>
        <v>287.35489844708985</v>
      </c>
      <c r="S159" s="59">
        <f ca="1">AVERAGE(OFFSET($R$3,0,0,'Données projet'!$E$9+1,1))-AVERAGE(OFFSET($H$3,0,0,'Données projet'!$E$9+1,1))</f>
        <v>214.60547318405733</v>
      </c>
      <c r="T159" s="59">
        <f t="shared" si="142"/>
        <v>306.35874106546646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1.7325560838568856</v>
      </c>
      <c r="AA159" s="21">
        <f>EXP(-LN(2)/25)*AA158+(1-EXP(-LN(2)/25))/(LN(2)/25)*Calculateur!V159*Calculateur!X159*VLOOKUP('Données projet'!$B$9,Paramètres!$A$1:$I$89,3,0)*0.475*44/12</f>
        <v>0.60891938273642909</v>
      </c>
      <c r="AB159" s="21">
        <f>EXP(-LN(2)/2)*AB158+(1-EXP(-LN(2)/2))/(LN(2)/2)*V159*Y159*VLOOKUP('Données projet'!$B$9,Paramètres!$A$1:$I$89,3,0)*0.475*44/12</f>
        <v>2.7065625490528165E-16</v>
      </c>
      <c r="AC159" s="22">
        <f t="shared" si="163"/>
        <v>2.3414754665933151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9.4880000000000049</v>
      </c>
      <c r="AI159" s="13">
        <f>IF('Données projet'!$A$62&gt;35,AI158+AH159-AQ158,IF(A159&lt;'Données projet'!$A$62,$AF$205^A159,IF(A159='Données projet'!$A$62,'Données projet'!$B$62,AI158+AH159-AQ158)))</f>
        <v>504.41600000000096</v>
      </c>
      <c r="AJ159" s="13">
        <f>AI159*VLOOKUP('Données projet'!$B$10,Paramètres!$A$1:$I$89,3,0)*VLOOKUP('Données projet'!$B$10,Paramètres!$A$1:$I$89,5,0)</f>
        <v>511.47782400000102</v>
      </c>
      <c r="AK159" s="13">
        <f t="shared" si="164"/>
        <v>114.04373524085221</v>
      </c>
      <c r="AL159" s="20">
        <f t="shared" si="165"/>
        <v>1089.4500490111525</v>
      </c>
      <c r="AM159" s="59">
        <f t="shared" si="113"/>
        <v>1376.8049474582408</v>
      </c>
      <c r="AN159" s="59">
        <f ca="1">AVERAGE(OFFSET($AM$3,0,0,'Données projet'!$E$10+1,1))-AVERAGE(OFFSET($H$3,0,0,'Données projet'!$E$10+1,1))</f>
        <v>752.45542076695506</v>
      </c>
      <c r="AO159" s="59">
        <f t="shared" si="144"/>
        <v>329.70629768420724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58.321215956309508</v>
      </c>
      <c r="AV159" s="21">
        <f>EXP(-LN(2)/25)*AV158+(1-EXP(-LN(2)/25))/(LN(2)/25)*Calculateur!AQ159*Calculateur!AS159*VLOOKUP('Données projet'!$B$10,Paramètres!$A$1:$I$89,3,0)*0.475*44/12</f>
        <v>24.274468919123727</v>
      </c>
      <c r="AW159" s="21">
        <f>EXP(-LN(2)/2)*AW158+(1-EXP(-LN(2)/2))/(LN(2)/2)*AQ159*AT159*VLOOKUP('Données projet'!$B$10,Paramètres!$A$1:$I$89,3,0)*0.475*44/12</f>
        <v>8.7314137936059599E-5</v>
      </c>
      <c r="AX159" s="21">
        <f t="shared" si="166"/>
        <v>82.595772189571179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9.4880000000000049</v>
      </c>
      <c r="BD159" s="12">
        <f>IF('Données projet'!$A$88&gt;35,BD158+BC159-BL158,IF(A159&lt;'Données projet'!$A$88,$BA$205^A159,IF(A159='Données projet'!$A$88,'Données projet'!$B$88,BD158+BC159-BL158)))</f>
        <v>504.41600000000096</v>
      </c>
      <c r="BE159" s="13">
        <f>BD159*VLOOKUP('Données projet'!$B$11,Paramètres!$A$1:$I$89,3,0)*VLOOKUP('Données projet'!$B$11,Paramètres!$A$1:$I$89,5,0)</f>
        <v>456.39559680000082</v>
      </c>
      <c r="BF159" s="13">
        <f t="shared" si="167"/>
        <v>103.12077454694855</v>
      </c>
      <c r="BG159" s="20">
        <f t="shared" si="168"/>
        <v>974.49101342927031</v>
      </c>
      <c r="BH159" s="59">
        <f t="shared" si="116"/>
        <v>1261.8459118763585</v>
      </c>
      <c r="BI159" s="59">
        <f ca="1">AVERAGE(OFFSET($BH$3,0,0,'Données projet'!$E$11+1,1))-AVERAGE(OFFSET($H$3,0,0,'Données projet'!$E$11+1,1))</f>
        <v>681.47578137804555</v>
      </c>
      <c r="BJ159" s="59">
        <f t="shared" si="146"/>
        <v>300.88511065995885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52.040469622553083</v>
      </c>
      <c r="BQ159" s="21">
        <f>EXP(-LN(2)/25)*BQ158+(1-EXP(-LN(2)/25))/(LN(2)/25)*Calculateur!BL159*Calculateur!BN159*VLOOKUP('Données projet'!$B$11,Paramètres!$A$1:$I$89,3,0)*0.475*44/12</f>
        <v>21.660295343218088</v>
      </c>
      <c r="BR159" s="21">
        <f>EXP(-LN(2)/2)*BR158+(1-EXP(-LN(2)/2))/(LN(2)/2)*BL159*BO159*VLOOKUP('Données projet'!$B$11,Paramètres!$A$1:$I$89,3,0)*0.475*44/12</f>
        <v>7.7911076927560926E-5</v>
      </c>
      <c r="BS159" s="22">
        <f t="shared" si="169"/>
        <v>73.7008428768481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2.2737367544323206E-13</v>
      </c>
      <c r="BZ159" s="13">
        <f>BY159*VLOOKUP('Données projet'!$B$12,Paramètres!$A$1:$I$89,3,0)*VLOOKUP('Données projet'!$B$12,Paramètres!$A$1:$I$89,5,0)</f>
        <v>1.5252226148732008E-13</v>
      </c>
      <c r="CA159" s="13">
        <f t="shared" si="170"/>
        <v>2.1814502464536512E-12</v>
      </c>
      <c r="CB159" s="20">
        <f t="shared" si="171"/>
        <v>4.0650021179971913E-12</v>
      </c>
      <c r="CC159" s="59">
        <f t="shared" si="119"/>
        <v>287.35489844709241</v>
      </c>
      <c r="CD159" s="59">
        <f ca="1">AVERAGE(OFFSET($CC$3,0,0,'Données projet'!$E$12+1,1))-AVERAGE(OFFSET($H$3,0,0,'Données projet'!$E$12+1,1))</f>
        <v>335.73816489539837</v>
      </c>
      <c r="CE159" s="59">
        <f t="shared" si="148"/>
        <v>254.09787950201044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15.063405579634759</v>
      </c>
      <c r="CL159" s="21">
        <f>EXP(-LN(2)/25)*CL158+(1-EXP(-LN(2)/25))/(LN(2)/25)*Calculateur!CG159*Calculateur!CI159*VLOOKUP('Données projet'!$B$12,Paramètres!$A$1:$I$89,3,0)*0.475*44/12</f>
        <v>10.590077818200934</v>
      </c>
      <c r="CM159" s="21">
        <f>EXP(-LN(2)/2)*CM158+(1-EXP(-LN(2)/2))/(LN(2)/2)*CG159*CJ159*VLOOKUP('Données projet'!$B$12,Paramètres!$A$1:$I$89,3,0)*0.475*44/12</f>
        <v>5.8359665368210928E-6</v>
      </c>
      <c r="CN159" s="22">
        <f t="shared" si="172"/>
        <v>25.65348923380223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1.1368683772161603E-13</v>
      </c>
      <c r="CU159" s="17">
        <f>CT159*VLOOKUP('Données projet'!$B$13,Paramètres!$A$1:$I$89,3,0)*VLOOKUP('Données projet'!$B$13,Paramètres!$A$1:$I$89,5,0)</f>
        <v>6.7984728957526396E-14</v>
      </c>
      <c r="CV159" s="13">
        <f t="shared" si="173"/>
        <v>1.0682447123141398E-12</v>
      </c>
      <c r="CW159" s="20">
        <f t="shared" si="174"/>
        <v>1.978932943548152E-12</v>
      </c>
      <c r="CX159" s="59">
        <f t="shared" si="122"/>
        <v>287.35489844709031</v>
      </c>
      <c r="CY159" s="59">
        <f ca="1">AVERAGE(OFFSET($CX$3,0,0,'Données projet'!$E$13+1,1))-AVERAGE(OFFSET($H$3,0,0,'Données projet'!$E$13+1,1))</f>
        <v>318.50474972254085</v>
      </c>
      <c r="CZ159" s="59">
        <f t="shared" si="150"/>
        <v>326.45858332753562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20.745474609605704</v>
      </c>
      <c r="DG159" s="21">
        <f>EXP(-LN(2)/25)*DG158+(1-EXP(-LN(2)/25))/(LN(2)/25)*Calculateur!DB159*Calculateur!DD159*VLOOKUP('Données projet'!$B$13,Paramètres!$A$1:$I$89,3,0)*0.475*44/12</f>
        <v>3.3826229661944383</v>
      </c>
      <c r="DH159" s="21">
        <f>EXP(-LN(2)/2)*DH158+(1-EXP(-LN(2)/2))/(LN(2)/2)*DB159*DE159*VLOOKUP('Données projet'!$B$13,Paramètres!$A$1:$I$89,3,0)*0.475*44/12</f>
        <v>2.1302583811914209E-13</v>
      </c>
      <c r="DI159" s="22">
        <f t="shared" si="175"/>
        <v>24.128097575800357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3">
        <f>'Scénario référence'!$B$16*5+'Scénario référence'!$B$17*0+'Scénario référence'!$B$18*5</f>
        <v>5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67">
        <f t="shared" si="110"/>
        <v>183.33333333333334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5.6843418860808015E-14</v>
      </c>
      <c r="O160" s="13">
        <f>N160*VLOOKUP('Données projet'!$B$9,Paramètres!$A$1:$I$89,3,0)*VLOOKUP('Données projet'!$B$9,Paramètres!$A$1:$I$89,5,0)</f>
        <v>5.1431925385259088E-14</v>
      </c>
      <c r="P160" s="13">
        <f t="shared" si="141"/>
        <v>8.3482866290946129E-13</v>
      </c>
      <c r="Q160" s="20">
        <f t="shared" si="162"/>
        <v>1.5435705246133045E-12</v>
      </c>
      <c r="R160" s="59">
        <f t="shared" si="109"/>
        <v>287.45861092658811</v>
      </c>
      <c r="S160" s="59">
        <f ca="1">AVERAGE(OFFSET($R$3,0,0,'Données projet'!$E$9+1,1))-AVERAGE(OFFSET($H$3,0,0,'Données projet'!$E$9+1,1))</f>
        <v>214.60547318405733</v>
      </c>
      <c r="T160" s="59">
        <f t="shared" si="142"/>
        <v>306.35874106546646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1.6985817158073173</v>
      </c>
      <c r="AA160" s="21">
        <f>EXP(-LN(2)/25)*AA159+(1-EXP(-LN(2)/25))/(LN(2)/25)*Calculateur!V160*Calculateur!X160*VLOOKUP('Données projet'!$B$9,Paramètres!$A$1:$I$89,3,0)*0.475*44/12</f>
        <v>0.59226845019382279</v>
      </c>
      <c r="AB160" s="21">
        <f>EXP(-LN(2)/2)*AB159+(1-EXP(-LN(2)/2))/(LN(2)/2)*V160*Y160*VLOOKUP('Données projet'!$B$9,Paramètres!$A$1:$I$89,3,0)*0.475*44/12</f>
        <v>1.9138287321407942E-16</v>
      </c>
      <c r="AC160" s="22">
        <f t="shared" si="163"/>
        <v>2.2908501660011402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9.4880000000000049</v>
      </c>
      <c r="AI160" s="13">
        <f>IF('Données projet'!$A$62&gt;35,AI159+AH160-AQ159,IF(A160&lt;'Données projet'!$A$62,$AF$205^A160,IF(A160='Données projet'!$A$62,'Données projet'!$B$62,AI159+AH160-AQ159)))</f>
        <v>513.90400000000102</v>
      </c>
      <c r="AJ160" s="13">
        <f>AI160*VLOOKUP('Données projet'!$B$10,Paramètres!$A$1:$I$89,3,0)*VLOOKUP('Données projet'!$B$10,Paramètres!$A$1:$I$89,5,0)</f>
        <v>521.09865600000103</v>
      </c>
      <c r="AK160" s="13">
        <f t="shared" si="164"/>
        <v>115.93712735408282</v>
      </c>
      <c r="AL160" s="20">
        <f t="shared" si="165"/>
        <v>1109.5039893416961</v>
      </c>
      <c r="AM160" s="59">
        <f t="shared" si="113"/>
        <v>1396.9626002682826</v>
      </c>
      <c r="AN160" s="59">
        <f ca="1">AVERAGE(OFFSET($AM$3,0,0,'Données projet'!$E$10+1,1))-AVERAGE(OFFSET($H$3,0,0,'Données projet'!$E$10+1,1))</f>
        <v>752.45542076695506</v>
      </c>
      <c r="AO160" s="59">
        <f t="shared" si="144"/>
        <v>329.70629768420724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57.177572483835526</v>
      </c>
      <c r="AV160" s="21">
        <f>EXP(-LN(2)/25)*AV159+(1-EXP(-LN(2)/25))/(LN(2)/25)*Calculateur!AQ160*Calculateur!AS160*VLOOKUP('Données projet'!$B$10,Paramètres!$A$1:$I$89,3,0)*0.475*44/12</f>
        <v>23.610682289991448</v>
      </c>
      <c r="AW160" s="21">
        <f>EXP(-LN(2)/2)*AW159+(1-EXP(-LN(2)/2))/(LN(2)/2)*AQ160*AT160*VLOOKUP('Données projet'!$B$10,Paramètres!$A$1:$I$89,3,0)*0.475*44/12</f>
        <v>6.1740419028045323E-5</v>
      </c>
      <c r="AX160" s="21">
        <f t="shared" si="166"/>
        <v>80.788316514246006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9.4880000000000049</v>
      </c>
      <c r="BD160" s="12">
        <f>IF('Données projet'!$A$88&gt;35,BD159+BC160-BL159,IF(A160&lt;'Données projet'!$A$88,$BA$205^A160,IF(A160='Données projet'!$A$88,'Données projet'!$B$88,BD159+BC160-BL159)))</f>
        <v>513.90400000000102</v>
      </c>
      <c r="BE160" s="13">
        <f>BD160*VLOOKUP('Données projet'!$B$11,Paramètres!$A$1:$I$89,3,0)*VLOOKUP('Données projet'!$B$11,Paramètres!$A$1:$I$89,5,0)</f>
        <v>464.98033920000091</v>
      </c>
      <c r="BF160" s="13">
        <f t="shared" si="167"/>
        <v>104.83282002515982</v>
      </c>
      <c r="BG160" s="20">
        <f t="shared" si="168"/>
        <v>992.4245856504881</v>
      </c>
      <c r="BH160" s="59">
        <f t="shared" si="116"/>
        <v>1279.8831965770746</v>
      </c>
      <c r="BI160" s="59">
        <f ca="1">AVERAGE(OFFSET($BH$3,0,0,'Données projet'!$E$11+1,1))-AVERAGE(OFFSET($H$3,0,0,'Données projet'!$E$11+1,1))</f>
        <v>681.47578137804555</v>
      </c>
      <c r="BJ160" s="59">
        <f t="shared" si="146"/>
        <v>300.88511065995885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51.019987754807069</v>
      </c>
      <c r="BQ160" s="21">
        <f>EXP(-LN(2)/25)*BQ159+(1-EXP(-LN(2)/25))/(LN(2)/25)*Calculateur!BL160*Calculateur!BN160*VLOOKUP('Données projet'!$B$11,Paramètres!$A$1:$I$89,3,0)*0.475*44/12</f>
        <v>21.067993427992363</v>
      </c>
      <c r="BR160" s="21">
        <f>EXP(-LN(2)/2)*BR159+(1-EXP(-LN(2)/2))/(LN(2)/2)*BL160*BO160*VLOOKUP('Données projet'!$B$11,Paramètres!$A$1:$I$89,3,0)*0.475*44/12</f>
        <v>5.5091450825025096E-5</v>
      </c>
      <c r="BS160" s="22">
        <f t="shared" si="169"/>
        <v>72.088036274250257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2.2737367544323206E-13</v>
      </c>
      <c r="BZ160" s="13">
        <f>BY160*VLOOKUP('Données projet'!$B$12,Paramètres!$A$1:$I$89,3,0)*VLOOKUP('Données projet'!$B$12,Paramètres!$A$1:$I$89,5,0)</f>
        <v>1.5252226148732008E-13</v>
      </c>
      <c r="CA160" s="13">
        <f t="shared" si="170"/>
        <v>2.1814502464536512E-12</v>
      </c>
      <c r="CB160" s="20">
        <f t="shared" si="171"/>
        <v>4.0650021179971913E-12</v>
      </c>
      <c r="CC160" s="59">
        <f t="shared" si="119"/>
        <v>287.45861092659067</v>
      </c>
      <c r="CD160" s="59">
        <f ca="1">AVERAGE(OFFSET($CC$3,0,0,'Données projet'!$E$12+1,1))-AVERAGE(OFFSET($H$3,0,0,'Données projet'!$E$12+1,1))</f>
        <v>335.73816489539837</v>
      </c>
      <c r="CE160" s="59">
        <f t="shared" si="148"/>
        <v>254.09787950201044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14.768021383988309</v>
      </c>
      <c r="CL160" s="21">
        <f>EXP(-LN(2)/25)*CL159+(1-EXP(-LN(2)/25))/(LN(2)/25)*Calculateur!CG160*Calculateur!CI160*VLOOKUP('Données projet'!$B$12,Paramètres!$A$1:$I$89,3,0)*0.475*44/12</f>
        <v>10.300491583354241</v>
      </c>
      <c r="CM160" s="21">
        <f>EXP(-LN(2)/2)*CM159+(1-EXP(-LN(2)/2))/(LN(2)/2)*CG160*CJ160*VLOOKUP('Données projet'!$B$12,Paramètres!$A$1:$I$89,3,0)*0.475*44/12</f>
        <v>4.1266515129639659E-6</v>
      </c>
      <c r="CN160" s="22">
        <f t="shared" si="172"/>
        <v>25.068517093994064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1.1368683772161603E-13</v>
      </c>
      <c r="CU160" s="17">
        <f>CT160*VLOOKUP('Données projet'!$B$13,Paramètres!$A$1:$I$89,3,0)*VLOOKUP('Données projet'!$B$13,Paramètres!$A$1:$I$89,5,0)</f>
        <v>6.7984728957526396E-14</v>
      </c>
      <c r="CV160" s="13">
        <f t="shared" si="173"/>
        <v>1.0682447123141398E-12</v>
      </c>
      <c r="CW160" s="20">
        <f t="shared" si="174"/>
        <v>1.978932943548152E-12</v>
      </c>
      <c r="CX160" s="59">
        <f t="shared" si="122"/>
        <v>287.45861092658856</v>
      </c>
      <c r="CY160" s="59">
        <f ca="1">AVERAGE(OFFSET($CX$3,0,0,'Données projet'!$E$13+1,1))-AVERAGE(OFFSET($H$3,0,0,'Données projet'!$E$13+1,1))</f>
        <v>318.50474972254085</v>
      </c>
      <c r="CZ160" s="59">
        <f t="shared" si="150"/>
        <v>326.45858332753562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20.338668506001419</v>
      </c>
      <c r="DG160" s="21">
        <f>EXP(-LN(2)/25)*DG159+(1-EXP(-LN(2)/25))/(LN(2)/25)*Calculateur!DB160*Calculateur!DD160*VLOOKUP('Données projet'!$B$13,Paramètres!$A$1:$I$89,3,0)*0.475*44/12</f>
        <v>3.2901249632994407</v>
      </c>
      <c r="DH160" s="21">
        <f>EXP(-LN(2)/2)*DH159+(1-EXP(-LN(2)/2))/(LN(2)/2)*DB160*DE160*VLOOKUP('Données projet'!$B$13,Paramètres!$A$1:$I$89,3,0)*0.475*44/12</f>
        <v>1.506320147019931E-13</v>
      </c>
      <c r="DI160" s="22">
        <f t="shared" si="175"/>
        <v>23.628793469301009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3">
        <f>'Scénario référence'!$B$16*5+'Scénario référence'!$B$17*0+'Scénario référence'!$B$18*5</f>
        <v>5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67">
        <f t="shared" si="110"/>
        <v>183.33333333333334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5.6843418860808015E-14</v>
      </c>
      <c r="O161" s="13">
        <f>N161*VLOOKUP('Données projet'!$B$9,Paramètres!$A$1:$I$89,3,0)*VLOOKUP('Données projet'!$B$9,Paramètres!$A$1:$I$89,5,0)</f>
        <v>5.1431925385259088E-14</v>
      </c>
      <c r="P161" s="13">
        <f t="shared" si="141"/>
        <v>8.3482866290946129E-13</v>
      </c>
      <c r="Q161" s="20">
        <f t="shared" si="162"/>
        <v>1.5435705246133045E-12</v>
      </c>
      <c r="R161" s="59">
        <f t="shared" si="109"/>
        <v>287.56052422643353</v>
      </c>
      <c r="S161" s="59">
        <f ca="1">AVERAGE(OFFSET($R$3,0,0,'Données projet'!$E$9+1,1))-AVERAGE(OFFSET($H$3,0,0,'Données projet'!$E$9+1,1))</f>
        <v>214.60547318405733</v>
      </c>
      <c r="T161" s="59">
        <f t="shared" si="142"/>
        <v>306.35874106546646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1.6652735643928827</v>
      </c>
      <c r="AA161" s="21">
        <f>EXP(-LN(2)/25)*AA160+(1-EXP(-LN(2)/25))/(LN(2)/25)*Calculateur!V161*Calculateur!X161*VLOOKUP('Données projet'!$B$9,Paramètres!$A$1:$I$89,3,0)*0.475*44/12</f>
        <v>0.57607283827722855</v>
      </c>
      <c r="AB161" s="21">
        <f>EXP(-LN(2)/2)*AB160+(1-EXP(-LN(2)/2))/(LN(2)/2)*V161*Y161*VLOOKUP('Données projet'!$B$9,Paramètres!$A$1:$I$89,3,0)*0.475*44/12</f>
        <v>1.3532812745264082E-16</v>
      </c>
      <c r="AC161" s="22">
        <f t="shared" si="163"/>
        <v>2.2413464026701111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9.4880000000000049</v>
      </c>
      <c r="AI161" s="13">
        <f>IF('Données projet'!$A$62&gt;35,AI160+AH161-AQ160,IF(A161&lt;'Données projet'!$A$62,$AF$205^A161,IF(A161='Données projet'!$A$62,'Données projet'!$B$62,AI160+AH161-AQ160)))</f>
        <v>523.39200000000108</v>
      </c>
      <c r="AJ161" s="13">
        <f>AI161*VLOOKUP('Données projet'!$B$10,Paramètres!$A$1:$I$89,3,0)*VLOOKUP('Données projet'!$B$10,Paramètres!$A$1:$I$89,5,0)</f>
        <v>530.71948800000109</v>
      </c>
      <c r="AK161" s="13">
        <f t="shared" si="164"/>
        <v>117.82645460602643</v>
      </c>
      <c r="AL161" s="20">
        <f t="shared" si="165"/>
        <v>1129.5508500388312</v>
      </c>
      <c r="AM161" s="59">
        <f t="shared" si="113"/>
        <v>1417.1113742652633</v>
      </c>
      <c r="AN161" s="59">
        <f ca="1">AVERAGE(OFFSET($AM$3,0,0,'Données projet'!$E$10+1,1))-AVERAGE(OFFSET($H$3,0,0,'Données projet'!$E$10+1,1))</f>
        <v>752.45542076695506</v>
      </c>
      <c r="AO161" s="59">
        <f t="shared" si="144"/>
        <v>329.70629768420724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56.05635516230312</v>
      </c>
      <c r="AV161" s="21">
        <f>EXP(-LN(2)/25)*AV160+(1-EXP(-LN(2)/25))/(LN(2)/25)*Calculateur!AQ161*Calculateur!AS161*VLOOKUP('Données projet'!$B$10,Paramètres!$A$1:$I$89,3,0)*0.475*44/12</f>
        <v>22.965046941139814</v>
      </c>
      <c r="AW161" s="21">
        <f>EXP(-LN(2)/2)*AW160+(1-EXP(-LN(2)/2))/(LN(2)/2)*AQ161*AT161*VLOOKUP('Données projet'!$B$10,Paramètres!$A$1:$I$89,3,0)*0.475*44/12</f>
        <v>4.36570689680298E-5</v>
      </c>
      <c r="AX161" s="21">
        <f t="shared" si="166"/>
        <v>79.021445760511909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9.4880000000000049</v>
      </c>
      <c r="BD161" s="12">
        <f>IF('Données projet'!$A$88&gt;35,BD160+BC161-BL160,IF(A161&lt;'Données projet'!$A$88,$BA$205^A161,IF(A161='Données projet'!$A$88,'Données projet'!$B$88,BD160+BC161-BL160)))</f>
        <v>523.39200000000108</v>
      </c>
      <c r="BE161" s="13">
        <f>BD161*VLOOKUP('Données projet'!$B$11,Paramètres!$A$1:$I$89,3,0)*VLOOKUP('Données projet'!$B$11,Paramètres!$A$1:$I$89,5,0)</f>
        <v>473.56508160000089</v>
      </c>
      <c r="BF161" s="13">
        <f t="shared" si="167"/>
        <v>106.54118996921356</v>
      </c>
      <c r="BG161" s="20">
        <f t="shared" si="168"/>
        <v>1010.3517563163817</v>
      </c>
      <c r="BH161" s="59">
        <f t="shared" si="116"/>
        <v>1297.9122805428137</v>
      </c>
      <c r="BI161" s="59">
        <f ca="1">AVERAGE(OFFSET($BH$3,0,0,'Données projet'!$E$11+1,1))-AVERAGE(OFFSET($H$3,0,0,'Données projet'!$E$11+1,1))</f>
        <v>681.47578137804555</v>
      </c>
      <c r="BJ161" s="59">
        <f t="shared" si="146"/>
        <v>300.88511065995885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50.019516914055075</v>
      </c>
      <c r="BQ161" s="21">
        <f>EXP(-LN(2)/25)*BQ160+(1-EXP(-LN(2)/25))/(LN(2)/25)*Calculateur!BL161*Calculateur!BN161*VLOOKUP('Données projet'!$B$11,Paramètres!$A$1:$I$89,3,0)*0.475*44/12</f>
        <v>20.491888039786289</v>
      </c>
      <c r="BR161" s="21">
        <f>EXP(-LN(2)/2)*BR160+(1-EXP(-LN(2)/2))/(LN(2)/2)*BL161*BO161*VLOOKUP('Données projet'!$B$11,Paramètres!$A$1:$I$89,3,0)*0.475*44/12</f>
        <v>3.8955538463780463E-5</v>
      </c>
      <c r="BS161" s="22">
        <f t="shared" si="169"/>
        <v>70.511443909379821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2.2737367544323206E-13</v>
      </c>
      <c r="BZ161" s="13">
        <f>BY161*VLOOKUP('Données projet'!$B$12,Paramètres!$A$1:$I$89,3,0)*VLOOKUP('Données projet'!$B$12,Paramètres!$A$1:$I$89,5,0)</f>
        <v>1.5252226148732008E-13</v>
      </c>
      <c r="CA161" s="13">
        <f t="shared" si="170"/>
        <v>2.1814502464536512E-12</v>
      </c>
      <c r="CB161" s="20">
        <f t="shared" si="171"/>
        <v>4.0650021179971913E-12</v>
      </c>
      <c r="CC161" s="59">
        <f t="shared" si="119"/>
        <v>287.56052422643609</v>
      </c>
      <c r="CD161" s="59">
        <f ca="1">AVERAGE(OFFSET($CC$3,0,0,'Données projet'!$E$12+1,1))-AVERAGE(OFFSET($H$3,0,0,'Données projet'!$E$12+1,1))</f>
        <v>335.73816489539837</v>
      </c>
      <c r="CE161" s="59">
        <f t="shared" si="148"/>
        <v>254.09787950201044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14.478429492251916</v>
      </c>
      <c r="CL161" s="21">
        <f>EXP(-LN(2)/25)*CL160+(1-EXP(-LN(2)/25))/(LN(2)/25)*Calculateur!CG161*Calculateur!CI161*VLOOKUP('Données projet'!$B$12,Paramètres!$A$1:$I$89,3,0)*0.475*44/12</f>
        <v>10.018824099328109</v>
      </c>
      <c r="CM161" s="21">
        <f>EXP(-LN(2)/2)*CM160+(1-EXP(-LN(2)/2))/(LN(2)/2)*CG161*CJ161*VLOOKUP('Données projet'!$B$12,Paramètres!$A$1:$I$89,3,0)*0.475*44/12</f>
        <v>2.9179832684105464E-6</v>
      </c>
      <c r="CN161" s="22">
        <f t="shared" si="172"/>
        <v>24.497256509563297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1.1368683772161603E-13</v>
      </c>
      <c r="CU161" s="17">
        <f>CT161*VLOOKUP('Données projet'!$B$13,Paramètres!$A$1:$I$89,3,0)*VLOOKUP('Données projet'!$B$13,Paramètres!$A$1:$I$89,5,0)</f>
        <v>6.7984728957526396E-14</v>
      </c>
      <c r="CV161" s="13">
        <f t="shared" si="173"/>
        <v>1.0682447123141398E-12</v>
      </c>
      <c r="CW161" s="20">
        <f t="shared" si="174"/>
        <v>1.978932943548152E-12</v>
      </c>
      <c r="CX161" s="59">
        <f t="shared" si="122"/>
        <v>287.56052422643398</v>
      </c>
      <c r="CY161" s="59">
        <f ca="1">AVERAGE(OFFSET($CX$3,0,0,'Données projet'!$E$13+1,1))-AVERAGE(OFFSET($H$3,0,0,'Données projet'!$E$13+1,1))</f>
        <v>318.50474972254085</v>
      </c>
      <c r="CZ161" s="59">
        <f t="shared" si="150"/>
        <v>326.45858332753562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19.939839621961593</v>
      </c>
      <c r="DG161" s="21">
        <f>EXP(-LN(2)/25)*DG160+(1-EXP(-LN(2)/25))/(LN(2)/25)*Calculateur!DB161*Calculateur!DD161*VLOOKUP('Données projet'!$B$13,Paramètres!$A$1:$I$89,3,0)*0.475*44/12</f>
        <v>3.2001563231578656</v>
      </c>
      <c r="DH161" s="21">
        <f>EXP(-LN(2)/2)*DH160+(1-EXP(-LN(2)/2))/(LN(2)/2)*DB161*DE161*VLOOKUP('Données projet'!$B$13,Paramètres!$A$1:$I$89,3,0)*0.475*44/12</f>
        <v>1.0651291905957104E-13</v>
      </c>
      <c r="DI161" s="22">
        <f t="shared" si="175"/>
        <v>23.139995945119566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3">
        <f>'Scénario référence'!$B$16*5+'Scénario référence'!$B$17*0+'Scénario référence'!$B$18*5</f>
        <v>5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67">
        <f t="shared" si="110"/>
        <v>183.33333333333334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5.6843418860808015E-14</v>
      </c>
      <c r="O162" s="13">
        <f>N162*VLOOKUP('Données projet'!$B$9,Paramètres!$A$1:$I$89,3,0)*VLOOKUP('Données projet'!$B$9,Paramètres!$A$1:$I$89,5,0)</f>
        <v>5.1431925385259088E-14</v>
      </c>
      <c r="P162" s="13">
        <f t="shared" si="141"/>
        <v>8.3482866290946129E-13</v>
      </c>
      <c r="Q162" s="20">
        <f t="shared" si="162"/>
        <v>1.5435705246133045E-12</v>
      </c>
      <c r="R162" s="59">
        <f t="shared" si="109"/>
        <v>287.6606695583705</v>
      </c>
      <c r="S162" s="59">
        <f ca="1">AVERAGE(OFFSET($R$3,0,0,'Données projet'!$E$9+1,1))-AVERAGE(OFFSET($H$3,0,0,'Données projet'!$E$9+1,1))</f>
        <v>214.60547318405733</v>
      </c>
      <c r="T162" s="59">
        <f t="shared" si="142"/>
        <v>306.35874106546646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1.6326185655117189</v>
      </c>
      <c r="AA162" s="21">
        <f>EXP(-LN(2)/25)*AA161+(1-EXP(-LN(2)/25))/(LN(2)/25)*Calculateur!V162*Calculateur!X162*VLOOKUP('Données projet'!$B$9,Paramètres!$A$1:$I$89,3,0)*0.475*44/12</f>
        <v>0.56032009622018375</v>
      </c>
      <c r="AB162" s="21">
        <f>EXP(-LN(2)/2)*AB161+(1-EXP(-LN(2)/2))/(LN(2)/2)*V162*Y162*VLOOKUP('Données projet'!$B$9,Paramètres!$A$1:$I$89,3,0)*0.475*44/12</f>
        <v>9.5691436607039711E-17</v>
      </c>
      <c r="AC162" s="22">
        <f t="shared" si="163"/>
        <v>2.1929386617319029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9.4880000000000049</v>
      </c>
      <c r="AI162" s="13">
        <f>IF('Données projet'!$A$62&gt;35,AI161+AH162-AQ161,IF(A162&lt;'Données projet'!$A$62,$AF$205^A162,IF(A162='Données projet'!$A$62,'Données projet'!$B$62,AI161+AH162-AQ161)))</f>
        <v>532.88000000000113</v>
      </c>
      <c r="AJ162" s="13">
        <f>AI162*VLOOKUP('Données projet'!$B$10,Paramètres!$A$1:$I$89,3,0)*VLOOKUP('Données projet'!$B$10,Paramètres!$A$1:$I$89,5,0)</f>
        <v>540.34032000000116</v>
      </c>
      <c r="AK162" s="13">
        <f t="shared" si="164"/>
        <v>119.71179918365929</v>
      </c>
      <c r="AL162" s="20">
        <f t="shared" si="165"/>
        <v>1149.5907742448753</v>
      </c>
      <c r="AM162" s="59">
        <f t="shared" si="113"/>
        <v>1437.2514438032442</v>
      </c>
      <c r="AN162" s="59">
        <f ca="1">AVERAGE(OFFSET($AM$3,0,0,'Données projet'!$E$10+1,1))-AVERAGE(OFFSET($H$3,0,0,'Données projet'!$E$10+1,1))</f>
        <v>752.45542076695506</v>
      </c>
      <c r="AO162" s="59">
        <f t="shared" si="144"/>
        <v>329.70629768420724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54.957124228570926</v>
      </c>
      <c r="AV162" s="21">
        <f>EXP(-LN(2)/25)*AV161+(1-EXP(-LN(2)/25))/(LN(2)/25)*Calculateur!AQ162*Calculateur!AS162*VLOOKUP('Données projet'!$B$10,Paramètres!$A$1:$I$89,3,0)*0.475*44/12</f>
        <v>22.337066524855015</v>
      </c>
      <c r="AW162" s="21">
        <f>EXP(-LN(2)/2)*AW161+(1-EXP(-LN(2)/2))/(LN(2)/2)*AQ162*AT162*VLOOKUP('Données projet'!$B$10,Paramètres!$A$1:$I$89,3,0)*0.475*44/12</f>
        <v>3.0870209514022662E-5</v>
      </c>
      <c r="AX162" s="21">
        <f t="shared" si="166"/>
        <v>77.294221623635451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9.4880000000000049</v>
      </c>
      <c r="BD162" s="12">
        <f>IF('Données projet'!$A$88&gt;35,BD161+BC162-BL161,IF(A162&lt;'Données projet'!$A$88,$BA$205^A162,IF(A162='Données projet'!$A$88,'Données projet'!$B$88,BD161+BC162-BL161)))</f>
        <v>532.88000000000113</v>
      </c>
      <c r="BE162" s="13">
        <f>BD162*VLOOKUP('Données projet'!$B$11,Paramètres!$A$1:$I$89,3,0)*VLOOKUP('Données projet'!$B$11,Paramètres!$A$1:$I$89,5,0)</f>
        <v>482.14982400000099</v>
      </c>
      <c r="BF162" s="13">
        <f t="shared" si="167"/>
        <v>108.24595869432409</v>
      </c>
      <c r="BG162" s="20">
        <f t="shared" si="168"/>
        <v>1028.272654859283</v>
      </c>
      <c r="BH162" s="59">
        <f t="shared" si="116"/>
        <v>1315.9333244176519</v>
      </c>
      <c r="BI162" s="59">
        <f ca="1">AVERAGE(OFFSET($BH$3,0,0,'Données projet'!$E$11+1,1))-AVERAGE(OFFSET($H$3,0,0,'Données projet'!$E$11+1,1))</f>
        <v>681.47578137804555</v>
      </c>
      <c r="BJ162" s="59">
        <f t="shared" si="146"/>
        <v>300.88511065995885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49.038664696263268</v>
      </c>
      <c r="BQ162" s="21">
        <f>EXP(-LN(2)/25)*BQ161+(1-EXP(-LN(2)/25))/(LN(2)/25)*Calculateur!BL162*Calculateur!BN162*VLOOKUP('Données projet'!$B$11,Paramètres!$A$1:$I$89,3,0)*0.475*44/12</f>
        <v>19.931536283716778</v>
      </c>
      <c r="BR162" s="21">
        <f>EXP(-LN(2)/2)*BR161+(1-EXP(-LN(2)/2))/(LN(2)/2)*BL162*BO162*VLOOKUP('Données projet'!$B$11,Paramètres!$A$1:$I$89,3,0)*0.475*44/12</f>
        <v>2.7545725412512548E-5</v>
      </c>
      <c r="BS162" s="22">
        <f t="shared" si="169"/>
        <v>68.970228525705465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2.2737367544323206E-13</v>
      </c>
      <c r="BZ162" s="13">
        <f>BY162*VLOOKUP('Données projet'!$B$12,Paramètres!$A$1:$I$89,3,0)*VLOOKUP('Données projet'!$B$12,Paramètres!$A$1:$I$89,5,0)</f>
        <v>1.5252226148732008E-13</v>
      </c>
      <c r="CA162" s="13">
        <f t="shared" si="170"/>
        <v>2.1814502464536512E-12</v>
      </c>
      <c r="CB162" s="20">
        <f t="shared" si="171"/>
        <v>4.0650021179971913E-12</v>
      </c>
      <c r="CC162" s="59">
        <f t="shared" si="119"/>
        <v>287.66066955837306</v>
      </c>
      <c r="CD162" s="59">
        <f ca="1">AVERAGE(OFFSET($CC$3,0,0,'Données projet'!$E$12+1,1))-AVERAGE(OFFSET($H$3,0,0,'Données projet'!$E$12+1,1))</f>
        <v>335.73816489539837</v>
      </c>
      <c r="CE162" s="59">
        <f t="shared" si="148"/>
        <v>254.09787950201044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14.19451632087886</v>
      </c>
      <c r="CL162" s="21">
        <f>EXP(-LN(2)/25)*CL161+(1-EXP(-LN(2)/25))/(LN(2)/25)*Calculateur!CG162*Calculateur!CI162*VLOOKUP('Données projet'!$B$12,Paramètres!$A$1:$I$89,3,0)*0.475*44/12</f>
        <v>9.7448588274649204</v>
      </c>
      <c r="CM162" s="21">
        <f>EXP(-LN(2)/2)*CM161+(1-EXP(-LN(2)/2))/(LN(2)/2)*CG162*CJ162*VLOOKUP('Données projet'!$B$12,Paramètres!$A$1:$I$89,3,0)*0.475*44/12</f>
        <v>2.063325756481983E-6</v>
      </c>
      <c r="CN162" s="22">
        <f t="shared" si="172"/>
        <v>23.939377211669534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1.1368683772161603E-13</v>
      </c>
      <c r="CU162" s="17">
        <f>CT162*VLOOKUP('Données projet'!$B$13,Paramètres!$A$1:$I$89,3,0)*VLOOKUP('Données projet'!$B$13,Paramètres!$A$1:$I$89,5,0)</f>
        <v>6.7984728957526396E-14</v>
      </c>
      <c r="CV162" s="13">
        <f t="shared" si="173"/>
        <v>1.0682447123141398E-12</v>
      </c>
      <c r="CW162" s="20">
        <f t="shared" si="174"/>
        <v>1.978932943548152E-12</v>
      </c>
      <c r="CX162" s="59">
        <f t="shared" si="122"/>
        <v>287.66066955837096</v>
      </c>
      <c r="CY162" s="59">
        <f ca="1">AVERAGE(OFFSET($CX$3,0,0,'Données projet'!$E$13+1,1))-AVERAGE(OFFSET($H$3,0,0,'Données projet'!$E$13+1,1))</f>
        <v>318.50474972254085</v>
      </c>
      <c r="CZ162" s="59">
        <f t="shared" si="150"/>
        <v>326.45858332753562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19.548831529076189</v>
      </c>
      <c r="DG162" s="21">
        <f>EXP(-LN(2)/25)*DG161+(1-EXP(-LN(2)/25))/(LN(2)/25)*Calculateur!DB162*Calculateur!DD162*VLOOKUP('Données projet'!$B$13,Paramètres!$A$1:$I$89,3,0)*0.475*44/12</f>
        <v>3.1126478802122066</v>
      </c>
      <c r="DH162" s="21">
        <f>EXP(-LN(2)/2)*DH161+(1-EXP(-LN(2)/2))/(LN(2)/2)*DB162*DE162*VLOOKUP('Données projet'!$B$13,Paramètres!$A$1:$I$89,3,0)*0.475*44/12</f>
        <v>7.5316007350996548E-14</v>
      </c>
      <c r="DI162" s="22">
        <f t="shared" si="175"/>
        <v>22.661479409288471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3">
        <f>'Scénario référence'!$B$16*5+'Scénario référence'!$B$17*0+'Scénario référence'!$B$18*5</f>
        <v>5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67">
        <f t="shared" si="110"/>
        <v>183.33333333333334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5.6843418860808015E-14</v>
      </c>
      <c r="O163" s="13">
        <f>N163*VLOOKUP('Données projet'!$B$9,Paramètres!$A$1:$I$89,3,0)*VLOOKUP('Données projet'!$B$9,Paramètres!$A$1:$I$89,5,0)</f>
        <v>5.1431925385259088E-14</v>
      </c>
      <c r="P163" s="13">
        <f t="shared" si="141"/>
        <v>8.3482866290946129E-13</v>
      </c>
      <c r="Q163" s="20">
        <f t="shared" si="162"/>
        <v>1.5435705246133045E-12</v>
      </c>
      <c r="R163" s="59">
        <f t="shared" si="109"/>
        <v>287.75907759268989</v>
      </c>
      <c r="S163" s="59">
        <f ca="1">AVERAGE(OFFSET($R$3,0,0,'Données projet'!$E$9+1,1))-AVERAGE(OFFSET($H$3,0,0,'Données projet'!$E$9+1,1))</f>
        <v>214.60547318405733</v>
      </c>
      <c r="T163" s="59">
        <f t="shared" si="142"/>
        <v>306.35874106546646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1.6006039112410322</v>
      </c>
      <c r="AA163" s="21">
        <f>EXP(-LN(2)/25)*AA162+(1-EXP(-LN(2)/25))/(LN(2)/25)*Calculateur!V163*Calculateur!X163*VLOOKUP('Données projet'!$B$9,Paramètres!$A$1:$I$89,3,0)*0.475*44/12</f>
        <v>0.54499811372308959</v>
      </c>
      <c r="AB163" s="21">
        <f>EXP(-LN(2)/2)*AB162+(1-EXP(-LN(2)/2))/(LN(2)/2)*V163*Y163*VLOOKUP('Données projet'!$B$9,Paramètres!$A$1:$I$89,3,0)*0.475*44/12</f>
        <v>6.7664063726320412E-17</v>
      </c>
      <c r="AC163" s="22">
        <f t="shared" si="163"/>
        <v>2.1456020249641217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9.4880000000000049</v>
      </c>
      <c r="AI163" s="13">
        <f>IF('Données projet'!$A$62&gt;35,AI162+AH163-AQ162,IF(A163&lt;'Données projet'!$A$62,$AF$205^A163,IF(A163='Données projet'!$A$62,'Données projet'!$B$62,AI162+AH163-AQ162)))</f>
        <v>542.36800000000119</v>
      </c>
      <c r="AJ163" s="13">
        <f>AI163*VLOOKUP('Données projet'!$B$10,Paramètres!$A$1:$I$89,3,0)*VLOOKUP('Données projet'!$B$10,Paramètres!$A$1:$I$89,5,0)</f>
        <v>549.96115200000122</v>
      </c>
      <c r="AK163" s="13">
        <f t="shared" si="164"/>
        <v>121.59324017964097</v>
      </c>
      <c r="AL163" s="20">
        <f t="shared" si="165"/>
        <v>1169.6238997128767</v>
      </c>
      <c r="AM163" s="59">
        <f t="shared" si="113"/>
        <v>1457.382977305565</v>
      </c>
      <c r="AN163" s="59">
        <f ca="1">AVERAGE(OFFSET($AM$3,0,0,'Données projet'!$E$10+1,1))-AVERAGE(OFFSET($H$3,0,0,'Données projet'!$E$10+1,1))</f>
        <v>752.45542076695506</v>
      </c>
      <c r="AO163" s="59">
        <f t="shared" si="144"/>
        <v>329.70629768420724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53.879448542984555</v>
      </c>
      <c r="AV163" s="21">
        <f>EXP(-LN(2)/25)*AV162+(1-EXP(-LN(2)/25))/(LN(2)/25)*Calculateur!AQ163*Calculateur!AS163*VLOOKUP('Données projet'!$B$10,Paramètres!$A$1:$I$89,3,0)*0.475*44/12</f>
        <v>21.726258266077579</v>
      </c>
      <c r="AW163" s="21">
        <f>EXP(-LN(2)/2)*AW162+(1-EXP(-LN(2)/2))/(LN(2)/2)*AQ163*AT163*VLOOKUP('Données projet'!$B$10,Paramètres!$A$1:$I$89,3,0)*0.475*44/12</f>
        <v>2.18285344840149E-5</v>
      </c>
      <c r="AX163" s="21">
        <f t="shared" si="166"/>
        <v>75.605728637596613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9.4880000000000049</v>
      </c>
      <c r="BD163" s="12">
        <f>IF('Données projet'!$A$88&gt;35,BD162+BC163-BL162,IF(A163&lt;'Données projet'!$A$88,$BA$205^A163,IF(A163='Données projet'!$A$88,'Données projet'!$B$88,BD162+BC163-BL162)))</f>
        <v>542.36800000000119</v>
      </c>
      <c r="BE163" s="13">
        <f>BD163*VLOOKUP('Données projet'!$B$11,Paramètres!$A$1:$I$89,3,0)*VLOOKUP('Données projet'!$B$11,Paramètres!$A$1:$I$89,5,0)</f>
        <v>490.73456640000109</v>
      </c>
      <c r="BF163" s="13">
        <f t="shared" si="167"/>
        <v>109.94719771775897</v>
      </c>
      <c r="BG163" s="20">
        <f t="shared" si="168"/>
        <v>1046.1874058384321</v>
      </c>
      <c r="BH163" s="59">
        <f t="shared" si="116"/>
        <v>1333.9464834311204</v>
      </c>
      <c r="BI163" s="59">
        <f ca="1">AVERAGE(OFFSET($BH$3,0,0,'Données projet'!$E$11+1,1))-AVERAGE(OFFSET($H$3,0,0,'Données projet'!$E$11+1,1))</f>
        <v>681.47578137804555</v>
      </c>
      <c r="BJ163" s="59">
        <f t="shared" si="146"/>
        <v>300.88511065995885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48.077046392201581</v>
      </c>
      <c r="BQ163" s="21">
        <f>EXP(-LN(2)/25)*BQ162+(1-EXP(-LN(2)/25))/(LN(2)/25)*Calculateur!BL163*Calculateur!BN163*VLOOKUP('Données projet'!$B$11,Paramètres!$A$1:$I$89,3,0)*0.475*44/12</f>
        <v>19.386507375884602</v>
      </c>
      <c r="BR163" s="21">
        <f>EXP(-LN(2)/2)*BR162+(1-EXP(-LN(2)/2))/(LN(2)/2)*BL163*BO163*VLOOKUP('Données projet'!$B$11,Paramètres!$A$1:$I$89,3,0)*0.475*44/12</f>
        <v>1.9477769231890232E-5</v>
      </c>
      <c r="BS163" s="22">
        <f t="shared" si="169"/>
        <v>67.463573245855414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2.2737367544323206E-13</v>
      </c>
      <c r="BZ163" s="13">
        <f>BY163*VLOOKUP('Données projet'!$B$12,Paramètres!$A$1:$I$89,3,0)*VLOOKUP('Données projet'!$B$12,Paramètres!$A$1:$I$89,5,0)</f>
        <v>1.5252226148732008E-13</v>
      </c>
      <c r="CA163" s="13">
        <f t="shared" si="170"/>
        <v>2.1814502464536512E-12</v>
      </c>
      <c r="CB163" s="20">
        <f t="shared" si="171"/>
        <v>4.0650021179971913E-12</v>
      </c>
      <c r="CC163" s="59">
        <f t="shared" si="119"/>
        <v>287.75907759269245</v>
      </c>
      <c r="CD163" s="59">
        <f ca="1">AVERAGE(OFFSET($CC$3,0,0,'Données projet'!$E$12+1,1))-AVERAGE(OFFSET($H$3,0,0,'Données projet'!$E$12+1,1))</f>
        <v>335.73816489539837</v>
      </c>
      <c r="CE163" s="59">
        <f t="shared" si="148"/>
        <v>254.09787950201044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13.916170513626493</v>
      </c>
      <c r="CL163" s="21">
        <f>EXP(-LN(2)/25)*CL162+(1-EXP(-LN(2)/25))/(LN(2)/25)*Calculateur!CG163*Calculateur!CI163*VLOOKUP('Données projet'!$B$12,Paramètres!$A$1:$I$89,3,0)*0.475*44/12</f>
        <v>9.4783851503680392</v>
      </c>
      <c r="CM163" s="21">
        <f>EXP(-LN(2)/2)*CM162+(1-EXP(-LN(2)/2))/(LN(2)/2)*CG163*CJ163*VLOOKUP('Données projet'!$B$12,Paramètres!$A$1:$I$89,3,0)*0.475*44/12</f>
        <v>1.4589916342052732E-6</v>
      </c>
      <c r="CN163" s="22">
        <f t="shared" si="172"/>
        <v>23.394557122986164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1.1368683772161603E-13</v>
      </c>
      <c r="CU163" s="17">
        <f>CT163*VLOOKUP('Données projet'!$B$13,Paramètres!$A$1:$I$89,3,0)*VLOOKUP('Données projet'!$B$13,Paramètres!$A$1:$I$89,5,0)</f>
        <v>6.7984728957526396E-14</v>
      </c>
      <c r="CV163" s="13">
        <f t="shared" si="173"/>
        <v>1.0682447123141398E-12</v>
      </c>
      <c r="CW163" s="20">
        <f t="shared" si="174"/>
        <v>1.978932943548152E-12</v>
      </c>
      <c r="CX163" s="59">
        <f t="shared" si="122"/>
        <v>287.75907759269035</v>
      </c>
      <c r="CY163" s="59">
        <f ca="1">AVERAGE(OFFSET($CX$3,0,0,'Données projet'!$E$13+1,1))-AVERAGE(OFFSET($H$3,0,0,'Données projet'!$E$13+1,1))</f>
        <v>318.50474972254085</v>
      </c>
      <c r="CZ163" s="59">
        <f t="shared" si="150"/>
        <v>326.45858332753562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19.16549086640088</v>
      </c>
      <c r="DG163" s="21">
        <f>EXP(-LN(2)/25)*DG162+(1-EXP(-LN(2)/25))/(LN(2)/25)*Calculateur!DB163*Calculateur!DD163*VLOOKUP('Données projet'!$B$13,Paramètres!$A$1:$I$89,3,0)*0.475*44/12</f>
        <v>3.027532360240766</v>
      </c>
      <c r="DH163" s="21">
        <f>EXP(-LN(2)/2)*DH162+(1-EXP(-LN(2)/2))/(LN(2)/2)*DB163*DE163*VLOOKUP('Données projet'!$B$13,Paramètres!$A$1:$I$89,3,0)*0.475*44/12</f>
        <v>5.3256459529785521E-14</v>
      </c>
      <c r="DI163" s="22">
        <f t="shared" si="175"/>
        <v>22.193023226641699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3">
        <f>'Scénario référence'!$B$16*5+'Scénario référence'!$B$17*0+'Scénario référence'!$B$18*5</f>
        <v>5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67">
        <f t="shared" si="110"/>
        <v>183.33333333333334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5.6843418860808015E-14</v>
      </c>
      <c r="O164" s="13">
        <f>N164*VLOOKUP('Données projet'!$B$9,Paramètres!$A$1:$I$89,3,0)*VLOOKUP('Données projet'!$B$9,Paramètres!$A$1:$I$89,5,0)</f>
        <v>5.1431925385259088E-14</v>
      </c>
      <c r="P164" s="13">
        <f t="shared" si="141"/>
        <v>8.3482866290946129E-13</v>
      </c>
      <c r="Q164" s="20">
        <f t="shared" si="162"/>
        <v>1.5435705246133045E-12</v>
      </c>
      <c r="R164" s="59">
        <f t="shared" si="109"/>
        <v>287.85577846762123</v>
      </c>
      <c r="S164" s="59">
        <f ca="1">AVERAGE(OFFSET($R$3,0,0,'Données projet'!$E$9+1,1))-AVERAGE(OFFSET($H$3,0,0,'Données projet'!$E$9+1,1))</f>
        <v>214.60547318405733</v>
      </c>
      <c r="T164" s="59">
        <f t="shared" si="142"/>
        <v>306.35874106546646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1.5692170448135825</v>
      </c>
      <c r="AA164" s="21">
        <f>EXP(-LN(2)/25)*AA163+(1-EXP(-LN(2)/25))/(LN(2)/25)*Calculateur!V164*Calculateur!X164*VLOOKUP('Données projet'!$B$9,Paramètres!$A$1:$I$89,3,0)*0.475*44/12</f>
        <v>0.5300951116431265</v>
      </c>
      <c r="AB164" s="21">
        <f>EXP(-LN(2)/2)*AB163+(1-EXP(-LN(2)/2))/(LN(2)/2)*V164*Y164*VLOOKUP('Données projet'!$B$9,Paramètres!$A$1:$I$89,3,0)*0.475*44/12</f>
        <v>4.7845718303519855E-17</v>
      </c>
      <c r="AC164" s="22">
        <f t="shared" si="163"/>
        <v>2.0993121564567092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9.4880000000000049</v>
      </c>
      <c r="AI164" s="13">
        <f>IF('Données projet'!$A$62&gt;35,AI163+AH164-AQ163,IF(A164&lt;'Données projet'!$A$62,$AF$205^A164,IF(A164='Données projet'!$A$62,'Données projet'!$B$62,AI163+AH164-AQ163)))</f>
        <v>551.85600000000125</v>
      </c>
      <c r="AJ164" s="13">
        <f>AI164*VLOOKUP('Données projet'!$B$10,Paramètres!$A$1:$I$89,3,0)*VLOOKUP('Données projet'!$B$10,Paramètres!$A$1:$I$89,5,0)</f>
        <v>559.58198400000128</v>
      </c>
      <c r="AK164" s="13">
        <f t="shared" si="164"/>
        <v>123.47085376087081</v>
      </c>
      <c r="AL164" s="20">
        <f t="shared" si="165"/>
        <v>1189.6503591001856</v>
      </c>
      <c r="AM164" s="59">
        <f t="shared" si="113"/>
        <v>1477.5061375678054</v>
      </c>
      <c r="AN164" s="59">
        <f ca="1">AVERAGE(OFFSET($AM$3,0,0,'Données projet'!$E$10+1,1))-AVERAGE(OFFSET($H$3,0,0,'Données projet'!$E$10+1,1))</f>
        <v>752.45542076695506</v>
      </c>
      <c r="AO164" s="59">
        <f t="shared" si="144"/>
        <v>329.70629768420724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52.822905420275269</v>
      </c>
      <c r="AV164" s="21">
        <f>EXP(-LN(2)/25)*AV163+(1-EXP(-LN(2)/25))/(LN(2)/25)*Calculateur!AQ164*Calculateur!AS164*VLOOKUP('Données projet'!$B$10,Paramètres!$A$1:$I$89,3,0)*0.475*44/12</f>
        <v>21.132152591257423</v>
      </c>
      <c r="AW164" s="21">
        <f>EXP(-LN(2)/2)*AW163+(1-EXP(-LN(2)/2))/(LN(2)/2)*AQ164*AT164*VLOOKUP('Données projet'!$B$10,Paramètres!$A$1:$I$89,3,0)*0.475*44/12</f>
        <v>1.5435104757011331E-5</v>
      </c>
      <c r="AX164" s="21">
        <f t="shared" si="166"/>
        <v>73.955073446637442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9.4880000000000049</v>
      </c>
      <c r="BD164" s="12">
        <f>IF('Données projet'!$A$88&gt;35,BD163+BC164-BL163,IF(A164&lt;'Données projet'!$A$88,$BA$205^A164,IF(A164='Données projet'!$A$88,'Données projet'!$B$88,BD163+BC164-BL163)))</f>
        <v>551.85600000000125</v>
      </c>
      <c r="BE164" s="13">
        <f>BD164*VLOOKUP('Données projet'!$B$11,Paramètres!$A$1:$I$89,3,0)*VLOOKUP('Données projet'!$B$11,Paramètres!$A$1:$I$89,5,0)</f>
        <v>499.31930880000107</v>
      </c>
      <c r="BF164" s="13">
        <f t="shared" si="167"/>
        <v>111.64497591125094</v>
      </c>
      <c r="BG164" s="20">
        <f t="shared" si="168"/>
        <v>1064.0961292054305</v>
      </c>
      <c r="BH164" s="59">
        <f t="shared" si="116"/>
        <v>1351.9519076730503</v>
      </c>
      <c r="BI164" s="59">
        <f ca="1">AVERAGE(OFFSET($BH$3,0,0,'Données projet'!$E$11+1,1))-AVERAGE(OFFSET($H$3,0,0,'Données projet'!$E$11+1,1))</f>
        <v>681.47578137804555</v>
      </c>
      <c r="BJ164" s="59">
        <f t="shared" si="146"/>
        <v>300.88511065995885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47.134284836553292</v>
      </c>
      <c r="BQ164" s="21">
        <f>EXP(-LN(2)/25)*BQ163+(1-EXP(-LN(2)/25))/(LN(2)/25)*Calculateur!BL164*Calculateur!BN164*VLOOKUP('Données projet'!$B$11,Paramètres!$A$1:$I$89,3,0)*0.475*44/12</f>
        <v>18.856382312198924</v>
      </c>
      <c r="BR164" s="21">
        <f>EXP(-LN(2)/2)*BR163+(1-EXP(-LN(2)/2))/(LN(2)/2)*BL164*BO164*VLOOKUP('Données projet'!$B$11,Paramètres!$A$1:$I$89,3,0)*0.475*44/12</f>
        <v>1.3772862706256274E-5</v>
      </c>
      <c r="BS164" s="22">
        <f t="shared" si="169"/>
        <v>65.99068092161491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2.2737367544323206E-13</v>
      </c>
      <c r="BZ164" s="13">
        <f>BY164*VLOOKUP('Données projet'!$B$12,Paramètres!$A$1:$I$89,3,0)*VLOOKUP('Données projet'!$B$12,Paramètres!$A$1:$I$89,5,0)</f>
        <v>1.5252226148732008E-13</v>
      </c>
      <c r="CA164" s="13">
        <f t="shared" si="170"/>
        <v>2.1814502464536512E-12</v>
      </c>
      <c r="CB164" s="20">
        <f t="shared" si="171"/>
        <v>4.0650021179971913E-12</v>
      </c>
      <c r="CC164" s="59">
        <f t="shared" si="119"/>
        <v>287.85577846762379</v>
      </c>
      <c r="CD164" s="59">
        <f ca="1">AVERAGE(OFFSET($CC$3,0,0,'Données projet'!$E$12+1,1))-AVERAGE(OFFSET($H$3,0,0,'Données projet'!$E$12+1,1))</f>
        <v>335.73816489539837</v>
      </c>
      <c r="CE164" s="59">
        <f t="shared" si="148"/>
        <v>254.09787950201044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13.643282897880168</v>
      </c>
      <c r="CL164" s="21">
        <f>EXP(-LN(2)/25)*CL163+(1-EXP(-LN(2)/25))/(LN(2)/25)*Calculateur!CG164*Calculateur!CI164*VLOOKUP('Données projet'!$B$12,Paramètres!$A$1:$I$89,3,0)*0.475*44/12</f>
        <v>9.2191982099846133</v>
      </c>
      <c r="CM164" s="21">
        <f>EXP(-LN(2)/2)*CM163+(1-EXP(-LN(2)/2))/(LN(2)/2)*CG164*CJ164*VLOOKUP('Données projet'!$B$12,Paramètres!$A$1:$I$89,3,0)*0.475*44/12</f>
        <v>1.0316628782409915E-6</v>
      </c>
      <c r="CN164" s="22">
        <f t="shared" si="172"/>
        <v>22.862482139527661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1.1368683772161603E-13</v>
      </c>
      <c r="CU164" s="17">
        <f>CT164*VLOOKUP('Données projet'!$B$13,Paramètres!$A$1:$I$89,3,0)*VLOOKUP('Données projet'!$B$13,Paramètres!$A$1:$I$89,5,0)</f>
        <v>6.7984728957526396E-14</v>
      </c>
      <c r="CV164" s="13">
        <f t="shared" si="173"/>
        <v>1.0682447123141398E-12</v>
      </c>
      <c r="CW164" s="20">
        <f t="shared" si="174"/>
        <v>1.978932943548152E-12</v>
      </c>
      <c r="CX164" s="59">
        <f t="shared" si="122"/>
        <v>287.85577846762169</v>
      </c>
      <c r="CY164" s="59">
        <f ca="1">AVERAGE(OFFSET($CX$3,0,0,'Données projet'!$E$13+1,1))-AVERAGE(OFFSET($H$3,0,0,'Données projet'!$E$13+1,1))</f>
        <v>318.50474972254085</v>
      </c>
      <c r="CZ164" s="59">
        <f t="shared" si="150"/>
        <v>326.45858332753562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18.789667280305917</v>
      </c>
      <c r="DG164" s="21">
        <f>EXP(-LN(2)/25)*DG163+(1-EXP(-LN(2)/25))/(LN(2)/25)*Calculateur!DB164*Calculateur!DD164*VLOOKUP('Données projet'!$B$13,Paramètres!$A$1:$I$89,3,0)*0.475*44/12</f>
        <v>2.9447443286389747</v>
      </c>
      <c r="DH164" s="21">
        <f>EXP(-LN(2)/2)*DH163+(1-EXP(-LN(2)/2))/(LN(2)/2)*DB164*DE164*VLOOKUP('Données projet'!$B$13,Paramètres!$A$1:$I$89,3,0)*0.475*44/12</f>
        <v>3.7658003675498274E-14</v>
      </c>
      <c r="DI164" s="22">
        <f t="shared" si="175"/>
        <v>21.734411608944932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3">
        <f>'Scénario référence'!$B$16*5+'Scénario référence'!$B$17*0+'Scénario référence'!$B$18*5</f>
        <v>5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67">
        <f t="shared" si="110"/>
        <v>183.33333333333334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5.6843418860808015E-14</v>
      </c>
      <c r="O165" s="13">
        <f>N165*VLOOKUP('Données projet'!$B$9,Paramètres!$A$1:$I$89,3,0)*VLOOKUP('Données projet'!$B$9,Paramètres!$A$1:$I$89,5,0)</f>
        <v>5.1431925385259088E-14</v>
      </c>
      <c r="P165" s="13">
        <f t="shared" si="141"/>
        <v>8.3482866290946129E-13</v>
      </c>
      <c r="Q165" s="20">
        <f t="shared" si="162"/>
        <v>1.5435705246133045E-12</v>
      </c>
      <c r="R165" s="59">
        <f t="shared" si="109"/>
        <v>287.95080179856325</v>
      </c>
      <c r="S165" s="59">
        <f ca="1">AVERAGE(OFFSET($R$3,0,0,'Données projet'!$E$9+1,1))-AVERAGE(OFFSET($H$3,0,0,'Données projet'!$E$9+1,1))</f>
        <v>214.60547318405733</v>
      </c>
      <c r="T165" s="59">
        <f t="shared" si="142"/>
        <v>306.35874106546646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1.5384456556926769</v>
      </c>
      <c r="AA165" s="21">
        <f>EXP(-LN(2)/25)*AA164+(1-EXP(-LN(2)/25))/(LN(2)/25)*Calculateur!V165*Calculateur!X165*VLOOKUP('Données projet'!$B$9,Paramètres!$A$1:$I$89,3,0)*0.475*44/12</f>
        <v>0.51559963293875488</v>
      </c>
      <c r="AB165" s="21">
        <f>EXP(-LN(2)/2)*AB164+(1-EXP(-LN(2)/2))/(LN(2)/2)*V165*Y165*VLOOKUP('Données projet'!$B$9,Paramètres!$A$1:$I$89,3,0)*0.475*44/12</f>
        <v>3.3832031863160206E-17</v>
      </c>
      <c r="AC165" s="22">
        <f t="shared" si="163"/>
        <v>2.054045288631432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9.4880000000000049</v>
      </c>
      <c r="AI165" s="13">
        <f>IF('Données projet'!$A$62&gt;35,AI164+AH165-AQ164,IF(A165&lt;'Données projet'!$A$62,$AF$205^A165,IF(A165='Données projet'!$A$62,'Données projet'!$B$62,AI164+AH165-AQ164)))</f>
        <v>561.3440000000013</v>
      </c>
      <c r="AJ165" s="13">
        <f>AI165*VLOOKUP('Données projet'!$B$10,Paramètres!$A$1:$I$89,3,0)*VLOOKUP('Données projet'!$B$10,Paramètres!$A$1:$I$89,5,0)</f>
        <v>569.20281600000135</v>
      </c>
      <c r="AK165" s="13">
        <f t="shared" si="164"/>
        <v>125.34471332512402</v>
      </c>
      <c r="AL165" s="20">
        <f t="shared" si="165"/>
        <v>1209.6702802412601</v>
      </c>
      <c r="AM165" s="59">
        <f t="shared" si="113"/>
        <v>1497.6210820398219</v>
      </c>
      <c r="AN165" s="59">
        <f ca="1">AVERAGE(OFFSET($AM$3,0,0,'Données projet'!$E$10+1,1))-AVERAGE(OFFSET($H$3,0,0,'Données projet'!$E$10+1,1))</f>
        <v>752.45542076695506</v>
      </c>
      <c r="AO165" s="59">
        <f t="shared" si="144"/>
        <v>329.70629768420724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51.787080463774636</v>
      </c>
      <c r="AV165" s="21">
        <f>EXP(-LN(2)/25)*AV164+(1-EXP(-LN(2)/25))/(LN(2)/25)*Calculateur!AQ165*Calculateur!AS165*VLOOKUP('Données projet'!$B$10,Paramètres!$A$1:$I$89,3,0)*0.475*44/12</f>
        <v>20.554292767357882</v>
      </c>
      <c r="AW165" s="21">
        <f>EXP(-LN(2)/2)*AW164+(1-EXP(-LN(2)/2))/(LN(2)/2)*AQ165*AT165*VLOOKUP('Données projet'!$B$10,Paramètres!$A$1:$I$89,3,0)*0.475*44/12</f>
        <v>1.091426724200745E-5</v>
      </c>
      <c r="AX165" s="21">
        <f t="shared" si="166"/>
        <v>72.341384145399758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9.4880000000000049</v>
      </c>
      <c r="BD165" s="12">
        <f>IF('Données projet'!$A$88&gt;35,BD164+BC165-BL164,IF(A165&lt;'Données projet'!$A$88,$BA$205^A165,IF(A165='Données projet'!$A$88,'Données projet'!$B$88,BD164+BC165-BL164)))</f>
        <v>561.3440000000013</v>
      </c>
      <c r="BE165" s="13">
        <f>BD165*VLOOKUP('Données projet'!$B$11,Paramètres!$A$1:$I$89,3,0)*VLOOKUP('Données projet'!$B$11,Paramètres!$A$1:$I$89,5,0)</f>
        <v>507.90405120000116</v>
      </c>
      <c r="BF165" s="13">
        <f t="shared" si="167"/>
        <v>113.33935964263163</v>
      </c>
      <c r="BG165" s="20">
        <f t="shared" si="168"/>
        <v>1081.9989405509189</v>
      </c>
      <c r="BH165" s="59">
        <f t="shared" si="116"/>
        <v>1369.9497423494806</v>
      </c>
      <c r="BI165" s="59">
        <f ca="1">AVERAGE(OFFSET($BH$3,0,0,'Données projet'!$E$11+1,1))-AVERAGE(OFFSET($H$3,0,0,'Données projet'!$E$11+1,1))</f>
        <v>681.47578137804555</v>
      </c>
      <c r="BJ165" s="59">
        <f t="shared" si="146"/>
        <v>300.88511065995885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46.210010259983498</v>
      </c>
      <c r="BQ165" s="21">
        <f>EXP(-LN(2)/25)*BQ164+(1-EXP(-LN(2)/25))/(LN(2)/25)*Calculateur!BL165*Calculateur!BN165*VLOOKUP('Données projet'!$B$11,Paramètres!$A$1:$I$89,3,0)*0.475*44/12</f>
        <v>18.340753546257798</v>
      </c>
      <c r="BR165" s="21">
        <f>EXP(-LN(2)/2)*BR164+(1-EXP(-LN(2)/2))/(LN(2)/2)*BL165*BO165*VLOOKUP('Données projet'!$B$11,Paramètres!$A$1:$I$89,3,0)*0.475*44/12</f>
        <v>9.7388846159451158E-6</v>
      </c>
      <c r="BS165" s="22">
        <f t="shared" si="169"/>
        <v>64.550773545125907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2.2737367544323206E-13</v>
      </c>
      <c r="BZ165" s="13">
        <f>BY165*VLOOKUP('Données projet'!$B$12,Paramètres!$A$1:$I$89,3,0)*VLOOKUP('Données projet'!$B$12,Paramètres!$A$1:$I$89,5,0)</f>
        <v>1.5252226148732008E-13</v>
      </c>
      <c r="CA165" s="13">
        <f t="shared" si="170"/>
        <v>2.1814502464536512E-12</v>
      </c>
      <c r="CB165" s="20">
        <f t="shared" si="171"/>
        <v>4.0650021179971913E-12</v>
      </c>
      <c r="CC165" s="59">
        <f t="shared" si="119"/>
        <v>287.95080179856581</v>
      </c>
      <c r="CD165" s="59">
        <f ca="1">AVERAGE(OFFSET($CC$3,0,0,'Données projet'!$E$12+1,1))-AVERAGE(OFFSET($H$3,0,0,'Données projet'!$E$12+1,1))</f>
        <v>335.73816489539837</v>
      </c>
      <c r="CE165" s="59">
        <f t="shared" si="148"/>
        <v>254.09787950201044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13.375746441833618</v>
      </c>
      <c r="CL165" s="21">
        <f>EXP(-LN(2)/25)*CL164+(1-EXP(-LN(2)/25))/(LN(2)/25)*Calculateur!CG165*Calculateur!CI165*VLOOKUP('Données projet'!$B$12,Paramètres!$A$1:$I$89,3,0)*0.475*44/12</f>
        <v>8.9670987501160209</v>
      </c>
      <c r="CM165" s="21">
        <f>EXP(-LN(2)/2)*CM164+(1-EXP(-LN(2)/2))/(LN(2)/2)*CG165*CJ165*VLOOKUP('Données projet'!$B$12,Paramètres!$A$1:$I$89,3,0)*0.475*44/12</f>
        <v>7.294958171026366E-7</v>
      </c>
      <c r="CN165" s="22">
        <f t="shared" si="172"/>
        <v>22.342845921445456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1.1368683772161603E-13</v>
      </c>
      <c r="CU165" s="17">
        <f>CT165*VLOOKUP('Données projet'!$B$13,Paramètres!$A$1:$I$89,3,0)*VLOOKUP('Données projet'!$B$13,Paramètres!$A$1:$I$89,5,0)</f>
        <v>6.7984728957526396E-14</v>
      </c>
      <c r="CV165" s="13">
        <f t="shared" si="173"/>
        <v>1.0682447123141398E-12</v>
      </c>
      <c r="CW165" s="20">
        <f t="shared" si="174"/>
        <v>1.978932943548152E-12</v>
      </c>
      <c r="CX165" s="59">
        <f t="shared" si="122"/>
        <v>287.9508017985637</v>
      </c>
      <c r="CY165" s="59">
        <f ca="1">AVERAGE(OFFSET($CX$3,0,0,'Données projet'!$E$13+1,1))-AVERAGE(OFFSET($H$3,0,0,'Données projet'!$E$13+1,1))</f>
        <v>318.50474972254085</v>
      </c>
      <c r="CZ165" s="59">
        <f t="shared" si="150"/>
        <v>326.45858332753562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18.421213365504521</v>
      </c>
      <c r="DG165" s="21">
        <f>EXP(-LN(2)/25)*DG164+(1-EXP(-LN(2)/25))/(LN(2)/25)*Calculateur!DB165*Calculateur!DD165*VLOOKUP('Données projet'!$B$13,Paramètres!$A$1:$I$89,3,0)*0.475*44/12</f>
        <v>2.8642201401149681</v>
      </c>
      <c r="DH165" s="21">
        <f>EXP(-LN(2)/2)*DH164+(1-EXP(-LN(2)/2))/(LN(2)/2)*DB165*DE165*VLOOKUP('Données projet'!$B$13,Paramètres!$A$1:$I$89,3,0)*0.475*44/12</f>
        <v>2.6628229764892761E-14</v>
      </c>
      <c r="DI165" s="22">
        <f t="shared" si="175"/>
        <v>21.285433505619512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3">
        <f>'Scénario référence'!$B$16*5+'Scénario référence'!$B$17*0+'Scénario référence'!$B$18*5</f>
        <v>5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67">
        <f t="shared" si="110"/>
        <v>183.33333333333334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5.6843418860808015E-14</v>
      </c>
      <c r="O166" s="13">
        <f>N166*VLOOKUP('Données projet'!$B$9,Paramètres!$A$1:$I$89,3,0)*VLOOKUP('Données projet'!$B$9,Paramètres!$A$1:$I$89,5,0)</f>
        <v>5.1431925385259088E-14</v>
      </c>
      <c r="P166" s="13">
        <f t="shared" si="141"/>
        <v>8.3482866290946129E-13</v>
      </c>
      <c r="Q166" s="20">
        <f t="shared" si="162"/>
        <v>1.5435705246133045E-12</v>
      </c>
      <c r="R166" s="59">
        <f t="shared" si="109"/>
        <v>288.04417668715377</v>
      </c>
      <c r="S166" s="59">
        <f ca="1">AVERAGE(OFFSET($R$3,0,0,'Données projet'!$E$9+1,1))-AVERAGE(OFFSET($H$3,0,0,'Données projet'!$E$9+1,1))</f>
        <v>214.60547318405733</v>
      </c>
      <c r="T166" s="59">
        <f t="shared" si="142"/>
        <v>306.35874106546646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1.5082776747437381</v>
      </c>
      <c r="AA166" s="21">
        <f>EXP(-LN(2)/25)*AA165+(1-EXP(-LN(2)/25))/(LN(2)/25)*Calculateur!V166*Calculateur!X166*VLOOKUP('Données projet'!$B$9,Paramètres!$A$1:$I$89,3,0)*0.475*44/12</f>
        <v>0.50150053386183835</v>
      </c>
      <c r="AB166" s="21">
        <f>EXP(-LN(2)/2)*AB165+(1-EXP(-LN(2)/2))/(LN(2)/2)*V166*Y166*VLOOKUP('Données projet'!$B$9,Paramètres!$A$1:$I$89,3,0)*0.475*44/12</f>
        <v>2.3922859151759928E-17</v>
      </c>
      <c r="AC166" s="22">
        <f t="shared" si="163"/>
        <v>2.0097782086055762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9.4880000000000049</v>
      </c>
      <c r="AI166" s="13">
        <f>IF('Données projet'!$A$62&gt;35,AI165+AH166-AQ165,IF(A166&lt;'Données projet'!$A$62,$AF$205^A166,IF(A166='Données projet'!$A$62,'Données projet'!$B$62,AI165+AH166-AQ165)))</f>
        <v>570.83200000000136</v>
      </c>
      <c r="AJ166" s="13">
        <f>AI166*VLOOKUP('Données projet'!$B$10,Paramètres!$A$1:$I$89,3,0)*VLOOKUP('Données projet'!$B$10,Paramètres!$A$1:$I$89,5,0)</f>
        <v>578.82364800000141</v>
      </c>
      <c r="AK166" s="13">
        <f t="shared" si="164"/>
        <v>127.21488964679713</v>
      </c>
      <c r="AL166" s="20">
        <f t="shared" si="165"/>
        <v>1229.6837864015072</v>
      </c>
      <c r="AM166" s="59">
        <f t="shared" si="113"/>
        <v>1517.7279630886594</v>
      </c>
      <c r="AN166" s="59">
        <f ca="1">AVERAGE(OFFSET($AM$3,0,0,'Données projet'!$E$10+1,1))-AVERAGE(OFFSET($H$3,0,0,'Données projet'!$E$10+1,1))</f>
        <v>752.45542076695506</v>
      </c>
      <c r="AO166" s="59">
        <f t="shared" si="144"/>
        <v>329.70629768420724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50.771567402880144</v>
      </c>
      <c r="AV166" s="21">
        <f>EXP(-LN(2)/25)*AV165+(1-EXP(-LN(2)/25))/(LN(2)/25)*Calculateur!AQ166*Calculateur!AS166*VLOOKUP('Données projet'!$B$10,Paramètres!$A$1:$I$89,3,0)*0.475*44/12</f>
        <v>19.992234550731201</v>
      </c>
      <c r="AW166" s="21">
        <f>EXP(-LN(2)/2)*AW165+(1-EXP(-LN(2)/2))/(LN(2)/2)*AQ166*AT166*VLOOKUP('Données projet'!$B$10,Paramètres!$A$1:$I$89,3,0)*0.475*44/12</f>
        <v>7.7175523785056654E-6</v>
      </c>
      <c r="AX166" s="21">
        <f t="shared" si="166"/>
        <v>70.763809671163727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9.4880000000000049</v>
      </c>
      <c r="BD166" s="12">
        <f>IF('Données projet'!$A$88&gt;35,BD165+BC166-BL165,IF(A166&lt;'Données projet'!$A$88,$BA$205^A166,IF(A166='Données projet'!$A$88,'Données projet'!$B$88,BD165+BC166-BL165)))</f>
        <v>570.83200000000136</v>
      </c>
      <c r="BE166" s="13">
        <f>BD166*VLOOKUP('Données projet'!$B$11,Paramètres!$A$1:$I$89,3,0)*VLOOKUP('Données projet'!$B$11,Paramètres!$A$1:$I$89,5,0)</f>
        <v>516.48879360000115</v>
      </c>
      <c r="BF166" s="13">
        <f t="shared" si="167"/>
        <v>115.03041290761819</v>
      </c>
      <c r="BG166" s="20">
        <f t="shared" si="168"/>
        <v>1099.8959513341035</v>
      </c>
      <c r="BH166" s="59">
        <f t="shared" si="116"/>
        <v>1387.9401280212558</v>
      </c>
      <c r="BI166" s="59">
        <f ca="1">AVERAGE(OFFSET($BH$3,0,0,'Données projet'!$E$11+1,1))-AVERAGE(OFFSET($H$3,0,0,'Données projet'!$E$11+1,1))</f>
        <v>681.47578137804555</v>
      </c>
      <c r="BJ166" s="59">
        <f t="shared" si="146"/>
        <v>300.88511065995885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45.303860144108413</v>
      </c>
      <c r="BQ166" s="21">
        <f>EXP(-LN(2)/25)*BQ165+(1-EXP(-LN(2)/25))/(LN(2)/25)*Calculateur!BL166*Calculateur!BN166*VLOOKUP('Données projet'!$B$11,Paramètres!$A$1:$I$89,3,0)*0.475*44/12</f>
        <v>17.839224676037066</v>
      </c>
      <c r="BR166" s="21">
        <f>EXP(-LN(2)/2)*BR165+(1-EXP(-LN(2)/2))/(LN(2)/2)*BL166*BO166*VLOOKUP('Données projet'!$B$11,Paramètres!$A$1:$I$89,3,0)*0.475*44/12</f>
        <v>6.886431353128137E-6</v>
      </c>
      <c r="BS166" s="22">
        <f t="shared" si="169"/>
        <v>63.143091706576826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2.2737367544323206E-13</v>
      </c>
      <c r="BZ166" s="13">
        <f>BY166*VLOOKUP('Données projet'!$B$12,Paramètres!$A$1:$I$89,3,0)*VLOOKUP('Données projet'!$B$12,Paramètres!$A$1:$I$89,5,0)</f>
        <v>1.5252226148732008E-13</v>
      </c>
      <c r="CA166" s="13">
        <f t="shared" si="170"/>
        <v>2.1814502464536512E-12</v>
      </c>
      <c r="CB166" s="20">
        <f t="shared" si="171"/>
        <v>4.0650021179971913E-12</v>
      </c>
      <c r="CC166" s="59">
        <f t="shared" si="119"/>
        <v>288.04417668715632</v>
      </c>
      <c r="CD166" s="59">
        <f ca="1">AVERAGE(OFFSET($CC$3,0,0,'Données projet'!$E$12+1,1))-AVERAGE(OFFSET($H$3,0,0,'Données projet'!$E$12+1,1))</f>
        <v>335.73816489539837</v>
      </c>
      <c r="CE166" s="59">
        <f t="shared" si="148"/>
        <v>254.09787950201044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13.113456212509016</v>
      </c>
      <c r="CL166" s="21">
        <f>EXP(-LN(2)/25)*CL165+(1-EXP(-LN(2)/25))/(LN(2)/25)*Calculateur!CG166*Calculateur!CI166*VLOOKUP('Données projet'!$B$12,Paramètres!$A$1:$I$89,3,0)*0.475*44/12</f>
        <v>8.7218929632348701</v>
      </c>
      <c r="CM166" s="21">
        <f>EXP(-LN(2)/2)*CM165+(1-EXP(-LN(2)/2))/(LN(2)/2)*CG166*CJ166*VLOOKUP('Données projet'!$B$12,Paramètres!$A$1:$I$89,3,0)*0.475*44/12</f>
        <v>5.1583143912049574E-7</v>
      </c>
      <c r="CN166" s="22">
        <f t="shared" si="172"/>
        <v>21.835349691575324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1.1368683772161603E-13</v>
      </c>
      <c r="CU166" s="17">
        <f>CT166*VLOOKUP('Données projet'!$B$13,Paramètres!$A$1:$I$89,3,0)*VLOOKUP('Données projet'!$B$13,Paramètres!$A$1:$I$89,5,0)</f>
        <v>6.7984728957526396E-14</v>
      </c>
      <c r="CV166" s="13">
        <f t="shared" si="173"/>
        <v>1.0682447123141398E-12</v>
      </c>
      <c r="CW166" s="20">
        <f t="shared" si="174"/>
        <v>1.978932943548152E-12</v>
      </c>
      <c r="CX166" s="59">
        <f t="shared" si="122"/>
        <v>288.04417668715422</v>
      </c>
      <c r="CY166" s="59">
        <f ca="1">AVERAGE(OFFSET($CX$3,0,0,'Données projet'!$E$13+1,1))-AVERAGE(OFFSET($H$3,0,0,'Données projet'!$E$13+1,1))</f>
        <v>318.50474972254085</v>
      </c>
      <c r="CZ166" s="59">
        <f t="shared" si="150"/>
        <v>326.45858332753562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18.059984607237684</v>
      </c>
      <c r="DG166" s="21">
        <f>EXP(-LN(2)/25)*DG165+(1-EXP(-LN(2)/25))/(LN(2)/25)*Calculateur!DB166*Calculateur!DD166*VLOOKUP('Données projet'!$B$13,Paramètres!$A$1:$I$89,3,0)*0.475*44/12</f>
        <v>2.7858978897607334</v>
      </c>
      <c r="DH166" s="21">
        <f>EXP(-LN(2)/2)*DH165+(1-EXP(-LN(2)/2))/(LN(2)/2)*DB166*DE166*VLOOKUP('Données projet'!$B$13,Paramètres!$A$1:$I$89,3,0)*0.475*44/12</f>
        <v>1.8829001837749137E-14</v>
      </c>
      <c r="DI166" s="22">
        <f t="shared" si="175"/>
        <v>20.845882496998435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3">
        <f>'Scénario référence'!$B$16*5+'Scénario référence'!$B$17*0+'Scénario référence'!$B$18*5</f>
        <v>5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67">
        <f t="shared" si="110"/>
        <v>183.33333333333334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5.6843418860808015E-14</v>
      </c>
      <c r="O167" s="13">
        <f>N167*VLOOKUP('Données projet'!$B$9,Paramètres!$A$1:$I$89,3,0)*VLOOKUP('Données projet'!$B$9,Paramètres!$A$1:$I$89,5,0)</f>
        <v>5.1431925385259088E-14</v>
      </c>
      <c r="P167" s="13">
        <f t="shared" si="141"/>
        <v>8.3482866290946129E-13</v>
      </c>
      <c r="Q167" s="20">
        <f t="shared" si="162"/>
        <v>1.5435705246133045E-12</v>
      </c>
      <c r="R167" s="59">
        <f t="shared" si="109"/>
        <v>288.13593173018222</v>
      </c>
      <c r="S167" s="59">
        <f ca="1">AVERAGE(OFFSET($R$3,0,0,'Données projet'!$E$9+1,1))-AVERAGE(OFFSET($H$3,0,0,'Données projet'!$E$9+1,1))</f>
        <v>214.60547318405733</v>
      </c>
      <c r="T167" s="59">
        <f t="shared" si="142"/>
        <v>306.35874106546646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1.4787012695005566</v>
      </c>
      <c r="AA167" s="21">
        <f>EXP(-LN(2)/25)*AA166+(1-EXP(-LN(2)/25))/(LN(2)/25)*Calculateur!V167*Calculateur!X167*VLOOKUP('Données projet'!$B$9,Paramètres!$A$1:$I$89,3,0)*0.475*44/12</f>
        <v>0.48778697539061949</v>
      </c>
      <c r="AB167" s="21">
        <f>EXP(-LN(2)/2)*AB166+(1-EXP(-LN(2)/2))/(LN(2)/2)*V167*Y167*VLOOKUP('Données projet'!$B$9,Paramètres!$A$1:$I$89,3,0)*0.475*44/12</f>
        <v>1.6916015931580103E-17</v>
      </c>
      <c r="AC167" s="22">
        <f t="shared" si="163"/>
        <v>1.966488244891176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>
        <f>VLOOKUP(A167,'Données projet'!$A$61:$I$81,2,0)</f>
        <v>580.32000000000005</v>
      </c>
      <c r="AG167" s="12">
        <f>VLOOKUP(A167,'Données projet'!$A$61:$I$81,9,0)</f>
        <v>9.4880000000000049</v>
      </c>
      <c r="AH167" s="12">
        <f t="array" ref="AH167">INDEX(AG:AG,MIN(IF(ISNUMBER(AG167:AG363),ROW(AG167:AG363),"")))</f>
        <v>9.4880000000000049</v>
      </c>
      <c r="AI167" s="13">
        <f>IF('Données projet'!$A$62&gt;35,AI166+AH167-AQ166,IF(A167&lt;'Données projet'!$A$62,$AF$205^A167,IF(A167='Données projet'!$A$62,'Données projet'!$B$62,AI166+AH167-AQ166)))</f>
        <v>580.32000000000141</v>
      </c>
      <c r="AJ167" s="13">
        <f>AI167*VLOOKUP('Données projet'!$B$10,Paramètres!$A$1:$I$89,3,0)*VLOOKUP('Données projet'!$B$10,Paramètres!$A$1:$I$89,5,0)</f>
        <v>588.44448000000148</v>
      </c>
      <c r="AK167" s="13">
        <f t="shared" si="164"/>
        <v>129.08145101269025</v>
      </c>
      <c r="AL167" s="20">
        <f t="shared" si="165"/>
        <v>1249.6909965137713</v>
      </c>
      <c r="AM167" s="59">
        <f t="shared" si="113"/>
        <v>1537.8269282439519</v>
      </c>
      <c r="AN167" s="59">
        <f ca="1">AVERAGE(OFFSET($AM$3,0,0,'Données projet'!$E$10+1,1))-AVERAGE(OFFSET($H$3,0,0,'Données projet'!$E$10+1,1))</f>
        <v>752.45542076695506</v>
      </c>
      <c r="AO167" s="59">
        <f t="shared" si="144"/>
        <v>329.70629768420724</v>
      </c>
      <c r="AP167" s="15">
        <f>IF(ISNA(VLOOKUP(A167,'Données projet'!$A$61:$I$81,3,0)),0,VLOOKUP(A167,'Données projet'!$A$61:$I$81,3,0))</f>
        <v>14</v>
      </c>
      <c r="AQ167" s="15">
        <f>IF(ISNA(VLOOKUP(A167,'Données projet'!$A$61:$I$81,4,0)),0,VLOOKUP(A167,'Données projet'!$A$61:$I$81,4,0))</f>
        <v>66.020000000000095</v>
      </c>
      <c r="AR167" s="16">
        <f>IF(ISNA(VLOOKUP(A167,'Données projet'!$A$61:$I$81,5,0)),0%,VLOOKUP(A167,'Données projet'!$A$61:$I$81,5,0)*VLOOKUP('Données projet'!$B$10,Paramètres!$A$1:$I$89,7,0))</f>
        <v>0.215</v>
      </c>
      <c r="AS167" s="16">
        <f>IF(ISNA(VLOOKUP(A167,'Données projet'!$A$61:$I$81,6,0)),0%,VLOOKUP(A167,'Données projet'!$A$61:$I$81,6,0)*VLOOKUP('Données projet'!$B$10,Paramètres!$A$1:$I$89,7,0))</f>
        <v>8.6000000000000007E-2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65.687025436827426</v>
      </c>
      <c r="AV167" s="21">
        <f>EXP(-LN(2)/25)*AV166+(1-EXP(-LN(2)/25))/(LN(2)/25)*Calculateur!AQ167*Calculateur!AS167*VLOOKUP('Données projet'!$B$10,Paramètres!$A$1:$I$89,3,0)*0.475*44/12</f>
        <v>25.784909688452114</v>
      </c>
      <c r="AW167" s="21">
        <f>EXP(-LN(2)/2)*AW166+(1-EXP(-LN(2)/2))/(LN(2)/2)*AQ167*AT167*VLOOKUP('Données projet'!$B$10,Paramètres!$A$1:$I$89,3,0)*0.475*44/12</f>
        <v>5.4571336210037249E-6</v>
      </c>
      <c r="AX167" s="21">
        <f t="shared" si="166"/>
        <v>91.471940582413168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>
        <f>VLOOKUP(A167,'Données projet'!$A$87:$I$107,2,0)</f>
        <v>580.32000000000005</v>
      </c>
      <c r="BB167" s="12">
        <f>VLOOKUP(A167,'Données projet'!$A$87:$I$107,9,0)</f>
        <v>9.4880000000000049</v>
      </c>
      <c r="BC167" s="12">
        <f t="array" ref="BC167">INDEX(BB:BB,MIN(IF(ISNUMBER(BB167:BB363),ROW(BB167:BB363),"")))</f>
        <v>9.4880000000000049</v>
      </c>
      <c r="BD167" s="12">
        <f>IF('Données projet'!$A$88&gt;35,BD166+BC167-BL166,IF(A167&lt;'Données projet'!$A$88,$BA$205^A167,IF(A167='Données projet'!$A$88,'Données projet'!$B$88,BD166+BC167-BL166)))</f>
        <v>580.32000000000141</v>
      </c>
      <c r="BE167" s="13">
        <f>BD167*VLOOKUP('Données projet'!$B$11,Paramètres!$A$1:$I$89,3,0)*VLOOKUP('Données projet'!$B$11,Paramètres!$A$1:$I$89,5,0)</f>
        <v>525.07353600000124</v>
      </c>
      <c r="BF167" s="13">
        <f t="shared" si="167"/>
        <v>116.71819745258949</v>
      </c>
      <c r="BG167" s="20">
        <f t="shared" si="168"/>
        <v>1117.7872690965953</v>
      </c>
      <c r="BH167" s="59">
        <f t="shared" si="116"/>
        <v>1405.9232008267759</v>
      </c>
      <c r="BI167" s="59">
        <f ca="1">AVERAGE(OFFSET($BH$3,0,0,'Données projet'!$E$11+1,1))-AVERAGE(OFFSET($H$3,0,0,'Données projet'!$E$11+1,1))</f>
        <v>681.47578137804555</v>
      </c>
      <c r="BJ167" s="59">
        <f t="shared" si="146"/>
        <v>300.88511065995885</v>
      </c>
      <c r="BK167" s="15">
        <f>IF(ISNA(VLOOKUP(A167,'Données projet'!$A$87:$I$107,3,0)),0,VLOOKUP(A167,'Données projet'!$A$87:$I$107,3,0))</f>
        <v>14</v>
      </c>
      <c r="BL167" s="15">
        <f>IF(ISNA(VLOOKUP(A167,'Données projet'!$A$87:$I$107,4,0)),0,VLOOKUP(A167,'Données projet'!$A$87:$I$107,4,0))</f>
        <v>66.020000000000095</v>
      </c>
      <c r="BM167" s="16">
        <f>IF(ISNA(VLOOKUP(A167,'Données projet'!$A$87:$I$107,5,0)),0%,VLOOKUP(A167,'Données projet'!$A$87:$I$107,5,0)*VLOOKUP('Données projet'!$B$11,Paramètres!$A$1:$I$89,7,0))</f>
        <v>0.215</v>
      </c>
      <c r="BN167" s="16">
        <f>IF(ISNA(VLOOKUP(A167,'Données projet'!$A$87:$I$107,6,0)),0%,VLOOKUP(A167,'Données projet'!$A$87:$I$107,6,0)*VLOOKUP('Données projet'!$B$11,Paramètres!$A$1:$I$89,7,0))</f>
        <v>8.6000000000000007E-2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58.613038082092139</v>
      </c>
      <c r="BQ167" s="21">
        <f>EXP(-LN(2)/25)*BQ166+(1-EXP(-LN(2)/25))/(LN(2)/25)*Calculateur!BL167*Calculateur!BN167*VLOOKUP('Données projet'!$B$11,Paramètres!$A$1:$I$89,3,0)*0.475*44/12</f>
        <v>23.008073260464958</v>
      </c>
      <c r="BR167" s="21">
        <f>EXP(-LN(2)/2)*BR166+(1-EXP(-LN(2)/2))/(LN(2)/2)*BL167*BO167*VLOOKUP('Données projet'!$B$11,Paramètres!$A$1:$I$89,3,0)*0.475*44/12</f>
        <v>4.8694423079725579E-6</v>
      </c>
      <c r="BS167" s="22">
        <f t="shared" si="169"/>
        <v>81.621116211999407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2.2737367544323206E-13</v>
      </c>
      <c r="BZ167" s="13">
        <f>BY167*VLOOKUP('Données projet'!$B$12,Paramètres!$A$1:$I$89,3,0)*VLOOKUP('Données projet'!$B$12,Paramètres!$A$1:$I$89,5,0)</f>
        <v>1.5252226148732008E-13</v>
      </c>
      <c r="CA167" s="13">
        <f t="shared" si="170"/>
        <v>2.1814502464536512E-12</v>
      </c>
      <c r="CB167" s="20">
        <f t="shared" si="171"/>
        <v>4.0650021179971913E-12</v>
      </c>
      <c r="CC167" s="59">
        <f t="shared" si="119"/>
        <v>288.13593173018478</v>
      </c>
      <c r="CD167" s="59">
        <f ca="1">AVERAGE(OFFSET($CC$3,0,0,'Données projet'!$E$12+1,1))-AVERAGE(OFFSET($H$3,0,0,'Données projet'!$E$12+1,1))</f>
        <v>335.73816489539837</v>
      </c>
      <c r="CE167" s="59">
        <f t="shared" si="148"/>
        <v>254.09787950201044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12.856309334600226</v>
      </c>
      <c r="CL167" s="21">
        <f>EXP(-LN(2)/25)*CL166+(1-EXP(-LN(2)/25))/(LN(2)/25)*Calculateur!CG167*Calculateur!CI167*VLOOKUP('Données projet'!$B$12,Paramètres!$A$1:$I$89,3,0)*0.475*44/12</f>
        <v>8.483392341490795</v>
      </c>
      <c r="CM167" s="21">
        <f>EXP(-LN(2)/2)*CM166+(1-EXP(-LN(2)/2))/(LN(2)/2)*CG167*CJ167*VLOOKUP('Données projet'!$B$12,Paramètres!$A$1:$I$89,3,0)*0.475*44/12</f>
        <v>3.647479085513183E-7</v>
      </c>
      <c r="CN167" s="22">
        <f t="shared" si="172"/>
        <v>21.33970204083893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1.1368683772161603E-13</v>
      </c>
      <c r="CU167" s="17">
        <f>CT167*VLOOKUP('Données projet'!$B$13,Paramètres!$A$1:$I$89,3,0)*VLOOKUP('Données projet'!$B$13,Paramètres!$A$1:$I$89,5,0)</f>
        <v>6.7984728957526396E-14</v>
      </c>
      <c r="CV167" s="13">
        <f t="shared" si="173"/>
        <v>1.0682447123141398E-12</v>
      </c>
      <c r="CW167" s="20">
        <f t="shared" si="174"/>
        <v>1.978932943548152E-12</v>
      </c>
      <c r="CX167" s="59">
        <f t="shared" si="122"/>
        <v>288.13593173018268</v>
      </c>
      <c r="CY167" s="59">
        <f ca="1">AVERAGE(OFFSET($CX$3,0,0,'Données projet'!$E$13+1,1))-AVERAGE(OFFSET($H$3,0,0,'Données projet'!$E$13+1,1))</f>
        <v>318.50474972254085</v>
      </c>
      <c r="CZ167" s="59">
        <f t="shared" si="150"/>
        <v>326.45858332753562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17.705839324592674</v>
      </c>
      <c r="DG167" s="21">
        <f>EXP(-LN(2)/25)*DG166+(1-EXP(-LN(2)/25))/(LN(2)/25)*Calculateur!DB167*Calculateur!DD167*VLOOKUP('Données projet'!$B$13,Paramètres!$A$1:$I$89,3,0)*0.475*44/12</f>
        <v>2.7097173654612234</v>
      </c>
      <c r="DH167" s="21">
        <f>EXP(-LN(2)/2)*DH166+(1-EXP(-LN(2)/2))/(LN(2)/2)*DB167*DE167*VLOOKUP('Données projet'!$B$13,Paramètres!$A$1:$I$89,3,0)*0.475*44/12</f>
        <v>1.331411488244638E-14</v>
      </c>
      <c r="DI167" s="22">
        <f t="shared" si="175"/>
        <v>20.415556690053911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3">
        <f>'Scénario référence'!$B$16*5+'Scénario référence'!$B$17*0+'Scénario référence'!$B$18*5</f>
        <v>5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67">
        <f t="shared" si="110"/>
        <v>183.33333333333334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5.6843418860808015E-14</v>
      </c>
      <c r="O168" s="13">
        <f>N168*VLOOKUP('Données projet'!$B$9,Paramètres!$A$1:$I$89,3,0)*VLOOKUP('Données projet'!$B$9,Paramètres!$A$1:$I$89,5,0)</f>
        <v>5.1431925385259088E-14</v>
      </c>
      <c r="P168" s="13">
        <f t="shared" si="141"/>
        <v>8.3482866290946129E-13</v>
      </c>
      <c r="Q168" s="20">
        <f t="shared" si="162"/>
        <v>1.5435705246133045E-12</v>
      </c>
      <c r="R168" s="59">
        <f t="shared" si="109"/>
        <v>288.22609502834769</v>
      </c>
      <c r="S168" s="59">
        <f ca="1">AVERAGE(OFFSET($R$3,0,0,'Données projet'!$E$9+1,1))-AVERAGE(OFFSET($H$3,0,0,'Données projet'!$E$9+1,1))</f>
        <v>214.60547318405733</v>
      </c>
      <c r="T168" s="59">
        <f t="shared" si="142"/>
        <v>306.35874106546646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1.4497048395243679</v>
      </c>
      <c r="AA168" s="21">
        <f>EXP(-LN(2)/25)*AA167+(1-EXP(-LN(2)/25))/(LN(2)/25)*Calculateur!V168*Calculateur!X168*VLOOKUP('Données projet'!$B$9,Paramètres!$A$1:$I$89,3,0)*0.475*44/12</f>
        <v>0.47444841489696082</v>
      </c>
      <c r="AB168" s="21">
        <f>EXP(-LN(2)/2)*AB167+(1-EXP(-LN(2)/2))/(LN(2)/2)*V168*Y168*VLOOKUP('Données projet'!$B$9,Paramètres!$A$1:$I$89,3,0)*0.475*44/12</f>
        <v>1.1961429575879964E-17</v>
      </c>
      <c r="AC168" s="22">
        <f t="shared" si="163"/>
        <v>1.9241532544213287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9.6220000000000034</v>
      </c>
      <c r="AI168" s="13">
        <f>IF('Données projet'!$A$62&gt;35,AI167+AH168-AQ167,IF(A168&lt;'Données projet'!$A$62,$AF$205^A168,IF(A168='Données projet'!$A$62,'Données projet'!$B$62,AI167+AH168-AQ167)))</f>
        <v>523.92200000000128</v>
      </c>
      <c r="AJ168" s="13">
        <f>AI168*VLOOKUP('Données projet'!$B$10,Paramètres!$A$1:$I$89,3,0)*VLOOKUP('Données projet'!$B$10,Paramètres!$A$1:$I$89,5,0)</f>
        <v>531.25690800000132</v>
      </c>
      <c r="AK168" s="13">
        <f t="shared" si="164"/>
        <v>117.93187429253524</v>
      </c>
      <c r="AL168" s="20">
        <f t="shared" si="165"/>
        <v>1130.6704624928343</v>
      </c>
      <c r="AM168" s="59">
        <f t="shared" si="113"/>
        <v>1418.8965575211805</v>
      </c>
      <c r="AN168" s="59">
        <f ca="1">AVERAGE(OFFSET($AM$3,0,0,'Données projet'!$E$10+1,1))-AVERAGE(OFFSET($H$3,0,0,'Données projet'!$E$10+1,1))</f>
        <v>752.45542076695506</v>
      </c>
      <c r="AO168" s="59">
        <f t="shared" si="144"/>
        <v>329.70629768420724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64.39894293314066</v>
      </c>
      <c r="AV168" s="21">
        <f>EXP(-LN(2)/25)*AV167+(1-EXP(-LN(2)/25))/(LN(2)/25)*Calculateur!AQ168*Calculateur!AS168*VLOOKUP('Données projet'!$B$10,Paramètres!$A$1:$I$89,3,0)*0.475*44/12</f>
        <v>25.079819977051923</v>
      </c>
      <c r="AW168" s="21">
        <f>EXP(-LN(2)/2)*AW167+(1-EXP(-LN(2)/2))/(LN(2)/2)*AQ168*AT168*VLOOKUP('Données projet'!$B$10,Paramètres!$A$1:$I$89,3,0)*0.475*44/12</f>
        <v>3.8587761892528327E-6</v>
      </c>
      <c r="AX168" s="21">
        <f t="shared" si="166"/>
        <v>89.478766768968782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9.6220000000000034</v>
      </c>
      <c r="BD168" s="12">
        <f>IF('Données projet'!$A$88&gt;35,BD167+BC168-BL167,IF(A168&lt;'Données projet'!$A$88,$BA$205^A168,IF(A168='Données projet'!$A$88,'Données projet'!$B$88,BD167+BC168-BL167)))</f>
        <v>523.92200000000128</v>
      </c>
      <c r="BE168" s="13">
        <f>BD168*VLOOKUP('Données projet'!$B$11,Paramètres!$A$1:$I$89,3,0)*VLOOKUP('Données projet'!$B$11,Paramètres!$A$1:$I$89,5,0)</f>
        <v>474.04462560000115</v>
      </c>
      <c r="BF168" s="13">
        <f t="shared" si="167"/>
        <v>106.63651269520395</v>
      </c>
      <c r="BG168" s="20">
        <f t="shared" si="168"/>
        <v>1011.3529825308154</v>
      </c>
      <c r="BH168" s="59">
        <f t="shared" si="116"/>
        <v>1299.5790775591615</v>
      </c>
      <c r="BI168" s="59">
        <f ca="1">AVERAGE(OFFSET($BH$3,0,0,'Données projet'!$E$11+1,1))-AVERAGE(OFFSET($H$3,0,0,'Données projet'!$E$11+1,1))</f>
        <v>681.47578137804555</v>
      </c>
      <c r="BJ168" s="59">
        <f t="shared" si="146"/>
        <v>300.88511065995885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57.463672155725483</v>
      </c>
      <c r="BQ168" s="21">
        <f>EXP(-LN(2)/25)*BQ167+(1-EXP(-LN(2)/25))/(LN(2)/25)*Calculateur!BL168*Calculateur!BN168*VLOOKUP('Données projet'!$B$11,Paramètres!$A$1:$I$89,3,0)*0.475*44/12</f>
        <v>22.378916287215556</v>
      </c>
      <c r="BR168" s="21">
        <f>EXP(-LN(2)/2)*BR167+(1-EXP(-LN(2)/2))/(LN(2)/2)*BL168*BO168*VLOOKUP('Données projet'!$B$11,Paramètres!$A$1:$I$89,3,0)*0.475*44/12</f>
        <v>3.4432156765640685E-6</v>
      </c>
      <c r="BS168" s="22">
        <f t="shared" si="169"/>
        <v>79.842591886156711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2.2737367544323206E-13</v>
      </c>
      <c r="BZ168" s="13">
        <f>BY168*VLOOKUP('Données projet'!$B$12,Paramètres!$A$1:$I$89,3,0)*VLOOKUP('Données projet'!$B$12,Paramètres!$A$1:$I$89,5,0)</f>
        <v>1.5252226148732008E-13</v>
      </c>
      <c r="CA168" s="13">
        <f t="shared" si="170"/>
        <v>2.1814502464536512E-12</v>
      </c>
      <c r="CB168" s="20">
        <f t="shared" si="171"/>
        <v>4.0650021179971913E-12</v>
      </c>
      <c r="CC168" s="59">
        <f t="shared" si="119"/>
        <v>288.22609502835024</v>
      </c>
      <c r="CD168" s="59">
        <f ca="1">AVERAGE(OFFSET($CC$3,0,0,'Données projet'!$E$12+1,1))-AVERAGE(OFFSET($H$3,0,0,'Données projet'!$E$12+1,1))</f>
        <v>335.73816489539837</v>
      </c>
      <c r="CE168" s="59">
        <f t="shared" si="148"/>
        <v>254.09787950201044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12.604204950123119</v>
      </c>
      <c r="CL168" s="21">
        <f>EXP(-LN(2)/25)*CL167+(1-EXP(-LN(2)/25))/(LN(2)/25)*Calculateur!CG168*Calculateur!CI168*VLOOKUP('Données projet'!$B$12,Paramètres!$A$1:$I$89,3,0)*0.475*44/12</f>
        <v>8.2514135317905151</v>
      </c>
      <c r="CM168" s="21">
        <f>EXP(-LN(2)/2)*CM167+(1-EXP(-LN(2)/2))/(LN(2)/2)*CG168*CJ168*VLOOKUP('Données projet'!$B$12,Paramètres!$A$1:$I$89,3,0)*0.475*44/12</f>
        <v>2.5791571956024787E-7</v>
      </c>
      <c r="CN168" s="22">
        <f t="shared" si="172"/>
        <v>20.855618739829353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1.1368683772161603E-13</v>
      </c>
      <c r="CU168" s="17">
        <f>CT168*VLOOKUP('Données projet'!$B$13,Paramètres!$A$1:$I$89,3,0)*VLOOKUP('Données projet'!$B$13,Paramètres!$A$1:$I$89,5,0)</f>
        <v>6.7984728957526396E-14</v>
      </c>
      <c r="CV168" s="13">
        <f t="shared" si="173"/>
        <v>1.0682447123141398E-12</v>
      </c>
      <c r="CW168" s="20">
        <f t="shared" si="174"/>
        <v>1.978932943548152E-12</v>
      </c>
      <c r="CX168" s="59">
        <f t="shared" si="122"/>
        <v>288.22609502834814</v>
      </c>
      <c r="CY168" s="59">
        <f ca="1">AVERAGE(OFFSET($CX$3,0,0,'Données projet'!$E$13+1,1))-AVERAGE(OFFSET($H$3,0,0,'Données projet'!$E$13+1,1))</f>
        <v>318.50474972254085</v>
      </c>
      <c r="CZ168" s="59">
        <f t="shared" si="150"/>
        <v>326.45858332753562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17.358638614933039</v>
      </c>
      <c r="DG168" s="21">
        <f>EXP(-LN(2)/25)*DG167+(1-EXP(-LN(2)/25))/(LN(2)/25)*Calculateur!DB168*Calculateur!DD168*VLOOKUP('Données projet'!$B$13,Paramètres!$A$1:$I$89,3,0)*0.475*44/12</f>
        <v>2.6356200016048432</v>
      </c>
      <c r="DH168" s="21">
        <f>EXP(-LN(2)/2)*DH167+(1-EXP(-LN(2)/2))/(LN(2)/2)*DB168*DE168*VLOOKUP('Données projet'!$B$13,Paramètres!$A$1:$I$89,3,0)*0.475*44/12</f>
        <v>9.4145009188745685E-15</v>
      </c>
      <c r="DI168" s="22">
        <f t="shared" si="175"/>
        <v>19.994258616537891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3">
        <f>'Scénario référence'!$B$16*5+'Scénario référence'!$B$17*0+'Scénario référence'!$B$18*5</f>
        <v>5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67">
        <f t="shared" si="110"/>
        <v>183.33333333333334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5.6843418860808015E-14</v>
      </c>
      <c r="O169" s="13">
        <f>N169*VLOOKUP('Données projet'!$B$9,Paramètres!$A$1:$I$89,3,0)*VLOOKUP('Données projet'!$B$9,Paramètres!$A$1:$I$89,5,0)</f>
        <v>5.1431925385259088E-14</v>
      </c>
      <c r="P169" s="13">
        <f t="shared" si="141"/>
        <v>8.3482866290946129E-13</v>
      </c>
      <c r="Q169" s="20">
        <f t="shared" si="162"/>
        <v>1.5435705246133045E-12</v>
      </c>
      <c r="R169" s="59">
        <f t="shared" si="109"/>
        <v>288.31469419486496</v>
      </c>
      <c r="S169" s="59">
        <f ca="1">AVERAGE(OFFSET($R$3,0,0,'Données projet'!$E$9+1,1))-AVERAGE(OFFSET($H$3,0,0,'Données projet'!$E$9+1,1))</f>
        <v>214.60547318405733</v>
      </c>
      <c r="T169" s="59">
        <f t="shared" si="142"/>
        <v>306.35874106546646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1.4212770118539364</v>
      </c>
      <c r="AA169" s="21">
        <f>EXP(-LN(2)/25)*AA168+(1-EXP(-LN(2)/25))/(LN(2)/25)*Calculateur!V169*Calculateur!X169*VLOOKUP('Données projet'!$B$9,Paramètres!$A$1:$I$89,3,0)*0.475*44/12</f>
        <v>0.46147459804144564</v>
      </c>
      <c r="AB169" s="21">
        <f>EXP(-LN(2)/2)*AB168+(1-EXP(-LN(2)/2))/(LN(2)/2)*V169*Y169*VLOOKUP('Données projet'!$B$9,Paramètres!$A$1:$I$89,3,0)*0.475*44/12</f>
        <v>8.4580079657900515E-18</v>
      </c>
      <c r="AC169" s="22">
        <f t="shared" si="163"/>
        <v>1.882751609895382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9.6220000000000034</v>
      </c>
      <c r="AI169" s="13">
        <f>IF('Données projet'!$A$62&gt;35,AI168+AH169-AQ168,IF(A169&lt;'Données projet'!$A$62,$AF$205^A169,IF(A169='Données projet'!$A$62,'Données projet'!$B$62,AI168+AH169-AQ168)))</f>
        <v>533.54400000000123</v>
      </c>
      <c r="AJ169" s="13">
        <f>AI169*VLOOKUP('Données projet'!$B$10,Paramètres!$A$1:$I$89,3,0)*VLOOKUP('Données projet'!$B$10,Paramètres!$A$1:$I$89,5,0)</f>
        <v>541.01361600000132</v>
      </c>
      <c r="AK169" s="13">
        <f t="shared" si="164"/>
        <v>119.84359445909256</v>
      </c>
      <c r="AL169" s="20">
        <f t="shared" si="165"/>
        <v>1150.9929748829218</v>
      </c>
      <c r="AM169" s="59">
        <f t="shared" si="113"/>
        <v>1439.3076690777852</v>
      </c>
      <c r="AN169" s="59">
        <f ca="1">AVERAGE(OFFSET($AM$3,0,0,'Données projet'!$E$10+1,1))-AVERAGE(OFFSET($H$3,0,0,'Données projet'!$E$10+1,1))</f>
        <v>752.45542076695506</v>
      </c>
      <c r="AO169" s="59">
        <f t="shared" si="144"/>
        <v>329.70629768420724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63.136118941698435</v>
      </c>
      <c r="AV169" s="21">
        <f>EXP(-LN(2)/25)*AV168+(1-EXP(-LN(2)/25))/(LN(2)/25)*Calculateur!AQ169*Calculateur!AS169*VLOOKUP('Données projet'!$B$10,Paramètres!$A$1:$I$89,3,0)*0.475*44/12</f>
        <v>24.394010980889025</v>
      </c>
      <c r="AW169" s="21">
        <f>EXP(-LN(2)/2)*AW168+(1-EXP(-LN(2)/2))/(LN(2)/2)*AQ169*AT169*VLOOKUP('Données projet'!$B$10,Paramètres!$A$1:$I$89,3,0)*0.475*44/12</f>
        <v>2.7285668105018625E-6</v>
      </c>
      <c r="AX169" s="21">
        <f t="shared" si="166"/>
        <v>87.530132651154275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9.6220000000000034</v>
      </c>
      <c r="BD169" s="12">
        <f>IF('Données projet'!$A$88&gt;35,BD168+BC169-BL168,IF(A169&lt;'Données projet'!$A$88,$BA$205^A169,IF(A169='Données projet'!$A$88,'Données projet'!$B$88,BD168+BC169-BL168)))</f>
        <v>533.54400000000123</v>
      </c>
      <c r="BE169" s="13">
        <f>BD169*VLOOKUP('Données projet'!$B$11,Paramètres!$A$1:$I$89,3,0)*VLOOKUP('Données projet'!$B$11,Paramètres!$A$1:$I$89,5,0)</f>
        <v>482.75061120000112</v>
      </c>
      <c r="BF169" s="13">
        <f t="shared" si="167"/>
        <v>108.36513078962237</v>
      </c>
      <c r="BG169" s="20">
        <f t="shared" si="168"/>
        <v>1029.5265839652609</v>
      </c>
      <c r="BH169" s="59">
        <f t="shared" si="116"/>
        <v>1317.8412781601244</v>
      </c>
      <c r="BI169" s="59">
        <f ca="1">AVERAGE(OFFSET($BH$3,0,0,'Données projet'!$E$11+1,1))-AVERAGE(OFFSET($H$3,0,0,'Données projet'!$E$11+1,1))</f>
        <v>681.47578137804555</v>
      </c>
      <c r="BJ169" s="59">
        <f t="shared" si="146"/>
        <v>300.88511065995885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56.336844594130881</v>
      </c>
      <c r="BQ169" s="21">
        <f>EXP(-LN(2)/25)*BQ168+(1-EXP(-LN(2)/25))/(LN(2)/25)*Calculateur!BL169*Calculateur!BN169*VLOOKUP('Données projet'!$B$11,Paramètres!$A$1:$I$89,3,0)*0.475*44/12</f>
        <v>21.766963644485589</v>
      </c>
      <c r="BR169" s="21">
        <f>EXP(-LN(2)/2)*BR168+(1-EXP(-LN(2)/2))/(LN(2)/2)*BL169*BO169*VLOOKUP('Données projet'!$B$11,Paramètres!$A$1:$I$89,3,0)*0.475*44/12</f>
        <v>2.434721153986279E-6</v>
      </c>
      <c r="BS169" s="22">
        <f t="shared" si="169"/>
        <v>78.10381067333762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2.2737367544323206E-13</v>
      </c>
      <c r="BZ169" s="13">
        <f>BY169*VLOOKUP('Données projet'!$B$12,Paramètres!$A$1:$I$89,3,0)*VLOOKUP('Données projet'!$B$12,Paramètres!$A$1:$I$89,5,0)</f>
        <v>1.5252226148732008E-13</v>
      </c>
      <c r="CA169" s="13">
        <f t="shared" si="170"/>
        <v>2.1814502464536512E-12</v>
      </c>
      <c r="CB169" s="20">
        <f t="shared" si="171"/>
        <v>4.0650021179971913E-12</v>
      </c>
      <c r="CC169" s="59">
        <f t="shared" si="119"/>
        <v>288.31469419486751</v>
      </c>
      <c r="CD169" s="59">
        <f ca="1">AVERAGE(OFFSET($CC$3,0,0,'Données projet'!$E$12+1,1))-AVERAGE(OFFSET($H$3,0,0,'Données projet'!$E$12+1,1))</f>
        <v>335.73816489539837</v>
      </c>
      <c r="CE169" s="59">
        <f t="shared" si="148"/>
        <v>254.09787950201044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12.357044178857116</v>
      </c>
      <c r="CL169" s="21">
        <f>EXP(-LN(2)/25)*CL168+(1-EXP(-LN(2)/25))/(LN(2)/25)*Calculateur!CG169*Calculateur!CI169*VLOOKUP('Données projet'!$B$12,Paramètres!$A$1:$I$89,3,0)*0.475*44/12</f>
        <v>8.0257781948407239</v>
      </c>
      <c r="CM169" s="21">
        <f>EXP(-LN(2)/2)*CM168+(1-EXP(-LN(2)/2))/(LN(2)/2)*CG169*CJ169*VLOOKUP('Données projet'!$B$12,Paramètres!$A$1:$I$89,3,0)*0.475*44/12</f>
        <v>1.8237395427565915E-7</v>
      </c>
      <c r="CN169" s="22">
        <f t="shared" si="172"/>
        <v>20.382822556071797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1.1368683772161603E-13</v>
      </c>
      <c r="CU169" s="17">
        <f>CT169*VLOOKUP('Données projet'!$B$13,Paramètres!$A$1:$I$89,3,0)*VLOOKUP('Données projet'!$B$13,Paramètres!$A$1:$I$89,5,0)</f>
        <v>6.7984728957526396E-14</v>
      </c>
      <c r="CV169" s="13">
        <f t="shared" si="173"/>
        <v>1.0682447123141398E-12</v>
      </c>
      <c r="CW169" s="20">
        <f t="shared" si="174"/>
        <v>1.978932943548152E-12</v>
      </c>
      <c r="CX169" s="59">
        <f t="shared" si="122"/>
        <v>288.31469419486541</v>
      </c>
      <c r="CY169" s="59">
        <f ca="1">AVERAGE(OFFSET($CX$3,0,0,'Données projet'!$E$13+1,1))-AVERAGE(OFFSET($H$3,0,0,'Données projet'!$E$13+1,1))</f>
        <v>318.50474972254085</v>
      </c>
      <c r="CZ169" s="59">
        <f t="shared" si="150"/>
        <v>326.45858332753562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17.018246299418305</v>
      </c>
      <c r="DG169" s="21">
        <f>EXP(-LN(2)/25)*DG168+(1-EXP(-LN(2)/25))/(LN(2)/25)*Calculateur!DB169*Calculateur!DD169*VLOOKUP('Données projet'!$B$13,Paramètres!$A$1:$I$89,3,0)*0.475*44/12</f>
        <v>2.5635488340597266</v>
      </c>
      <c r="DH169" s="21">
        <f>EXP(-LN(2)/2)*DH168+(1-EXP(-LN(2)/2))/(LN(2)/2)*DB169*DE169*VLOOKUP('Données projet'!$B$13,Paramètres!$A$1:$I$89,3,0)*0.475*44/12</f>
        <v>6.6570574412231902E-15</v>
      </c>
      <c r="DI169" s="22">
        <f t="shared" si="175"/>
        <v>19.581795133478039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3">
        <f>'Scénario référence'!$B$16*5+'Scénario référence'!$B$17*0+'Scénario référence'!$B$18*5</f>
        <v>5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67">
        <f t="shared" si="110"/>
        <v>183.33333333333334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5.6843418860808015E-14</v>
      </c>
      <c r="O170" s="13">
        <f>N170*VLOOKUP('Données projet'!$B$9,Paramètres!$A$1:$I$89,3,0)*VLOOKUP('Données projet'!$B$9,Paramètres!$A$1:$I$89,5,0)</f>
        <v>5.1431925385259088E-14</v>
      </c>
      <c r="P170" s="13">
        <f t="shared" si="141"/>
        <v>8.3482866290946129E-13</v>
      </c>
      <c r="Q170" s="20">
        <f t="shared" si="162"/>
        <v>1.5435705246133045E-12</v>
      </c>
      <c r="R170" s="59">
        <f t="shared" si="109"/>
        <v>288.40175636392115</v>
      </c>
      <c r="S170" s="59">
        <f ca="1">AVERAGE(OFFSET($R$3,0,0,'Données projet'!$E$9+1,1))-AVERAGE(OFFSET($H$3,0,0,'Données projet'!$E$9+1,1))</f>
        <v>214.60547318405733</v>
      </c>
      <c r="T170" s="59">
        <f t="shared" si="142"/>
        <v>306.35874106546646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1.3934066365448594</v>
      </c>
      <c r="AA170" s="21">
        <f>EXP(-LN(2)/25)*AA169+(1-EXP(-LN(2)/25))/(LN(2)/25)*Calculateur!V170*Calculateur!X170*VLOOKUP('Données projet'!$B$9,Paramètres!$A$1:$I$89,3,0)*0.475*44/12</f>
        <v>0.44885555089010792</v>
      </c>
      <c r="AB170" s="21">
        <f>EXP(-LN(2)/2)*AB169+(1-EXP(-LN(2)/2))/(LN(2)/2)*V170*Y170*VLOOKUP('Données projet'!$B$9,Paramètres!$A$1:$I$89,3,0)*0.475*44/12</f>
        <v>5.9807147879399819E-18</v>
      </c>
      <c r="AC170" s="22">
        <f t="shared" si="163"/>
        <v>1.8422621874349674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9.6220000000000034</v>
      </c>
      <c r="AI170" s="13">
        <f>IF('Données projet'!$A$62&gt;35,AI169+AH170-AQ169,IF(A170&lt;'Données projet'!$A$62,$AF$205^A170,IF(A170='Données projet'!$A$62,'Données projet'!$B$62,AI169+AH170-AQ169)))</f>
        <v>543.16600000000119</v>
      </c>
      <c r="AJ170" s="13">
        <f>AI170*VLOOKUP('Données projet'!$B$10,Paramètres!$A$1:$I$89,3,0)*VLOOKUP('Données projet'!$B$10,Paramètres!$A$1:$I$89,5,0)</f>
        <v>550.77032400000132</v>
      </c>
      <c r="AK170" s="13">
        <f t="shared" si="164"/>
        <v>121.75130557491971</v>
      </c>
      <c r="AL170" s="20">
        <f t="shared" si="165"/>
        <v>1171.3085048429873</v>
      </c>
      <c r="AM170" s="59">
        <f t="shared" si="113"/>
        <v>1459.710261206907</v>
      </c>
      <c r="AN170" s="59">
        <f ca="1">AVERAGE(OFFSET($AM$3,0,0,'Données projet'!$E$10+1,1))-AVERAGE(OFFSET($H$3,0,0,'Données projet'!$E$10+1,1))</f>
        <v>752.45542076695506</v>
      </c>
      <c r="AO170" s="59">
        <f t="shared" si="144"/>
        <v>329.70629768420724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61.89805815848181</v>
      </c>
      <c r="AV170" s="21">
        <f>EXP(-LN(2)/25)*AV169+(1-EXP(-LN(2)/25))/(LN(2)/25)*Calculateur!AQ170*Calculateur!AS170*VLOOKUP('Données projet'!$B$10,Paramètres!$A$1:$I$89,3,0)*0.475*44/12</f>
        <v>23.726955467791331</v>
      </c>
      <c r="AW170" s="21">
        <f>EXP(-LN(2)/2)*AW169+(1-EXP(-LN(2)/2))/(LN(2)/2)*AQ170*AT170*VLOOKUP('Données projet'!$B$10,Paramètres!$A$1:$I$89,3,0)*0.475*44/12</f>
        <v>1.9293880946264163E-6</v>
      </c>
      <c r="AX170" s="21">
        <f t="shared" si="166"/>
        <v>85.625015555661236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9.6220000000000034</v>
      </c>
      <c r="BD170" s="12">
        <f>IF('Données projet'!$A$88&gt;35,BD169+BC170-BL169,IF(A170&lt;'Données projet'!$A$88,$BA$205^A170,IF(A170='Données projet'!$A$88,'Données projet'!$B$88,BD169+BC170-BL169)))</f>
        <v>543.16600000000119</v>
      </c>
      <c r="BE170" s="13">
        <f>BD170*VLOOKUP('Données projet'!$B$11,Paramètres!$A$1:$I$89,3,0)*VLOOKUP('Données projet'!$B$11,Paramètres!$A$1:$I$89,5,0)</f>
        <v>491.45659680000102</v>
      </c>
      <c r="BF170" s="13">
        <f t="shared" si="167"/>
        <v>110.09012381497753</v>
      </c>
      <c r="BG170" s="20">
        <f t="shared" si="168"/>
        <v>1047.6938717377543</v>
      </c>
      <c r="BH170" s="59">
        <f t="shared" si="116"/>
        <v>1336.0956281016738</v>
      </c>
      <c r="BI170" s="59">
        <f ca="1">AVERAGE(OFFSET($BH$3,0,0,'Données projet'!$E$11+1,1))-AVERAGE(OFFSET($H$3,0,0,'Données projet'!$E$11+1,1))</f>
        <v>681.47578137804555</v>
      </c>
      <c r="BJ170" s="59">
        <f t="shared" si="146"/>
        <v>300.88511065995885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55.232113433722205</v>
      </c>
      <c r="BQ170" s="21">
        <f>EXP(-LN(2)/25)*BQ169+(1-EXP(-LN(2)/25))/(LN(2)/25)*Calculateur!BL170*Calculateur!BN170*VLOOKUP('Données projet'!$B$11,Paramètres!$A$1:$I$89,3,0)*0.475*44/12</f>
        <v>21.171744878952261</v>
      </c>
      <c r="BR170" s="21">
        <f>EXP(-LN(2)/2)*BR169+(1-EXP(-LN(2)/2))/(LN(2)/2)*BL170*BO170*VLOOKUP('Données projet'!$B$11,Paramètres!$A$1:$I$89,3,0)*0.475*44/12</f>
        <v>1.7216078382820342E-6</v>
      </c>
      <c r="BS170" s="22">
        <f t="shared" si="169"/>
        <v>76.403860034282303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2.2737367544323206E-13</v>
      </c>
      <c r="BZ170" s="13">
        <f>BY170*VLOOKUP('Données projet'!$B$12,Paramètres!$A$1:$I$89,3,0)*VLOOKUP('Données projet'!$B$12,Paramètres!$A$1:$I$89,5,0)</f>
        <v>1.5252226148732008E-13</v>
      </c>
      <c r="CA170" s="13">
        <f t="shared" si="170"/>
        <v>2.1814502464536512E-12</v>
      </c>
      <c r="CB170" s="20">
        <f t="shared" si="171"/>
        <v>4.0650021179971913E-12</v>
      </c>
      <c r="CC170" s="59">
        <f t="shared" si="119"/>
        <v>288.40175636392371</v>
      </c>
      <c r="CD170" s="59">
        <f ca="1">AVERAGE(OFFSET($CC$3,0,0,'Données projet'!$E$12+1,1))-AVERAGE(OFFSET($H$3,0,0,'Données projet'!$E$12+1,1))</f>
        <v>335.73816489539837</v>
      </c>
      <c r="CE170" s="59">
        <f t="shared" si="148"/>
        <v>254.09787950201044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12.114730079562454</v>
      </c>
      <c r="CL170" s="21">
        <f>EXP(-LN(2)/25)*CL169+(1-EXP(-LN(2)/25))/(LN(2)/25)*Calculateur!CG170*Calculateur!CI170*VLOOKUP('Données projet'!$B$12,Paramètres!$A$1:$I$89,3,0)*0.475*44/12</f>
        <v>7.8063128680454721</v>
      </c>
      <c r="CM170" s="21">
        <f>EXP(-LN(2)/2)*CM169+(1-EXP(-LN(2)/2))/(LN(2)/2)*CG170*CJ170*VLOOKUP('Données projet'!$B$12,Paramètres!$A$1:$I$89,3,0)*0.475*44/12</f>
        <v>1.2895785978012394E-7</v>
      </c>
      <c r="CN170" s="22">
        <f t="shared" si="172"/>
        <v>19.921043076565788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1.1368683772161603E-13</v>
      </c>
      <c r="CU170" s="17">
        <f>CT170*VLOOKUP('Données projet'!$B$13,Paramètres!$A$1:$I$89,3,0)*VLOOKUP('Données projet'!$B$13,Paramètres!$A$1:$I$89,5,0)</f>
        <v>6.7984728957526396E-14</v>
      </c>
      <c r="CV170" s="13">
        <f t="shared" si="173"/>
        <v>1.0682447123141398E-12</v>
      </c>
      <c r="CW170" s="20">
        <f t="shared" si="174"/>
        <v>1.978932943548152E-12</v>
      </c>
      <c r="CX170" s="59">
        <f t="shared" si="122"/>
        <v>288.40175636392161</v>
      </c>
      <c r="CY170" s="59">
        <f ca="1">AVERAGE(OFFSET($CX$3,0,0,'Données projet'!$E$13+1,1))-AVERAGE(OFFSET($H$3,0,0,'Données projet'!$E$13+1,1))</f>
        <v>318.50474972254085</v>
      </c>
      <c r="CZ170" s="59">
        <f t="shared" si="150"/>
        <v>326.45858332753562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16.684528869592004</v>
      </c>
      <c r="DG170" s="21">
        <f>EXP(-LN(2)/25)*DG169+(1-EXP(-LN(2)/25))/(LN(2)/25)*Calculateur!DB170*Calculateur!DD170*VLOOKUP('Données projet'!$B$13,Paramètres!$A$1:$I$89,3,0)*0.475*44/12</f>
        <v>2.4934484563811892</v>
      </c>
      <c r="DH170" s="21">
        <f>EXP(-LN(2)/2)*DH169+(1-EXP(-LN(2)/2))/(LN(2)/2)*DB170*DE170*VLOOKUP('Données projet'!$B$13,Paramètres!$A$1:$I$89,3,0)*0.475*44/12</f>
        <v>4.7072504594372843E-15</v>
      </c>
      <c r="DI170" s="22">
        <f t="shared" si="175"/>
        <v>19.177977325973195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3">
        <f>'Scénario référence'!$B$16*5+'Scénario référence'!$B$17*0+'Scénario référence'!$B$18*5</f>
        <v>5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67">
        <f t="shared" si="110"/>
        <v>183.33333333333334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5.6843418860808015E-14</v>
      </c>
      <c r="O171" s="13">
        <f>N171*VLOOKUP('Données projet'!$B$9,Paramètres!$A$1:$I$89,3,0)*VLOOKUP('Données projet'!$B$9,Paramètres!$A$1:$I$89,5,0)</f>
        <v>5.1431925385259088E-14</v>
      </c>
      <c r="P171" s="13">
        <f t="shared" si="141"/>
        <v>8.3482866290946129E-13</v>
      </c>
      <c r="Q171" s="20">
        <f t="shared" si="162"/>
        <v>1.5435705246133045E-12</v>
      </c>
      <c r="R171" s="59">
        <f t="shared" si="109"/>
        <v>288.48730819898606</v>
      </c>
      <c r="S171" s="59">
        <f ca="1">AVERAGE(OFFSET($R$3,0,0,'Données projet'!$E$9+1,1))-AVERAGE(OFFSET($H$3,0,0,'Données projet'!$E$9+1,1))</f>
        <v>214.60547318405733</v>
      </c>
      <c r="T171" s="59">
        <f t="shared" si="142"/>
        <v>306.35874106546646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1.3660827822963428</v>
      </c>
      <c r="AA171" s="21">
        <f>EXP(-LN(2)/25)*AA170+(1-EXP(-LN(2)/25))/(LN(2)/25)*Calculateur!V171*Calculateur!X171*VLOOKUP('Données projet'!$B$9,Paramètres!$A$1:$I$89,3,0)*0.475*44/12</f>
        <v>0.43658157224673039</v>
      </c>
      <c r="AB171" s="21">
        <f>EXP(-LN(2)/2)*AB170+(1-EXP(-LN(2)/2))/(LN(2)/2)*V171*Y171*VLOOKUP('Données projet'!$B$9,Paramètres!$A$1:$I$89,3,0)*0.475*44/12</f>
        <v>4.2290039828950257E-18</v>
      </c>
      <c r="AC171" s="22">
        <f t="shared" si="163"/>
        <v>1.8026643545430732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9.6220000000000034</v>
      </c>
      <c r="AI171" s="13">
        <f>IF('Données projet'!$A$62&gt;35,AI170+AH171-AQ170,IF(A171&lt;'Données projet'!$A$62,$AF$205^A171,IF(A171='Données projet'!$A$62,'Données projet'!$B$62,AI170+AH171-AQ170)))</f>
        <v>552.78800000000115</v>
      </c>
      <c r="AJ171" s="13">
        <f>AI171*VLOOKUP('Données projet'!$B$10,Paramètres!$A$1:$I$89,3,0)*VLOOKUP('Données projet'!$B$10,Paramètres!$A$1:$I$89,5,0)</f>
        <v>560.52703200000121</v>
      </c>
      <c r="AK171" s="13">
        <f t="shared" si="164"/>
        <v>123.65508685225305</v>
      </c>
      <c r="AL171" s="20">
        <f t="shared" si="165"/>
        <v>1191.6171903343427</v>
      </c>
      <c r="AM171" s="59">
        <f t="shared" si="113"/>
        <v>1480.1044985333272</v>
      </c>
      <c r="AN171" s="59">
        <f ca="1">AVERAGE(OFFSET($AM$3,0,0,'Données projet'!$E$10+1,1))-AVERAGE(OFFSET($H$3,0,0,'Données projet'!$E$10+1,1))</f>
        <v>752.45542076695506</v>
      </c>
      <c r="AO171" s="59">
        <f t="shared" si="144"/>
        <v>329.70629768420724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60.684274992081555</v>
      </c>
      <c r="AV171" s="21">
        <f>EXP(-LN(2)/25)*AV170+(1-EXP(-LN(2)/25))/(LN(2)/25)*Calculateur!AQ171*Calculateur!AS171*VLOOKUP('Données projet'!$B$10,Paramètres!$A$1:$I$89,3,0)*0.475*44/12</f>
        <v>23.078140622778218</v>
      </c>
      <c r="AW171" s="21">
        <f>EXP(-LN(2)/2)*AW170+(1-EXP(-LN(2)/2))/(LN(2)/2)*AQ171*AT171*VLOOKUP('Données projet'!$B$10,Paramètres!$A$1:$I$89,3,0)*0.475*44/12</f>
        <v>1.3642834052509312E-6</v>
      </c>
      <c r="AX171" s="21">
        <f t="shared" si="166"/>
        <v>83.762416979143183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9.6220000000000034</v>
      </c>
      <c r="BD171" s="12">
        <f>IF('Données projet'!$A$88&gt;35,BD170+BC171-BL170,IF(A171&lt;'Données projet'!$A$88,$BA$205^A171,IF(A171='Données projet'!$A$88,'Données projet'!$B$88,BD170+BC171-BL170)))</f>
        <v>552.78800000000115</v>
      </c>
      <c r="BE171" s="13">
        <f>BD171*VLOOKUP('Données projet'!$B$11,Paramètres!$A$1:$I$89,3,0)*VLOOKUP('Données projet'!$B$11,Paramètres!$A$1:$I$89,5,0)</f>
        <v>500.16258240000104</v>
      </c>
      <c r="BF171" s="13">
        <f t="shared" si="167"/>
        <v>111.81156339666074</v>
      </c>
      <c r="BG171" s="20">
        <f t="shared" si="168"/>
        <v>1065.8549705958526</v>
      </c>
      <c r="BH171" s="59">
        <f t="shared" si="116"/>
        <v>1354.3422787948371</v>
      </c>
      <c r="BI171" s="59">
        <f ca="1">AVERAGE(OFFSET($BH$3,0,0,'Données projet'!$E$11+1,1))-AVERAGE(OFFSET($H$3,0,0,'Données projet'!$E$11+1,1))</f>
        <v>681.47578137804555</v>
      </c>
      <c r="BJ171" s="59">
        <f t="shared" si="146"/>
        <v>300.88511065995885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54.149045377549669</v>
      </c>
      <c r="BQ171" s="21">
        <f>EXP(-LN(2)/25)*BQ170+(1-EXP(-LN(2)/25))/(LN(2)/25)*Calculateur!BL171*Calculateur!BN171*VLOOKUP('Données projet'!$B$11,Paramètres!$A$1:$I$89,3,0)*0.475*44/12</f>
        <v>20.592802401863636</v>
      </c>
      <c r="BR171" s="21">
        <f>EXP(-LN(2)/2)*BR170+(1-EXP(-LN(2)/2))/(LN(2)/2)*BL171*BO171*VLOOKUP('Données projet'!$B$11,Paramètres!$A$1:$I$89,3,0)*0.475*44/12</f>
        <v>1.2173605769931395E-6</v>
      </c>
      <c r="BS171" s="22">
        <f t="shared" si="169"/>
        <v>74.741848996773882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2.2737367544323206E-13</v>
      </c>
      <c r="BZ171" s="13">
        <f>BY171*VLOOKUP('Données projet'!$B$12,Paramètres!$A$1:$I$89,3,0)*VLOOKUP('Données projet'!$B$12,Paramètres!$A$1:$I$89,5,0)</f>
        <v>1.5252226148732008E-13</v>
      </c>
      <c r="CA171" s="13">
        <f t="shared" si="170"/>
        <v>2.1814502464536512E-12</v>
      </c>
      <c r="CB171" s="20">
        <f t="shared" si="171"/>
        <v>4.0650021179971913E-12</v>
      </c>
      <c r="CC171" s="59">
        <f t="shared" si="119"/>
        <v>288.48730819898861</v>
      </c>
      <c r="CD171" s="59">
        <f ca="1">AVERAGE(OFFSET($CC$3,0,0,'Données projet'!$E$12+1,1))-AVERAGE(OFFSET($H$3,0,0,'Données projet'!$E$12+1,1))</f>
        <v>335.73816489539837</v>
      </c>
      <c r="CE171" s="59">
        <f t="shared" si="148"/>
        <v>254.09787950201044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11.877167611957955</v>
      </c>
      <c r="CL171" s="21">
        <f>EXP(-LN(2)/25)*CL170+(1-EXP(-LN(2)/25))/(LN(2)/25)*Calculateur!CG171*Calculateur!CI171*VLOOKUP('Données projet'!$B$12,Paramètres!$A$1:$I$89,3,0)*0.475*44/12</f>
        <v>7.5928488321526162</v>
      </c>
      <c r="CM171" s="21">
        <f>EXP(-LN(2)/2)*CM170+(1-EXP(-LN(2)/2))/(LN(2)/2)*CG171*CJ171*VLOOKUP('Données projet'!$B$12,Paramètres!$A$1:$I$89,3,0)*0.475*44/12</f>
        <v>9.1186977137829576E-8</v>
      </c>
      <c r="CN171" s="22">
        <f t="shared" si="172"/>
        <v>19.470016535297546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1.1368683772161603E-13</v>
      </c>
      <c r="CU171" s="17">
        <f>CT171*VLOOKUP('Données projet'!$B$13,Paramètres!$A$1:$I$89,3,0)*VLOOKUP('Données projet'!$B$13,Paramètres!$A$1:$I$89,5,0)</f>
        <v>6.7984728957526396E-14</v>
      </c>
      <c r="CV171" s="13">
        <f t="shared" si="173"/>
        <v>1.0682447123141398E-12</v>
      </c>
      <c r="CW171" s="20">
        <f t="shared" si="174"/>
        <v>1.978932943548152E-12</v>
      </c>
      <c r="CX171" s="59">
        <f t="shared" si="122"/>
        <v>288.48730819898651</v>
      </c>
      <c r="CY171" s="59">
        <f ca="1">AVERAGE(OFFSET($CX$3,0,0,'Données projet'!$E$13+1,1))-AVERAGE(OFFSET($H$3,0,0,'Données projet'!$E$13+1,1))</f>
        <v>318.50474972254085</v>
      </c>
      <c r="CZ171" s="59">
        <f t="shared" si="150"/>
        <v>326.45858332753562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16.357355435017062</v>
      </c>
      <c r="DG171" s="21">
        <f>EXP(-LN(2)/25)*DG170+(1-EXP(-LN(2)/25))/(LN(2)/25)*Calculateur!DB171*Calculateur!DD171*VLOOKUP('Données projet'!$B$13,Paramètres!$A$1:$I$89,3,0)*0.475*44/12</f>
        <v>2.4252649772166901</v>
      </c>
      <c r="DH171" s="21">
        <f>EXP(-LN(2)/2)*DH170+(1-EXP(-LN(2)/2))/(LN(2)/2)*DB171*DE171*VLOOKUP('Données projet'!$B$13,Paramètres!$A$1:$I$89,3,0)*0.475*44/12</f>
        <v>3.3285287206115951E-15</v>
      </c>
      <c r="DI171" s="22">
        <f t="shared" si="175"/>
        <v>18.782620412233758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3">
        <f>'Scénario référence'!$B$16*5+'Scénario référence'!$B$17*0+'Scénario référence'!$B$18*5</f>
        <v>5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67">
        <f t="shared" si="110"/>
        <v>183.33333333333334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5.6843418860808015E-14</v>
      </c>
      <c r="O172" s="13">
        <f>N172*VLOOKUP('Données projet'!$B$9,Paramètres!$A$1:$I$89,3,0)*VLOOKUP('Données projet'!$B$9,Paramètres!$A$1:$I$89,5,0)</f>
        <v>5.1431925385259088E-14</v>
      </c>
      <c r="P172" s="13">
        <f t="shared" si="141"/>
        <v>8.3482866290946129E-13</v>
      </c>
      <c r="Q172" s="20">
        <f t="shared" si="162"/>
        <v>1.5435705246133045E-12</v>
      </c>
      <c r="R172" s="59">
        <f t="shared" si="109"/>
        <v>288.57137590097796</v>
      </c>
      <c r="S172" s="59">
        <f ca="1">AVERAGE(OFFSET($R$3,0,0,'Données projet'!$E$9+1,1))-AVERAGE(OFFSET($H$3,0,0,'Données projet'!$E$9+1,1))</f>
        <v>214.60547318405733</v>
      </c>
      <c r="T172" s="59">
        <f t="shared" si="142"/>
        <v>306.35874106546646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1.3392947321637343</v>
      </c>
      <c r="AA172" s="21">
        <f>EXP(-LN(2)/25)*AA171+(1-EXP(-LN(2)/25))/(LN(2)/25)*Calculateur!V172*Calculateur!X172*VLOOKUP('Données projet'!$B$9,Paramètres!$A$1:$I$89,3,0)*0.475*44/12</f>
        <v>0.42464322619481648</v>
      </c>
      <c r="AB172" s="21">
        <f>EXP(-LN(2)/2)*AB171+(1-EXP(-LN(2)/2))/(LN(2)/2)*V172*Y172*VLOOKUP('Données projet'!$B$9,Paramètres!$A$1:$I$89,3,0)*0.475*44/12</f>
        <v>2.990357393969991E-18</v>
      </c>
      <c r="AC172" s="22">
        <f t="shared" si="163"/>
        <v>1.7639379583585508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9.6220000000000034</v>
      </c>
      <c r="AI172" s="13">
        <f>IF('Données projet'!$A$62&gt;35,AI171+AH172-AQ171,IF(A172&lt;'Données projet'!$A$62,$AF$205^A172,IF(A172='Données projet'!$A$62,'Données projet'!$B$62,AI171+AH172-AQ171)))</f>
        <v>562.41000000000111</v>
      </c>
      <c r="AJ172" s="13">
        <f>AI172*VLOOKUP('Données projet'!$B$10,Paramètres!$A$1:$I$89,3,0)*VLOOKUP('Données projet'!$B$10,Paramètres!$A$1:$I$89,5,0)</f>
        <v>570.28374000000122</v>
      </c>
      <c r="AK172" s="13">
        <f t="shared" si="164"/>
        <v>125.55501458776541</v>
      </c>
      <c r="AL172" s="20">
        <f t="shared" si="165"/>
        <v>1211.9191642403603</v>
      </c>
      <c r="AM172" s="59">
        <f t="shared" si="113"/>
        <v>1500.4905401413366</v>
      </c>
      <c r="AN172" s="59">
        <f ca="1">AVERAGE(OFFSET($AM$3,0,0,'Données projet'!$E$10+1,1))-AVERAGE(OFFSET($H$3,0,0,'Données projet'!$E$10+1,1))</f>
        <v>752.45542076695506</v>
      </c>
      <c r="AO172" s="59">
        <f t="shared" si="144"/>
        <v>329.70629768420724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59.494293373239778</v>
      </c>
      <c r="AV172" s="21">
        <f>EXP(-LN(2)/25)*AV171+(1-EXP(-LN(2)/25))/(LN(2)/25)*Calculateur!AQ172*Calculateur!AS172*VLOOKUP('Données projet'!$B$10,Paramètres!$A$1:$I$89,3,0)*0.475*44/12</f>
        <v>22.447067653821676</v>
      </c>
      <c r="AW172" s="21">
        <f>EXP(-LN(2)/2)*AW171+(1-EXP(-LN(2)/2))/(LN(2)/2)*AQ172*AT172*VLOOKUP('Données projet'!$B$10,Paramètres!$A$1:$I$89,3,0)*0.475*44/12</f>
        <v>9.6469404731320817E-7</v>
      </c>
      <c r="AX172" s="21">
        <f t="shared" si="166"/>
        <v>81.9413619917555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9.6220000000000034</v>
      </c>
      <c r="BD172" s="12">
        <f>IF('Données projet'!$A$88&gt;35,BD171+BC172-BL171,IF(A172&lt;'Données projet'!$A$88,$BA$205^A172,IF(A172='Données projet'!$A$88,'Données projet'!$B$88,BD171+BC172-BL171)))</f>
        <v>562.41000000000111</v>
      </c>
      <c r="BE172" s="13">
        <f>BD172*VLOOKUP('Données projet'!$B$11,Paramètres!$A$1:$I$89,3,0)*VLOOKUP('Données projet'!$B$11,Paramètres!$A$1:$I$89,5,0)</f>
        <v>508.86856800000095</v>
      </c>
      <c r="BF172" s="13">
        <f t="shared" si="167"/>
        <v>113.52951852374844</v>
      </c>
      <c r="BG172" s="20">
        <f t="shared" si="168"/>
        <v>1084.0100006955302</v>
      </c>
      <c r="BH172" s="59">
        <f t="shared" si="116"/>
        <v>1372.5813765965065</v>
      </c>
      <c r="BI172" s="59">
        <f ca="1">AVERAGE(OFFSET($BH$3,0,0,'Données projet'!$E$11+1,1))-AVERAGE(OFFSET($H$3,0,0,'Données projet'!$E$11+1,1))</f>
        <v>681.47578137804555</v>
      </c>
      <c r="BJ172" s="59">
        <f t="shared" si="146"/>
        <v>300.88511065995885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53.087215625352393</v>
      </c>
      <c r="BQ172" s="21">
        <f>EXP(-LN(2)/25)*BQ171+(1-EXP(-LN(2)/25))/(LN(2)/25)*Calculateur!BL172*Calculateur!BN172*VLOOKUP('Données projet'!$B$11,Paramètres!$A$1:$I$89,3,0)*0.475*44/12</f>
        <v>20.029691137256261</v>
      </c>
      <c r="BR172" s="21">
        <f>EXP(-LN(2)/2)*BR171+(1-EXP(-LN(2)/2))/(LN(2)/2)*BL172*BO172*VLOOKUP('Données projet'!$B$11,Paramètres!$A$1:$I$89,3,0)*0.475*44/12</f>
        <v>8.6080391914101712E-7</v>
      </c>
      <c r="BS172" s="22">
        <f t="shared" si="169"/>
        <v>73.116907623412573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2.2737367544323206E-13</v>
      </c>
      <c r="BZ172" s="13">
        <f>BY172*VLOOKUP('Données projet'!$B$12,Paramètres!$A$1:$I$89,3,0)*VLOOKUP('Données projet'!$B$12,Paramètres!$A$1:$I$89,5,0)</f>
        <v>1.5252226148732008E-13</v>
      </c>
      <c r="CA172" s="13">
        <f t="shared" si="170"/>
        <v>2.1814502464536512E-12</v>
      </c>
      <c r="CB172" s="20">
        <f t="shared" si="171"/>
        <v>4.0650021179971913E-12</v>
      </c>
      <c r="CC172" s="59">
        <f t="shared" si="119"/>
        <v>288.57137590098051</v>
      </c>
      <c r="CD172" s="59">
        <f ca="1">AVERAGE(OFFSET($CC$3,0,0,'Données projet'!$E$12+1,1))-AVERAGE(OFFSET($H$3,0,0,'Données projet'!$E$12+1,1))</f>
        <v>335.73816489539837</v>
      </c>
      <c r="CE172" s="59">
        <f t="shared" si="148"/>
        <v>254.09787950201044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11.644263599444381</v>
      </c>
      <c r="CL172" s="21">
        <f>EXP(-LN(2)/25)*CL171+(1-EXP(-LN(2)/25))/(LN(2)/25)*Calculateur!CG172*Calculateur!CI172*VLOOKUP('Données projet'!$B$12,Paramètres!$A$1:$I$89,3,0)*0.475*44/12</f>
        <v>7.3852219815468363</v>
      </c>
      <c r="CM172" s="21">
        <f>EXP(-LN(2)/2)*CM171+(1-EXP(-LN(2)/2))/(LN(2)/2)*CG172*CJ172*VLOOKUP('Données projet'!$B$12,Paramètres!$A$1:$I$89,3,0)*0.475*44/12</f>
        <v>6.4478929890061968E-8</v>
      </c>
      <c r="CN172" s="22">
        <f t="shared" si="172"/>
        <v>19.029485645470146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1.1368683772161603E-13</v>
      </c>
      <c r="CU172" s="17">
        <f>CT172*VLOOKUP('Données projet'!$B$13,Paramètres!$A$1:$I$89,3,0)*VLOOKUP('Données projet'!$B$13,Paramètres!$A$1:$I$89,5,0)</f>
        <v>6.7984728957526396E-14</v>
      </c>
      <c r="CV172" s="13">
        <f t="shared" si="173"/>
        <v>1.0682447123141398E-12</v>
      </c>
      <c r="CW172" s="20">
        <f t="shared" si="174"/>
        <v>1.978932943548152E-12</v>
      </c>
      <c r="CX172" s="59">
        <f t="shared" si="122"/>
        <v>288.57137590097841</v>
      </c>
      <c r="CY172" s="59">
        <f ca="1">AVERAGE(OFFSET($CX$3,0,0,'Données projet'!$E$13+1,1))-AVERAGE(OFFSET($H$3,0,0,'Données projet'!$E$13+1,1))</f>
        <v>318.50474972254085</v>
      </c>
      <c r="CZ172" s="59">
        <f t="shared" si="150"/>
        <v>326.45858332753562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16.036597671938047</v>
      </c>
      <c r="DG172" s="21">
        <f>EXP(-LN(2)/25)*DG171+(1-EXP(-LN(2)/25))/(LN(2)/25)*Calculateur!DB172*Calculateur!DD172*VLOOKUP('Données projet'!$B$13,Paramètres!$A$1:$I$89,3,0)*0.475*44/12</f>
        <v>2.3589459788755578</v>
      </c>
      <c r="DH172" s="21">
        <f>EXP(-LN(2)/2)*DH171+(1-EXP(-LN(2)/2))/(LN(2)/2)*DB172*DE172*VLOOKUP('Données projet'!$B$13,Paramètres!$A$1:$I$89,3,0)*0.475*44/12</f>
        <v>2.3536252297186421E-15</v>
      </c>
      <c r="DI172" s="22">
        <f t="shared" si="175"/>
        <v>18.395543650813607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3">
        <f>'Scénario référence'!$B$16*5+'Scénario référence'!$B$17*0+'Scénario référence'!$B$18*5</f>
        <v>5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67">
        <f t="shared" si="110"/>
        <v>183.33333333333334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5.6843418860808015E-14</v>
      </c>
      <c r="O173" s="13">
        <f>N173*VLOOKUP('Données projet'!$B$9,Paramètres!$A$1:$I$89,3,0)*VLOOKUP('Données projet'!$B$9,Paramètres!$A$1:$I$89,5,0)</f>
        <v>5.1431925385259088E-14</v>
      </c>
      <c r="P173" s="13">
        <f t="shared" si="141"/>
        <v>8.3482866290946129E-13</v>
      </c>
      <c r="Q173" s="20">
        <f t="shared" si="162"/>
        <v>1.5435705246133045E-12</v>
      </c>
      <c r="R173" s="59">
        <f t="shared" si="109"/>
        <v>288.65398521628742</v>
      </c>
      <c r="S173" s="59">
        <f ca="1">AVERAGE(OFFSET($R$3,0,0,'Données projet'!$E$9+1,1))-AVERAGE(OFFSET($H$3,0,0,'Données projet'!$E$9+1,1))</f>
        <v>214.60547318405733</v>
      </c>
      <c r="T173" s="59">
        <f t="shared" si="142"/>
        <v>306.35874106546646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1.3130319793551291</v>
      </c>
      <c r="AA173" s="21">
        <f>EXP(-LN(2)/25)*AA172+(1-EXP(-LN(2)/25))/(LN(2)/25)*Calculateur!V173*Calculateur!X173*VLOOKUP('Données projet'!$B$9,Paramètres!$A$1:$I$89,3,0)*0.475*44/12</f>
        <v>0.41303133484350252</v>
      </c>
      <c r="AB173" s="21">
        <f>EXP(-LN(2)/2)*AB172+(1-EXP(-LN(2)/2))/(LN(2)/2)*V173*Y173*VLOOKUP('Données projet'!$B$9,Paramètres!$A$1:$I$89,3,0)*0.475*44/12</f>
        <v>2.1145019914475129E-18</v>
      </c>
      <c r="AC173" s="22">
        <f t="shared" si="163"/>
        <v>1.7260633141986315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9.6220000000000034</v>
      </c>
      <c r="AI173" s="13">
        <f>IF('Données projet'!$A$62&gt;35,AI172+AH173-AQ172,IF(A173&lt;'Données projet'!$A$62,$AF$205^A173,IF(A173='Données projet'!$A$62,'Données projet'!$B$62,AI172+AH173-AQ172)))</f>
        <v>572.03200000000106</v>
      </c>
      <c r="AJ173" s="13">
        <f>AI173*VLOOKUP('Données projet'!$B$10,Paramètres!$A$1:$I$89,3,0)*VLOOKUP('Données projet'!$B$10,Paramètres!$A$1:$I$89,5,0)</f>
        <v>580.04044800000111</v>
      </c>
      <c r="AK173" s="13">
        <f t="shared" si="164"/>
        <v>127.45116231789045</v>
      </c>
      <c r="AL173" s="20">
        <f t="shared" si="165"/>
        <v>1232.2145546369943</v>
      </c>
      <c r="AM173" s="59">
        <f t="shared" si="113"/>
        <v>1520.8685398532803</v>
      </c>
      <c r="AN173" s="59">
        <f ca="1">AVERAGE(OFFSET($AM$3,0,0,'Données projet'!$E$10+1,1))-AVERAGE(OFFSET($H$3,0,0,'Données projet'!$E$10+1,1))</f>
        <v>752.45542076695506</v>
      </c>
      <c r="AO173" s="59">
        <f t="shared" si="144"/>
        <v>329.70629768420724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58.327646568126369</v>
      </c>
      <c r="AV173" s="21">
        <f>EXP(-LN(2)/25)*AV172+(1-EXP(-LN(2)/25))/(LN(2)/25)*Calculateur!AQ173*Calculateur!AS173*VLOOKUP('Données projet'!$B$10,Paramètres!$A$1:$I$89,3,0)*0.475*44/12</f>
        <v>21.833251408387937</v>
      </c>
      <c r="AW173" s="21">
        <f>EXP(-LN(2)/2)*AW172+(1-EXP(-LN(2)/2))/(LN(2)/2)*AQ173*AT173*VLOOKUP('Données projet'!$B$10,Paramètres!$A$1:$I$89,3,0)*0.475*44/12</f>
        <v>6.8214170262546562E-7</v>
      </c>
      <c r="AX173" s="21">
        <f t="shared" si="166"/>
        <v>80.160898658656009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9.6220000000000034</v>
      </c>
      <c r="BD173" s="12">
        <f>IF('Données projet'!$A$88&gt;35,BD172+BC173-BL172,IF(A173&lt;'Données projet'!$A$88,$BA$205^A173,IF(A173='Données projet'!$A$88,'Données projet'!$B$88,BD172+BC173-BL172)))</f>
        <v>572.03200000000106</v>
      </c>
      <c r="BE173" s="13">
        <f>BD173*VLOOKUP('Données projet'!$B$11,Paramètres!$A$1:$I$89,3,0)*VLOOKUP('Données projet'!$B$11,Paramètres!$A$1:$I$89,5,0)</f>
        <v>517.57455360000097</v>
      </c>
      <c r="BF173" s="13">
        <f t="shared" si="167"/>
        <v>115.24405568945055</v>
      </c>
      <c r="BG173" s="20">
        <f t="shared" si="168"/>
        <v>1102.1590778457946</v>
      </c>
      <c r="BH173" s="59">
        <f t="shared" si="116"/>
        <v>1390.8130630620806</v>
      </c>
      <c r="BI173" s="59">
        <f ca="1">AVERAGE(OFFSET($BH$3,0,0,'Données projet'!$E$11+1,1))-AVERAGE(OFFSET($H$3,0,0,'Données projet'!$E$11+1,1))</f>
        <v>681.47578137804555</v>
      </c>
      <c r="BJ173" s="59">
        <f t="shared" si="146"/>
        <v>300.88511065995885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52.046207706943505</v>
      </c>
      <c r="BQ173" s="21">
        <f>EXP(-LN(2)/25)*BQ172+(1-EXP(-LN(2)/25))/(LN(2)/25)*Calculateur!BL173*Calculateur!BN173*VLOOKUP('Données projet'!$B$11,Paramètres!$A$1:$I$89,3,0)*0.475*44/12</f>
        <v>19.481978179792311</v>
      </c>
      <c r="BR173" s="21">
        <f>EXP(-LN(2)/2)*BR172+(1-EXP(-LN(2)/2))/(LN(2)/2)*BL173*BO173*VLOOKUP('Données projet'!$B$11,Paramètres!$A$1:$I$89,3,0)*0.475*44/12</f>
        <v>6.0868028849656974E-7</v>
      </c>
      <c r="BS173" s="22">
        <f t="shared" si="169"/>
        <v>71.528186495416108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2.2737367544323206E-13</v>
      </c>
      <c r="BZ173" s="13">
        <f>BY173*VLOOKUP('Données projet'!$B$12,Paramètres!$A$1:$I$89,3,0)*VLOOKUP('Données projet'!$B$12,Paramètres!$A$1:$I$89,5,0)</f>
        <v>1.5252226148732008E-13</v>
      </c>
      <c r="CA173" s="13">
        <f t="shared" si="170"/>
        <v>2.1814502464536512E-12</v>
      </c>
      <c r="CB173" s="20">
        <f t="shared" si="171"/>
        <v>4.0650021179971913E-12</v>
      </c>
      <c r="CC173" s="59">
        <f t="shared" si="119"/>
        <v>288.65398521628998</v>
      </c>
      <c r="CD173" s="59">
        <f ca="1">AVERAGE(OFFSET($CC$3,0,0,'Données projet'!$E$12+1,1))-AVERAGE(OFFSET($H$3,0,0,'Données projet'!$E$12+1,1))</f>
        <v>335.73816489539837</v>
      </c>
      <c r="CE173" s="59">
        <f t="shared" si="148"/>
        <v>254.09787950201044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11.415926692558779</v>
      </c>
      <c r="CL173" s="21">
        <f>EXP(-LN(2)/25)*CL172+(1-EXP(-LN(2)/25))/(LN(2)/25)*Calculateur!CG173*Calculateur!CI173*VLOOKUP('Données projet'!$B$12,Paramètres!$A$1:$I$89,3,0)*0.475*44/12</f>
        <v>7.1832726980894934</v>
      </c>
      <c r="CM173" s="21">
        <f>EXP(-LN(2)/2)*CM172+(1-EXP(-LN(2)/2))/(LN(2)/2)*CG173*CJ173*VLOOKUP('Données projet'!$B$12,Paramètres!$A$1:$I$89,3,0)*0.475*44/12</f>
        <v>4.5593488568914788E-8</v>
      </c>
      <c r="CN173" s="22">
        <f t="shared" si="172"/>
        <v>18.599199436241761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1.1368683772161603E-13</v>
      </c>
      <c r="CU173" s="17">
        <f>CT173*VLOOKUP('Données projet'!$B$13,Paramètres!$A$1:$I$89,3,0)*VLOOKUP('Données projet'!$B$13,Paramètres!$A$1:$I$89,5,0)</f>
        <v>6.7984728957526396E-14</v>
      </c>
      <c r="CV173" s="13">
        <f t="shared" si="173"/>
        <v>1.0682447123141398E-12</v>
      </c>
      <c r="CW173" s="20">
        <f t="shared" si="174"/>
        <v>1.978932943548152E-12</v>
      </c>
      <c r="CX173" s="59">
        <f t="shared" si="122"/>
        <v>288.65398521628788</v>
      </c>
      <c r="CY173" s="59">
        <f ca="1">AVERAGE(OFFSET($CX$3,0,0,'Données projet'!$E$13+1,1))-AVERAGE(OFFSET($H$3,0,0,'Données projet'!$E$13+1,1))</f>
        <v>318.50474972254085</v>
      </c>
      <c r="CZ173" s="59">
        <f t="shared" si="150"/>
        <v>326.45858332753562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15.722129772950092</v>
      </c>
      <c r="DG173" s="21">
        <f>EXP(-LN(2)/25)*DG172+(1-EXP(-LN(2)/25))/(LN(2)/25)*Calculateur!DB173*Calculateur!DD173*VLOOKUP('Données projet'!$B$13,Paramètres!$A$1:$I$89,3,0)*0.475*44/12</f>
        <v>2.2944404770316282</v>
      </c>
      <c r="DH173" s="21">
        <f>EXP(-LN(2)/2)*DH172+(1-EXP(-LN(2)/2))/(LN(2)/2)*DB173*DE173*VLOOKUP('Données projet'!$B$13,Paramètres!$A$1:$I$89,3,0)*0.475*44/12</f>
        <v>1.6642643603057975E-15</v>
      </c>
      <c r="DI173" s="22">
        <f t="shared" si="175"/>
        <v>18.016570249981719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3">
        <f>'Scénario référence'!$B$16*5+'Scénario référence'!$B$17*0+'Scénario référence'!$B$18*5</f>
        <v>5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67">
        <f t="shared" si="110"/>
        <v>183.33333333333334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5.6843418860808015E-14</v>
      </c>
      <c r="O174" s="13">
        <f>N174*VLOOKUP('Données projet'!$B$9,Paramètres!$A$1:$I$89,3,0)*VLOOKUP('Données projet'!$B$9,Paramètres!$A$1:$I$89,5,0)</f>
        <v>5.1431925385259088E-14</v>
      </c>
      <c r="P174" s="13">
        <f t="shared" si="141"/>
        <v>8.3482866290946129E-13</v>
      </c>
      <c r="Q174" s="20">
        <f t="shared" si="162"/>
        <v>1.5435705246133045E-12</v>
      </c>
      <c r="R174" s="59">
        <f t="shared" si="109"/>
        <v>288.73516144466305</v>
      </c>
      <c r="S174" s="59">
        <f ca="1">AVERAGE(OFFSET($R$3,0,0,'Données projet'!$E$9+1,1))-AVERAGE(OFFSET($H$3,0,0,'Données projet'!$E$9+1,1))</f>
        <v>214.60547318405733</v>
      </c>
      <c r="T174" s="59">
        <f t="shared" si="142"/>
        <v>306.35874106546646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1.2872842231104029</v>
      </c>
      <c r="AA174" s="21">
        <f>EXP(-LN(2)/25)*AA173+(1-EXP(-LN(2)/25))/(LN(2)/25)*Calculateur!V174*Calculateur!X174*VLOOKUP('Données projet'!$B$9,Paramètres!$A$1:$I$89,3,0)*0.475*44/12</f>
        <v>0.40173697127183305</v>
      </c>
      <c r="AB174" s="21">
        <f>EXP(-LN(2)/2)*AB173+(1-EXP(-LN(2)/2))/(LN(2)/2)*V174*Y174*VLOOKUP('Données projet'!$B$9,Paramètres!$A$1:$I$89,3,0)*0.475*44/12</f>
        <v>1.4951786969849955E-18</v>
      </c>
      <c r="AC174" s="22">
        <f t="shared" si="163"/>
        <v>1.689021194382236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9.6220000000000034</v>
      </c>
      <c r="AI174" s="13">
        <f>IF('Données projet'!$A$62&gt;35,AI173+AH174-AQ173,IF(A174&lt;'Données projet'!$A$62,$AF$205^A174,IF(A174='Données projet'!$A$62,'Données projet'!$B$62,AI173+AH174-AQ173)))</f>
        <v>581.65400000000102</v>
      </c>
      <c r="AJ174" s="13">
        <f>AI174*VLOOKUP('Données projet'!$B$10,Paramètres!$A$1:$I$89,3,0)*VLOOKUP('Données projet'!$B$10,Paramètres!$A$1:$I$89,5,0)</f>
        <v>589.79715600000111</v>
      </c>
      <c r="AK174" s="13">
        <f t="shared" si="164"/>
        <v>129.34360096340086</v>
      </c>
      <c r="AL174" s="20">
        <f t="shared" si="165"/>
        <v>1252.5034850445916</v>
      </c>
      <c r="AM174" s="59">
        <f t="shared" si="113"/>
        <v>1541.2386464892531</v>
      </c>
      <c r="AN174" s="59">
        <f ca="1">AVERAGE(OFFSET($AM$3,0,0,'Données projet'!$E$10+1,1))-AVERAGE(OFFSET($H$3,0,0,'Données projet'!$E$10+1,1))</f>
        <v>752.45542076695506</v>
      </c>
      <c r="AO174" s="59">
        <f t="shared" si="144"/>
        <v>329.70629768420724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57.183876995276947</v>
      </c>
      <c r="AV174" s="21">
        <f>EXP(-LN(2)/25)*AV173+(1-EXP(-LN(2)/25))/(LN(2)/25)*Calculateur!AQ174*Calculateur!AS174*VLOOKUP('Données projet'!$B$10,Paramètres!$A$1:$I$89,3,0)*0.475*44/12</f>
        <v>21.23622000046478</v>
      </c>
      <c r="AW174" s="21">
        <f>EXP(-LN(2)/2)*AW173+(1-EXP(-LN(2)/2))/(LN(2)/2)*AQ174*AT174*VLOOKUP('Données projet'!$B$10,Paramètres!$A$1:$I$89,3,0)*0.475*44/12</f>
        <v>4.8234702365660409E-7</v>
      </c>
      <c r="AX174" s="21">
        <f t="shared" si="166"/>
        <v>78.420097478088749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9.6220000000000034</v>
      </c>
      <c r="BD174" s="12">
        <f>IF('Données projet'!$A$88&gt;35,BD173+BC174-BL173,IF(A174&lt;'Données projet'!$A$88,$BA$205^A174,IF(A174='Données projet'!$A$88,'Données projet'!$B$88,BD173+BC174-BL173)))</f>
        <v>581.65400000000102</v>
      </c>
      <c r="BE174" s="13">
        <f>BD174*VLOOKUP('Données projet'!$B$11,Paramètres!$A$1:$I$89,3,0)*VLOOKUP('Données projet'!$B$11,Paramètres!$A$1:$I$89,5,0)</f>
        <v>526.28053920000093</v>
      </c>
      <c r="BF174" s="13">
        <f t="shared" si="167"/>
        <v>116.95523902184036</v>
      </c>
      <c r="BG174" s="20">
        <f t="shared" si="168"/>
        <v>1120.3023137363737</v>
      </c>
      <c r="BH174" s="59">
        <f t="shared" si="116"/>
        <v>1409.0374751810352</v>
      </c>
      <c r="BI174" s="59">
        <f ca="1">AVERAGE(OFFSET($BH$3,0,0,'Données projet'!$E$11+1,1))-AVERAGE(OFFSET($H$3,0,0,'Données projet'!$E$11+1,1))</f>
        <v>681.47578137804555</v>
      </c>
      <c r="BJ174" s="59">
        <f t="shared" si="146"/>
        <v>300.88511065995885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51.025613318862483</v>
      </c>
      <c r="BQ174" s="21">
        <f>EXP(-LN(2)/25)*BQ173+(1-EXP(-LN(2)/25))/(LN(2)/25)*Calculateur!BL174*Calculateur!BN174*VLOOKUP('Données projet'!$B$11,Paramètres!$A$1:$I$89,3,0)*0.475*44/12</f>
        <v>18.949242461953183</v>
      </c>
      <c r="BR174" s="21">
        <f>EXP(-LN(2)/2)*BR173+(1-EXP(-LN(2)/2))/(LN(2)/2)*BL174*BO174*VLOOKUP('Données projet'!$B$11,Paramètres!$A$1:$I$89,3,0)*0.475*44/12</f>
        <v>4.3040195957050856E-7</v>
      </c>
      <c r="BS174" s="22">
        <f t="shared" si="169"/>
        <v>69.974856211217613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2.2737367544323206E-13</v>
      </c>
      <c r="BZ174" s="13">
        <f>BY174*VLOOKUP('Données projet'!$B$12,Paramètres!$A$1:$I$89,3,0)*VLOOKUP('Données projet'!$B$12,Paramètres!$A$1:$I$89,5,0)</f>
        <v>1.5252226148732008E-13</v>
      </c>
      <c r="CA174" s="13">
        <f t="shared" si="170"/>
        <v>2.1814502464536512E-12</v>
      </c>
      <c r="CB174" s="20">
        <f t="shared" si="171"/>
        <v>4.0650021179971913E-12</v>
      </c>
      <c r="CC174" s="59">
        <f t="shared" si="119"/>
        <v>288.73516144466561</v>
      </c>
      <c r="CD174" s="59">
        <f ca="1">AVERAGE(OFFSET($CC$3,0,0,'Données projet'!$E$12+1,1))-AVERAGE(OFFSET($H$3,0,0,'Données projet'!$E$12+1,1))</f>
        <v>335.73816489539837</v>
      </c>
      <c r="CE174" s="59">
        <f t="shared" si="148"/>
        <v>254.09787950201044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11.192067333145442</v>
      </c>
      <c r="CL174" s="21">
        <f>EXP(-LN(2)/25)*CL173+(1-EXP(-LN(2)/25))/(LN(2)/25)*Calculateur!CG174*Calculateur!CI174*VLOOKUP('Données projet'!$B$12,Paramètres!$A$1:$I$89,3,0)*0.475*44/12</f>
        <v>6.9868457284083423</v>
      </c>
      <c r="CM174" s="21">
        <f>EXP(-LN(2)/2)*CM173+(1-EXP(-LN(2)/2))/(LN(2)/2)*CG174*CJ174*VLOOKUP('Données projet'!$B$12,Paramètres!$A$1:$I$89,3,0)*0.475*44/12</f>
        <v>3.2239464945030984E-8</v>
      </c>
      <c r="CN174" s="22">
        <f t="shared" si="172"/>
        <v>18.178913093793252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1.1368683772161603E-13</v>
      </c>
      <c r="CU174" s="17">
        <f>CT174*VLOOKUP('Données projet'!$B$13,Paramètres!$A$1:$I$89,3,0)*VLOOKUP('Données projet'!$B$13,Paramètres!$A$1:$I$89,5,0)</f>
        <v>6.7984728957526396E-14</v>
      </c>
      <c r="CV174" s="13">
        <f t="shared" si="173"/>
        <v>1.0682447123141398E-12</v>
      </c>
      <c r="CW174" s="20">
        <f t="shared" si="174"/>
        <v>1.978932943548152E-12</v>
      </c>
      <c r="CX174" s="59">
        <f t="shared" si="122"/>
        <v>288.7351614446635</v>
      </c>
      <c r="CY174" s="59">
        <f ca="1">AVERAGE(OFFSET($CX$3,0,0,'Données projet'!$E$13+1,1))-AVERAGE(OFFSET($H$3,0,0,'Données projet'!$E$13+1,1))</f>
        <v>318.50474972254085</v>
      </c>
      <c r="CZ174" s="59">
        <f t="shared" si="150"/>
        <v>326.45858332753562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15.413828397654813</v>
      </c>
      <c r="DG174" s="21">
        <f>EXP(-LN(2)/25)*DG173+(1-EXP(-LN(2)/25))/(LN(2)/25)*Calculateur!DB174*Calculateur!DD174*VLOOKUP('Données projet'!$B$13,Paramètres!$A$1:$I$89,3,0)*0.475*44/12</f>
        <v>2.2316988815278176</v>
      </c>
      <c r="DH174" s="21">
        <f>EXP(-LN(2)/2)*DH173+(1-EXP(-LN(2)/2))/(LN(2)/2)*DB174*DE174*VLOOKUP('Données projet'!$B$13,Paramètres!$A$1:$I$89,3,0)*0.475*44/12</f>
        <v>1.1768126148593211E-15</v>
      </c>
      <c r="DI174" s="22">
        <f t="shared" si="175"/>
        <v>17.64552727918263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3">
        <f>'Scénario référence'!$B$16*5+'Scénario référence'!$B$17*0+'Scénario référence'!$B$18*5</f>
        <v>5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67">
        <f t="shared" si="110"/>
        <v>183.33333333333334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5.6843418860808015E-14</v>
      </c>
      <c r="O175" s="13">
        <f>N175*VLOOKUP('Données projet'!$B$9,Paramètres!$A$1:$I$89,3,0)*VLOOKUP('Données projet'!$B$9,Paramètres!$A$1:$I$89,5,0)</f>
        <v>5.1431925385259088E-14</v>
      </c>
      <c r="P175" s="13">
        <f t="shared" si="141"/>
        <v>8.3482866290946129E-13</v>
      </c>
      <c r="Q175" s="20">
        <f t="shared" si="162"/>
        <v>1.5435705246133045E-12</v>
      </c>
      <c r="R175" s="59">
        <f t="shared" si="109"/>
        <v>288.81492944695918</v>
      </c>
      <c r="S175" s="59">
        <f ca="1">AVERAGE(OFFSET($R$3,0,0,'Données projet'!$E$9+1,1))-AVERAGE(OFFSET($H$3,0,0,'Données projet'!$E$9+1,1))</f>
        <v>214.60547318405733</v>
      </c>
      <c r="T175" s="59">
        <f t="shared" si="142"/>
        <v>306.35874106546646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1.2620413646610553</v>
      </c>
      <c r="AA175" s="21">
        <f>EXP(-LN(2)/25)*AA174+(1-EXP(-LN(2)/25))/(LN(2)/25)*Calculateur!V175*Calculateur!X175*VLOOKUP('Données projet'!$B$9,Paramètres!$A$1:$I$89,3,0)*0.475*44/12</f>
        <v>0.39075145266597566</v>
      </c>
      <c r="AB175" s="21">
        <f>EXP(-LN(2)/2)*AB174+(1-EXP(-LN(2)/2))/(LN(2)/2)*V175*Y175*VLOOKUP('Données projet'!$B$9,Paramètres!$A$1:$I$89,3,0)*0.475*44/12</f>
        <v>1.0572509957237564E-18</v>
      </c>
      <c r="AC175" s="22">
        <f t="shared" si="163"/>
        <v>1.652792817327031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9.6220000000000034</v>
      </c>
      <c r="AI175" s="13">
        <f>IF('Données projet'!$A$62&gt;35,AI174+AH175-AQ174,IF(A175&lt;'Données projet'!$A$62,$AF$205^A175,IF(A175='Données projet'!$A$62,'Données projet'!$B$62,AI174+AH175-AQ174)))</f>
        <v>591.27600000000098</v>
      </c>
      <c r="AJ175" s="13">
        <f>AI175*VLOOKUP('Données projet'!$B$10,Paramètres!$A$1:$I$89,3,0)*VLOOKUP('Données projet'!$B$10,Paramètres!$A$1:$I$89,5,0)</f>
        <v>599.553864000001</v>
      </c>
      <c r="AK175" s="13">
        <f t="shared" si="164"/>
        <v>131.23239896414796</v>
      </c>
      <c r="AL175" s="20">
        <f t="shared" si="165"/>
        <v>1272.7860746625593</v>
      </c>
      <c r="AM175" s="59">
        <f t="shared" si="113"/>
        <v>1561.6010041095169</v>
      </c>
      <c r="AN175" s="59">
        <f ca="1">AVERAGE(OFFSET($AM$3,0,0,'Données projet'!$E$10+1,1))-AVERAGE(OFFSET($H$3,0,0,'Données projet'!$E$10+1,1))</f>
        <v>752.45542076695506</v>
      </c>
      <c r="AO175" s="59">
        <f t="shared" si="144"/>
        <v>329.70629768420724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56.062536046120549</v>
      </c>
      <c r="AV175" s="21">
        <f>EXP(-LN(2)/25)*AV174+(1-EXP(-LN(2)/25))/(LN(2)/25)*Calculateur!AQ175*Calculateur!AS175*VLOOKUP('Données projet'!$B$10,Paramètres!$A$1:$I$89,3,0)*0.475*44/12</f>
        <v>20.655514447787798</v>
      </c>
      <c r="AW175" s="21">
        <f>EXP(-LN(2)/2)*AW174+(1-EXP(-LN(2)/2))/(LN(2)/2)*AQ175*AT175*VLOOKUP('Données projet'!$B$10,Paramètres!$A$1:$I$89,3,0)*0.475*44/12</f>
        <v>3.4107085131273281E-7</v>
      </c>
      <c r="AX175" s="21">
        <f t="shared" si="166"/>
        <v>76.718050834979195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9.6220000000000034</v>
      </c>
      <c r="BD175" s="12">
        <f>IF('Données projet'!$A$88&gt;35,BD174+BC175-BL174,IF(A175&lt;'Données projet'!$A$88,$BA$205^A175,IF(A175='Données projet'!$A$88,'Données projet'!$B$88,BD174+BC175-BL174)))</f>
        <v>591.27600000000098</v>
      </c>
      <c r="BE175" s="13">
        <f>BD175*VLOOKUP('Données projet'!$B$11,Paramètres!$A$1:$I$89,3,0)*VLOOKUP('Données projet'!$B$11,Paramètres!$A$1:$I$89,5,0)</f>
        <v>534.98652480000089</v>
      </c>
      <c r="BF175" s="13">
        <f t="shared" si="167"/>
        <v>118.66313040568902</v>
      </c>
      <c r="BG175" s="20">
        <f t="shared" si="168"/>
        <v>1138.4398161499098</v>
      </c>
      <c r="BH175" s="59">
        <f t="shared" si="116"/>
        <v>1427.2547455968675</v>
      </c>
      <c r="BI175" s="59">
        <f ca="1">AVERAGE(OFFSET($BH$3,0,0,'Données projet'!$E$11+1,1))-AVERAGE(OFFSET($H$3,0,0,'Données projet'!$E$11+1,1))</f>
        <v>681.47578137804555</v>
      </c>
      <c r="BJ175" s="59">
        <f t="shared" si="146"/>
        <v>300.88511065995885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50.025032164230616</v>
      </c>
      <c r="BQ175" s="21">
        <f>EXP(-LN(2)/25)*BQ174+(1-EXP(-LN(2)/25))/(LN(2)/25)*Calculateur!BL175*Calculateur!BN175*VLOOKUP('Données projet'!$B$11,Paramètres!$A$1:$I$89,3,0)*0.475*44/12</f>
        <v>18.431074430333723</v>
      </c>
      <c r="BR175" s="21">
        <f>EXP(-LN(2)/2)*BR174+(1-EXP(-LN(2)/2))/(LN(2)/2)*BL175*BO175*VLOOKUP('Données projet'!$B$11,Paramètres!$A$1:$I$89,3,0)*0.475*44/12</f>
        <v>3.0434014424828487E-7</v>
      </c>
      <c r="BS175" s="22">
        <f t="shared" si="169"/>
        <v>68.456106898904494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2.2737367544323206E-13</v>
      </c>
      <c r="BZ175" s="13">
        <f>BY175*VLOOKUP('Données projet'!$B$12,Paramètres!$A$1:$I$89,3,0)*VLOOKUP('Données projet'!$B$12,Paramètres!$A$1:$I$89,5,0)</f>
        <v>1.5252226148732008E-13</v>
      </c>
      <c r="CA175" s="13">
        <f t="shared" si="170"/>
        <v>2.1814502464536512E-12</v>
      </c>
      <c r="CB175" s="20">
        <f t="shared" si="171"/>
        <v>4.0650021179971913E-12</v>
      </c>
      <c r="CC175" s="59">
        <f t="shared" si="119"/>
        <v>288.81492944696174</v>
      </c>
      <c r="CD175" s="59">
        <f ca="1">AVERAGE(OFFSET($CC$3,0,0,'Données projet'!$E$12+1,1))-AVERAGE(OFFSET($H$3,0,0,'Données projet'!$E$12+1,1))</f>
        <v>335.73816489539837</v>
      </c>
      <c r="CE175" s="59">
        <f t="shared" si="148"/>
        <v>254.09787950201044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10.972597719229473</v>
      </c>
      <c r="CL175" s="21">
        <f>EXP(-LN(2)/25)*CL174+(1-EXP(-LN(2)/25))/(LN(2)/25)*Calculateur!CG175*Calculateur!CI175*VLOOKUP('Données projet'!$B$12,Paramètres!$A$1:$I$89,3,0)*0.475*44/12</f>
        <v>6.7957900645427678</v>
      </c>
      <c r="CM175" s="21">
        <f>EXP(-LN(2)/2)*CM174+(1-EXP(-LN(2)/2))/(LN(2)/2)*CG175*CJ175*VLOOKUP('Données projet'!$B$12,Paramètres!$A$1:$I$89,3,0)*0.475*44/12</f>
        <v>2.2796744284457394E-8</v>
      </c>
      <c r="CN175" s="22">
        <f t="shared" si="172"/>
        <v>17.768387806568985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1.1368683772161603E-13</v>
      </c>
      <c r="CU175" s="17">
        <f>CT175*VLOOKUP('Données projet'!$B$13,Paramètres!$A$1:$I$89,3,0)*VLOOKUP('Données projet'!$B$13,Paramètres!$A$1:$I$89,5,0)</f>
        <v>6.7984728957526396E-14</v>
      </c>
      <c r="CV175" s="13">
        <f t="shared" si="173"/>
        <v>1.0682447123141398E-12</v>
      </c>
      <c r="CW175" s="20">
        <f t="shared" si="174"/>
        <v>1.978932943548152E-12</v>
      </c>
      <c r="CX175" s="59">
        <f t="shared" si="122"/>
        <v>288.81492944695964</v>
      </c>
      <c r="CY175" s="59">
        <f ca="1">AVERAGE(OFFSET($CX$3,0,0,'Données projet'!$E$13+1,1))-AVERAGE(OFFSET($H$3,0,0,'Données projet'!$E$13+1,1))</f>
        <v>318.50474972254085</v>
      </c>
      <c r="CZ175" s="59">
        <f t="shared" si="150"/>
        <v>326.45858332753562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15.111572624283802</v>
      </c>
      <c r="DG175" s="21">
        <f>EXP(-LN(2)/25)*DG174+(1-EXP(-LN(2)/25))/(LN(2)/25)*Calculateur!DB175*Calculateur!DD175*VLOOKUP('Données projet'!$B$13,Paramètres!$A$1:$I$89,3,0)*0.475*44/12</f>
        <v>2.1706729582524957</v>
      </c>
      <c r="DH175" s="21">
        <f>EXP(-LN(2)/2)*DH174+(1-EXP(-LN(2)/2))/(LN(2)/2)*DB175*DE175*VLOOKUP('Données projet'!$B$13,Paramètres!$A$1:$I$89,3,0)*0.475*44/12</f>
        <v>8.3213218015289877E-16</v>
      </c>
      <c r="DI175" s="22">
        <f t="shared" si="175"/>
        <v>17.282245582536298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3">
        <f>'Scénario référence'!$B$16*5+'Scénario référence'!$B$17*0+'Scénario référence'!$B$18*5</f>
        <v>5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67">
        <f t="shared" si="110"/>
        <v>183.33333333333334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5.6843418860808015E-14</v>
      </c>
      <c r="O176" s="13">
        <f>N176*VLOOKUP('Données projet'!$B$9,Paramètres!$A$1:$I$89,3,0)*VLOOKUP('Données projet'!$B$9,Paramètres!$A$1:$I$89,5,0)</f>
        <v>5.1431925385259088E-14</v>
      </c>
      <c r="P176" s="13">
        <f t="shared" si="141"/>
        <v>8.3482866290946129E-13</v>
      </c>
      <c r="Q176" s="20">
        <f t="shared" si="162"/>
        <v>1.5435705246133045E-12</v>
      </c>
      <c r="R176" s="59">
        <f t="shared" si="109"/>
        <v>288.89331365275001</v>
      </c>
      <c r="S176" s="59">
        <f ca="1">AVERAGE(OFFSET($R$3,0,0,'Données projet'!$E$9+1,1))-AVERAGE(OFFSET($H$3,0,0,'Données projet'!$E$9+1,1))</f>
        <v>214.60547318405733</v>
      </c>
      <c r="T176" s="59">
        <f t="shared" si="142"/>
        <v>306.35874106546646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1.237293503269276</v>
      </c>
      <c r="AA176" s="21">
        <f>EXP(-LN(2)/25)*AA175+(1-EXP(-LN(2)/25))/(LN(2)/25)*Calculateur!V176*Calculateur!X176*VLOOKUP('Données projet'!$B$9,Paramètres!$A$1:$I$89,3,0)*0.475*44/12</f>
        <v>0.38006633364409875</v>
      </c>
      <c r="AB176" s="21">
        <f>EXP(-LN(2)/2)*AB175+(1-EXP(-LN(2)/2))/(LN(2)/2)*V176*Y176*VLOOKUP('Données projet'!$B$9,Paramètres!$A$1:$I$89,3,0)*0.475*44/12</f>
        <v>7.4758934849249774E-19</v>
      </c>
      <c r="AC176" s="22">
        <f t="shared" si="163"/>
        <v>1.6173598369133748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9.6220000000000034</v>
      </c>
      <c r="AI176" s="13">
        <f>IF('Données projet'!$A$62&gt;35,AI175+AH176-AQ175,IF(A176&lt;'Données projet'!$A$62,$AF$205^A176,IF(A176='Données projet'!$A$62,'Données projet'!$B$62,AI175+AH176-AQ175)))</f>
        <v>600.89800000000093</v>
      </c>
      <c r="AJ176" s="13">
        <f>AI176*VLOOKUP('Données projet'!$B$10,Paramètres!$A$1:$I$89,3,0)*VLOOKUP('Données projet'!$B$10,Paramètres!$A$1:$I$89,5,0)</f>
        <v>609.310572000001</v>
      </c>
      <c r="AK176" s="13">
        <f t="shared" si="164"/>
        <v>133.11762240478217</v>
      </c>
      <c r="AL176" s="20">
        <f t="shared" si="165"/>
        <v>1293.0624385883307</v>
      </c>
      <c r="AM176" s="59">
        <f t="shared" si="113"/>
        <v>1581.9557522410792</v>
      </c>
      <c r="AN176" s="59">
        <f ca="1">AVERAGE(OFFSET($AM$3,0,0,'Données projet'!$E$10+1,1))-AVERAGE(OFFSET($H$3,0,0,'Données projet'!$E$10+1,1))</f>
        <v>752.45542076695506</v>
      </c>
      <c r="AO176" s="59">
        <f t="shared" si="144"/>
        <v>329.70629768420724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54.963183909026661</v>
      </c>
      <c r="AV176" s="21">
        <f>EXP(-LN(2)/25)*AV175+(1-EXP(-LN(2)/25))/(LN(2)/25)*Calculateur!AQ176*Calculateur!AS176*VLOOKUP('Données projet'!$B$10,Paramètres!$A$1:$I$89,3,0)*0.475*44/12</f>
        <v>20.090688318986746</v>
      </c>
      <c r="AW176" s="21">
        <f>EXP(-LN(2)/2)*AW175+(1-EXP(-LN(2)/2))/(LN(2)/2)*AQ176*AT176*VLOOKUP('Données projet'!$B$10,Paramètres!$A$1:$I$89,3,0)*0.475*44/12</f>
        <v>2.4117351182830204E-7</v>
      </c>
      <c r="AX176" s="21">
        <f t="shared" si="166"/>
        <v>75.053872469186913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9.6220000000000034</v>
      </c>
      <c r="BD176" s="12">
        <f>IF('Données projet'!$A$88&gt;35,BD175+BC176-BL175,IF(A176&lt;'Données projet'!$A$88,$BA$205^A176,IF(A176='Données projet'!$A$88,'Données projet'!$B$88,BD175+BC176-BL175)))</f>
        <v>600.89800000000093</v>
      </c>
      <c r="BE176" s="13">
        <f>BD176*VLOOKUP('Données projet'!$B$11,Paramètres!$A$1:$I$89,3,0)*VLOOKUP('Données projet'!$B$11,Paramètres!$A$1:$I$89,5,0)</f>
        <v>543.69251040000086</v>
      </c>
      <c r="BF176" s="13">
        <f t="shared" si="167"/>
        <v>120.36778959614513</v>
      </c>
      <c r="BG176" s="20">
        <f t="shared" si="168"/>
        <v>1156.5716891599543</v>
      </c>
      <c r="BH176" s="59">
        <f t="shared" si="116"/>
        <v>1445.4650028127028</v>
      </c>
      <c r="BI176" s="59">
        <f ca="1">AVERAGE(OFFSET($BH$3,0,0,'Données projet'!$E$11+1,1))-AVERAGE(OFFSET($H$3,0,0,'Données projet'!$E$11+1,1))</f>
        <v>681.47578137804555</v>
      </c>
      <c r="BJ176" s="59">
        <f t="shared" si="146"/>
        <v>300.88511065995885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49.044071795746838</v>
      </c>
      <c r="BQ176" s="21">
        <f>EXP(-LN(2)/25)*BQ175+(1-EXP(-LN(2)/25))/(LN(2)/25)*Calculateur!BL176*Calculateur!BN176*VLOOKUP('Données projet'!$B$11,Paramètres!$A$1:$I$89,3,0)*0.475*44/12</f>
        <v>17.927075730788168</v>
      </c>
      <c r="BR176" s="21">
        <f>EXP(-LN(2)/2)*BR175+(1-EXP(-LN(2)/2))/(LN(2)/2)*BL176*BO176*VLOOKUP('Données projet'!$B$11,Paramètres!$A$1:$I$89,3,0)*0.475*44/12</f>
        <v>2.1520097978525428E-7</v>
      </c>
      <c r="BS176" s="22">
        <f t="shared" si="169"/>
        <v>66.97114774173599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2.2737367544323206E-13</v>
      </c>
      <c r="BZ176" s="13">
        <f>BY176*VLOOKUP('Données projet'!$B$12,Paramètres!$A$1:$I$89,3,0)*VLOOKUP('Données projet'!$B$12,Paramètres!$A$1:$I$89,5,0)</f>
        <v>1.5252226148732008E-13</v>
      </c>
      <c r="CA176" s="13">
        <f t="shared" si="170"/>
        <v>2.1814502464536512E-12</v>
      </c>
      <c r="CB176" s="20">
        <f t="shared" si="171"/>
        <v>4.0650021179971913E-12</v>
      </c>
      <c r="CC176" s="59">
        <f t="shared" si="119"/>
        <v>288.89331365275257</v>
      </c>
      <c r="CD176" s="59">
        <f ca="1">AVERAGE(OFFSET($CC$3,0,0,'Données projet'!$E$12+1,1))-AVERAGE(OFFSET($H$3,0,0,'Données projet'!$E$12+1,1))</f>
        <v>335.73816489539837</v>
      </c>
      <c r="CE176" s="59">
        <f t="shared" si="148"/>
        <v>254.09787950201044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10.757431770579149</v>
      </c>
      <c r="CL176" s="21">
        <f>EXP(-LN(2)/25)*CL175+(1-EXP(-LN(2)/25))/(LN(2)/25)*Calculateur!CG176*Calculateur!CI176*VLOOKUP('Données projet'!$B$12,Paramètres!$A$1:$I$89,3,0)*0.475*44/12</f>
        <v>6.6099588278527781</v>
      </c>
      <c r="CM176" s="21">
        <f>EXP(-LN(2)/2)*CM175+(1-EXP(-LN(2)/2))/(LN(2)/2)*CG176*CJ176*VLOOKUP('Données projet'!$B$12,Paramètres!$A$1:$I$89,3,0)*0.475*44/12</f>
        <v>1.6119732472515492E-8</v>
      </c>
      <c r="CN176" s="22">
        <f t="shared" si="172"/>
        <v>17.36739061455166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1.1368683772161603E-13</v>
      </c>
      <c r="CU176" s="17">
        <f>CT176*VLOOKUP('Données projet'!$B$13,Paramètres!$A$1:$I$89,3,0)*VLOOKUP('Données projet'!$B$13,Paramètres!$A$1:$I$89,5,0)</f>
        <v>6.7984728957526396E-14</v>
      </c>
      <c r="CV176" s="13">
        <f t="shared" si="173"/>
        <v>1.0682447123141398E-12</v>
      </c>
      <c r="CW176" s="20">
        <f t="shared" si="174"/>
        <v>1.978932943548152E-12</v>
      </c>
      <c r="CX176" s="59">
        <f t="shared" si="122"/>
        <v>288.89331365275046</v>
      </c>
      <c r="CY176" s="59">
        <f ca="1">AVERAGE(OFFSET($CX$3,0,0,'Données projet'!$E$13+1,1))-AVERAGE(OFFSET($H$3,0,0,'Données projet'!$E$13+1,1))</f>
        <v>318.50474972254085</v>
      </c>
      <c r="CZ176" s="59">
        <f t="shared" si="150"/>
        <v>326.45858332753562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14.81524390227078</v>
      </c>
      <c r="DG176" s="21">
        <f>EXP(-LN(2)/25)*DG175+(1-EXP(-LN(2)/25))/(LN(2)/25)*Calculateur!DB176*Calculateur!DD176*VLOOKUP('Données projet'!$B$13,Paramètres!$A$1:$I$89,3,0)*0.475*44/12</f>
        <v>2.1113157920583516</v>
      </c>
      <c r="DH176" s="21">
        <f>EXP(-LN(2)/2)*DH175+(1-EXP(-LN(2)/2))/(LN(2)/2)*DB176*DE176*VLOOKUP('Données projet'!$B$13,Paramètres!$A$1:$I$89,3,0)*0.475*44/12</f>
        <v>5.8840630742966053E-16</v>
      </c>
      <c r="DI176" s="22">
        <f t="shared" si="175"/>
        <v>16.926559694329132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3">
        <f>'Scénario référence'!$B$16*5+'Scénario référence'!$B$17*0+'Scénario référence'!$B$18*5</f>
        <v>5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67">
        <f t="shared" si="110"/>
        <v>183.33333333333334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5.6843418860808015E-14</v>
      </c>
      <c r="O177" s="13">
        <f>N177*VLOOKUP('Données projet'!$B$9,Paramètres!$A$1:$I$89,3,0)*VLOOKUP('Données projet'!$B$9,Paramètres!$A$1:$I$89,5,0)</f>
        <v>5.1431925385259088E-14</v>
      </c>
      <c r="P177" s="13">
        <f t="shared" si="141"/>
        <v>8.3482866290946129E-13</v>
      </c>
      <c r="Q177" s="20">
        <f t="shared" si="162"/>
        <v>1.5435705246133045E-12</v>
      </c>
      <c r="R177" s="59">
        <f t="shared" si="109"/>
        <v>288.97033806781127</v>
      </c>
      <c r="S177" s="59">
        <f ca="1">AVERAGE(OFFSET($R$3,0,0,'Données projet'!$E$9+1,1))-AVERAGE(OFFSET($H$3,0,0,'Données projet'!$E$9+1,1))</f>
        <v>214.60547318405733</v>
      </c>
      <c r="T177" s="59">
        <f t="shared" si="142"/>
        <v>306.35874106546646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1.2130309323446846</v>
      </c>
      <c r="AA177" s="21">
        <f>EXP(-LN(2)/25)*AA176+(1-EXP(-LN(2)/25))/(LN(2)/25)*Calculateur!V177*Calculateur!X177*VLOOKUP('Données projet'!$B$9,Paramètres!$A$1:$I$89,3,0)*0.475*44/12</f>
        <v>0.36967339976378105</v>
      </c>
      <c r="AB177" s="21">
        <f>EXP(-LN(2)/2)*AB176+(1-EXP(-LN(2)/2))/(LN(2)/2)*V177*Y177*VLOOKUP('Données projet'!$B$9,Paramètres!$A$1:$I$89,3,0)*0.475*44/12</f>
        <v>5.2862549786187822E-19</v>
      </c>
      <c r="AC177" s="22">
        <f t="shared" si="163"/>
        <v>1.5827043321084657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>
        <f>VLOOKUP(A177,'Données projet'!$A$61:$I$81,2,0)</f>
        <v>610.52</v>
      </c>
      <c r="AG177" s="12">
        <f>VLOOKUP(A177,'Données projet'!$A$61:$I$81,9,0)</f>
        <v>9.6220000000000034</v>
      </c>
      <c r="AH177" s="12">
        <f t="array" ref="AH177">INDEX(AG:AG,MIN(IF(ISNUMBER(AG177:AG373),ROW(AG177:AG373),"")))</f>
        <v>9.6220000000000034</v>
      </c>
      <c r="AI177" s="13">
        <f>IF('Données projet'!$A$62&gt;35,AI176+AH177-AQ176,IF(A177&lt;'Données projet'!$A$62,$AF$205^A177,IF(A177='Données projet'!$A$62,'Données projet'!$B$62,AI176+AH177-AQ176)))</f>
        <v>610.52000000000089</v>
      </c>
      <c r="AJ177" s="13">
        <f>AI177*VLOOKUP('Données projet'!$B$10,Paramètres!$A$1:$I$89,3,0)*VLOOKUP('Données projet'!$B$10,Paramètres!$A$1:$I$89,5,0)</f>
        <v>619.06728000000089</v>
      </c>
      <c r="AK177" s="13">
        <f t="shared" si="164"/>
        <v>134.99933513219278</v>
      </c>
      <c r="AL177" s="20">
        <f t="shared" si="165"/>
        <v>1313.332688021904</v>
      </c>
      <c r="AM177" s="59">
        <f t="shared" si="113"/>
        <v>1602.3030260897137</v>
      </c>
      <c r="AN177" s="59">
        <f ca="1">AVERAGE(OFFSET($AM$3,0,0,'Données projet'!$E$10+1,1))-AVERAGE(OFFSET($H$3,0,0,'Données projet'!$E$10+1,1))</f>
        <v>752.45542076695506</v>
      </c>
      <c r="AO177" s="59">
        <f t="shared" si="144"/>
        <v>329.70629768420724</v>
      </c>
      <c r="AP177" s="15">
        <f>IF(ISNA(VLOOKUP(A177,'Données projet'!$A$61:$I$81,3,0)),0,VLOOKUP(A177,'Données projet'!$A$61:$I$81,3,0))</f>
        <v>15</v>
      </c>
      <c r="AQ177" s="15">
        <f>IF(ISNA(VLOOKUP(A177,'Données projet'!$A$61:$I$81,4,0)),0,VLOOKUP(A177,'Données projet'!$A$61:$I$81,4,0))</f>
        <v>240</v>
      </c>
      <c r="AR177" s="16">
        <f>IF(ISNA(VLOOKUP(A177,'Données projet'!$A$61:$I$81,5,0)),0%,VLOOKUP(A177,'Données projet'!$A$61:$I$81,5,0)*VLOOKUP('Données projet'!$B$10,Paramètres!$A$1:$I$89,7,0))</f>
        <v>0.19350000000000001</v>
      </c>
      <c r="AS177" s="16">
        <f>IF(ISNA(VLOOKUP(A177,'Données projet'!$A$61:$I$81,6,0)),0%,VLOOKUP(A177,'Données projet'!$A$61:$I$81,6,0)*VLOOKUP('Données projet'!$B$10,Paramètres!$A$1:$I$89,7,0))</f>
        <v>2.1500000000000002E-2</v>
      </c>
      <c r="AT177" s="16">
        <f>IF(ISNA(VLOOKUP(A177,'Données projet'!$A$61:$I$81,7,0)),0%,VLOOKUP(A177,'Données projet'!$A$61:$I$81,7,0))</f>
        <v>0.05</v>
      </c>
      <c r="AU177" s="21">
        <f>EXP(-LN(2)/35)*AU176+(1-EXP(-LN(2)/35))/(LN(2)/35)*AQ177*AR177*VLOOKUP('Données projet'!$B$10,Paramètres!$A$1:$I$89,3,0)*0.475*44/12</f>
        <v>105.94216644426993</v>
      </c>
      <c r="AV177" s="21">
        <f>EXP(-LN(2)/25)*AV176+(1-EXP(-LN(2)/25))/(LN(2)/25)*Calculateur!AQ177*Calculateur!AS177*VLOOKUP('Données projet'!$B$10,Paramètres!$A$1:$I$89,3,0)*0.475*44/12</f>
        <v>25.30261957716338</v>
      </c>
      <c r="AW177" s="21">
        <f>EXP(-LN(2)/2)*AW176+(1-EXP(-LN(2)/2))/(LN(2)/2)*AQ177*AT177*VLOOKUP('Données projet'!$B$10,Paramètres!$A$1:$I$89,3,0)*0.475*44/12</f>
        <v>11.480835667453793</v>
      </c>
      <c r="AX177" s="21">
        <f t="shared" si="166"/>
        <v>142.72562168888709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>
        <f>VLOOKUP(A177,'Données projet'!$A$87:$I$107,2,0)</f>
        <v>610.52</v>
      </c>
      <c r="BB177" s="12">
        <f>VLOOKUP(A177,'Données projet'!$A$87:$I$107,9,0)</f>
        <v>9.6220000000000034</v>
      </c>
      <c r="BC177" s="12">
        <f t="array" ref="BC177">INDEX(BB:BB,MIN(IF(ISNUMBER(BB177:BB373),ROW(BB177:BB373),"")))</f>
        <v>9.6220000000000034</v>
      </c>
      <c r="BD177" s="12">
        <f>IF('Données projet'!$A$88&gt;35,BD176+BC177-BL176,IF(A177&lt;'Données projet'!$A$88,$BA$205^A177,IF(A177='Données projet'!$A$88,'Données projet'!$B$88,BD176+BC177-BL176)))</f>
        <v>610.52000000000089</v>
      </c>
      <c r="BE177" s="13">
        <f>BD177*VLOOKUP('Données projet'!$B$11,Paramètres!$A$1:$I$89,3,0)*VLOOKUP('Données projet'!$B$11,Paramètres!$A$1:$I$89,5,0)</f>
        <v>552.3984960000007</v>
      </c>
      <c r="BF177" s="13">
        <f t="shared" si="167"/>
        <v>122.06927432492597</v>
      </c>
      <c r="BG177" s="20">
        <f t="shared" si="168"/>
        <v>1174.698033315914</v>
      </c>
      <c r="BH177" s="59">
        <f t="shared" si="116"/>
        <v>1463.6683713837238</v>
      </c>
      <c r="BI177" s="59">
        <f ca="1">AVERAGE(OFFSET($BH$3,0,0,'Données projet'!$E$11+1,1))-AVERAGE(OFFSET($H$3,0,0,'Données projet'!$E$11+1,1))</f>
        <v>681.47578137804555</v>
      </c>
      <c r="BJ177" s="59">
        <f t="shared" si="146"/>
        <v>300.88511065995885</v>
      </c>
      <c r="BK177" s="15">
        <f>IF(ISNA(VLOOKUP(A177,'Données projet'!$A$87:$I$107,3,0)),0,VLOOKUP(A177,'Données projet'!$A$87:$I$107,3,0))</f>
        <v>15</v>
      </c>
      <c r="BL177" s="15">
        <f>IF(ISNA(VLOOKUP(A177,'Données projet'!$A$87:$I$107,4,0)),0,VLOOKUP(A177,'Données projet'!$A$87:$I$107,4,0))</f>
        <v>240</v>
      </c>
      <c r="BM177" s="16">
        <f>IF(ISNA(VLOOKUP(A177,'Données projet'!$A$87:$I$107,5,0)),0%,VLOOKUP(A177,'Données projet'!$A$87:$I$107,5,0)*VLOOKUP('Données projet'!$B$11,Paramètres!$A$1:$I$89,7,0))</f>
        <v>0.19350000000000001</v>
      </c>
      <c r="BN177" s="16">
        <f>IF(ISNA(VLOOKUP(A177,'Données projet'!$A$87:$I$107,6,0)),0%,VLOOKUP(A177,'Données projet'!$A$87:$I$107,6,0)*VLOOKUP('Données projet'!$B$11,Paramètres!$A$1:$I$89,7,0))</f>
        <v>2.1500000000000002E-2</v>
      </c>
      <c r="BO177" s="16">
        <f>IF(ISNA(VLOOKUP(A177,'Données projet'!$A$87:$I$107,7,0)),0%,VLOOKUP(A177,'Données projet'!$A$87:$I$107,7,0))</f>
        <v>0.05</v>
      </c>
      <c r="BP177" s="21">
        <f>EXP(-LN(2)/35)*BP176+(1-EXP(-LN(2)/35))/(LN(2)/35)*BL177*BM177*VLOOKUP('Données projet'!$B$11,Paramètres!$A$1:$I$89,3,0)*0.475*44/12</f>
        <v>94.533010057963907</v>
      </c>
      <c r="BQ177" s="21">
        <f>EXP(-LN(2)/25)*BQ176+(1-EXP(-LN(2)/25))/(LN(2)/25)*Calculateur!BL177*Calculateur!BN177*VLOOKUP('Données projet'!$B$11,Paramètres!$A$1:$I$89,3,0)*0.475*44/12</f>
        <v>22.577722084238086</v>
      </c>
      <c r="BR177" s="21">
        <f>EXP(-LN(2)/2)*BR176+(1-EXP(-LN(2)/2))/(LN(2)/2)*BL177*BO177*VLOOKUP('Données projet'!$B$11,Paramètres!$A$1:$I$89,3,0)*0.475*44/12</f>
        <v>10.244437980189536</v>
      </c>
      <c r="BS177" s="22">
        <f t="shared" si="169"/>
        <v>127.35517012239153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2.2737367544323206E-13</v>
      </c>
      <c r="BZ177" s="13">
        <f>BY177*VLOOKUP('Données projet'!$B$12,Paramètres!$A$1:$I$89,3,0)*VLOOKUP('Données projet'!$B$12,Paramètres!$A$1:$I$89,5,0)</f>
        <v>1.5252226148732008E-13</v>
      </c>
      <c r="CA177" s="13">
        <f t="shared" si="170"/>
        <v>2.1814502464536512E-12</v>
      </c>
      <c r="CB177" s="20">
        <f t="shared" si="171"/>
        <v>4.0650021179971913E-12</v>
      </c>
      <c r="CC177" s="59">
        <f t="shared" si="119"/>
        <v>288.97033806781383</v>
      </c>
      <c r="CD177" s="59">
        <f ca="1">AVERAGE(OFFSET($CC$3,0,0,'Données projet'!$E$12+1,1))-AVERAGE(OFFSET($H$3,0,0,'Données projet'!$E$12+1,1))</f>
        <v>335.73816489539837</v>
      </c>
      <c r="CE177" s="59">
        <f t="shared" si="148"/>
        <v>254.09787950201044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10.54648509494359</v>
      </c>
      <c r="CL177" s="21">
        <f>EXP(-LN(2)/25)*CL176+(1-EXP(-LN(2)/25))/(LN(2)/25)*Calculateur!CG177*Calculateur!CI177*VLOOKUP('Données projet'!$B$12,Paramètres!$A$1:$I$89,3,0)*0.475*44/12</f>
        <v>6.429209156102516</v>
      </c>
      <c r="CM177" s="21">
        <f>EXP(-LN(2)/2)*CM176+(1-EXP(-LN(2)/2))/(LN(2)/2)*CG177*CJ177*VLOOKUP('Données projet'!$B$12,Paramètres!$A$1:$I$89,3,0)*0.475*44/12</f>
        <v>1.1398372142228697E-8</v>
      </c>
      <c r="CN177" s="22">
        <f t="shared" si="172"/>
        <v>16.975694262444481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1.1368683772161603E-13</v>
      </c>
      <c r="CU177" s="17">
        <f>CT177*VLOOKUP('Données projet'!$B$13,Paramètres!$A$1:$I$89,3,0)*VLOOKUP('Données projet'!$B$13,Paramètres!$A$1:$I$89,5,0)</f>
        <v>6.7984728957526396E-14</v>
      </c>
      <c r="CV177" s="13">
        <f t="shared" si="173"/>
        <v>1.0682447123141398E-12</v>
      </c>
      <c r="CW177" s="20">
        <f t="shared" si="174"/>
        <v>1.978932943548152E-12</v>
      </c>
      <c r="CX177" s="59">
        <f t="shared" si="122"/>
        <v>288.97033806781172</v>
      </c>
      <c r="CY177" s="59">
        <f ca="1">AVERAGE(OFFSET($CX$3,0,0,'Données projet'!$E$13+1,1))-AVERAGE(OFFSET($H$3,0,0,'Données projet'!$E$13+1,1))</f>
        <v>318.50474972254085</v>
      </c>
      <c r="CZ177" s="59">
        <f t="shared" si="150"/>
        <v>326.45858332753562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14.524726005753759</v>
      </c>
      <c r="DG177" s="21">
        <f>EXP(-LN(2)/25)*DG176+(1-EXP(-LN(2)/25))/(LN(2)/25)*Calculateur!DB177*Calculateur!DD177*VLOOKUP('Données projet'!$B$13,Paramètres!$A$1:$I$89,3,0)*0.475*44/12</f>
        <v>2.0535817506952441</v>
      </c>
      <c r="DH177" s="21">
        <f>EXP(-LN(2)/2)*DH176+(1-EXP(-LN(2)/2))/(LN(2)/2)*DB177*DE177*VLOOKUP('Données projet'!$B$13,Paramètres!$A$1:$I$89,3,0)*0.475*44/12</f>
        <v>4.1606609007644939E-16</v>
      </c>
      <c r="DI177" s="22">
        <f t="shared" si="175"/>
        <v>16.578307756449004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3">
        <f>'Scénario référence'!$B$16*5+'Scénario référence'!$B$17*0+'Scénario référence'!$B$18*5</f>
        <v>5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67">
        <f t="shared" si="110"/>
        <v>183.33333333333334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5.6843418860808015E-14</v>
      </c>
      <c r="O178" s="13">
        <f>N178*VLOOKUP('Données projet'!$B$9,Paramètres!$A$1:$I$89,3,0)*VLOOKUP('Données projet'!$B$9,Paramètres!$A$1:$I$89,5,0)</f>
        <v>5.1431925385259088E-14</v>
      </c>
      <c r="P178" s="13">
        <f t="shared" si="141"/>
        <v>8.3482866290946129E-13</v>
      </c>
      <c r="Q178" s="20">
        <f t="shared" si="162"/>
        <v>1.5435705246133045E-12</v>
      </c>
      <c r="R178" s="59">
        <f t="shared" si="109"/>
        <v>289.04602628147194</v>
      </c>
      <c r="S178" s="59">
        <f ca="1">AVERAGE(OFFSET($R$3,0,0,'Données projet'!$E$9+1,1))-AVERAGE(OFFSET($H$3,0,0,'Données projet'!$E$9+1,1))</f>
        <v>214.60547318405733</v>
      </c>
      <c r="T178" s="59">
        <f t="shared" si="142"/>
        <v>306.35874106546646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1.1892441356372174</v>
      </c>
      <c r="AA178" s="21">
        <f>EXP(-LN(2)/25)*AA177+(1-EXP(-LN(2)/25))/(LN(2)/25)*Calculateur!V178*Calculateur!X178*VLOOKUP('Données projet'!$B$9,Paramètres!$A$1:$I$89,3,0)*0.475*44/12</f>
        <v>0.35956466120696129</v>
      </c>
      <c r="AB178" s="21">
        <f>EXP(-LN(2)/2)*AB177+(1-EXP(-LN(2)/2))/(LN(2)/2)*V178*Y178*VLOOKUP('Données projet'!$B$9,Paramètres!$A$1:$I$89,3,0)*0.475*44/12</f>
        <v>3.7379467424624887E-19</v>
      </c>
      <c r="AC178" s="22">
        <f t="shared" si="163"/>
        <v>1.5488087968441788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6.140000000000005</v>
      </c>
      <c r="AI178" s="13">
        <f>IF('Données projet'!$A$62&gt;35,AI177+AH178-AQ177,IF(A178&lt;'Données projet'!$A$62,$AF$205^A178,IF(A178='Données projet'!$A$62,'Données projet'!$B$62,AI177+AH178-AQ177)))</f>
        <v>376.66000000000088</v>
      </c>
      <c r="AJ178" s="13">
        <f>AI178*VLOOKUP('Données projet'!$B$10,Paramètres!$A$1:$I$89,3,0)*VLOOKUP('Données projet'!$B$10,Paramètres!$A$1:$I$89,5,0)</f>
        <v>381.93324000000092</v>
      </c>
      <c r="AK178" s="13">
        <f t="shared" si="164"/>
        <v>88.104112736615605</v>
      </c>
      <c r="AL178" s="20">
        <f t="shared" si="165"/>
        <v>818.64838934960699</v>
      </c>
      <c r="AM178" s="59">
        <f t="shared" si="113"/>
        <v>1107.6944156310774</v>
      </c>
      <c r="AN178" s="59">
        <f ca="1">AVERAGE(OFFSET($AM$3,0,0,'Données projet'!$E$10+1,1))-AVERAGE(OFFSET($H$3,0,0,'Données projet'!$E$10+1,1))</f>
        <v>752.45542076695506</v>
      </c>
      <c r="AO178" s="59">
        <f t="shared" si="144"/>
        <v>329.70629768420724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103.8647051786388</v>
      </c>
      <c r="AV178" s="21">
        <f>EXP(-LN(2)/25)*AV177+(1-EXP(-LN(2)/25))/(LN(2)/25)*Calculateur!AQ178*Calculateur!AS178*VLOOKUP('Données projet'!$B$10,Paramètres!$A$1:$I$89,3,0)*0.475*44/12</f>
        <v>24.610718114218916</v>
      </c>
      <c r="AW178" s="21">
        <f>EXP(-LN(2)/2)*AW177+(1-EXP(-LN(2)/2))/(LN(2)/2)*AQ178*AT178*VLOOKUP('Données projet'!$B$10,Paramètres!$A$1:$I$89,3,0)*0.475*44/12</f>
        <v>8.1181767541449599</v>
      </c>
      <c r="AX178" s="21">
        <f t="shared" si="166"/>
        <v>136.5936000470027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6.140000000000005</v>
      </c>
      <c r="BD178" s="12">
        <f>IF('Données projet'!$A$88&gt;35,BD177+BC178-BL177,IF(A178&lt;'Données projet'!$A$88,$BA$205^A178,IF(A178='Données projet'!$A$88,'Données projet'!$B$88,BD177+BC178-BL177)))</f>
        <v>376.66000000000088</v>
      </c>
      <c r="BE178" s="13">
        <f>BD178*VLOOKUP('Données projet'!$B$11,Paramètres!$A$1:$I$89,3,0)*VLOOKUP('Données projet'!$B$11,Paramètres!$A$1:$I$89,5,0)</f>
        <v>340.80196800000078</v>
      </c>
      <c r="BF178" s="13">
        <f t="shared" si="167"/>
        <v>79.665615362245418</v>
      </c>
      <c r="BG178" s="20">
        <f t="shared" si="168"/>
        <v>732.31437435591215</v>
      </c>
      <c r="BH178" s="59">
        <f t="shared" si="116"/>
        <v>1021.3604006373826</v>
      </c>
      <c r="BI178" s="59">
        <f ca="1">AVERAGE(OFFSET($BH$3,0,0,'Données projet'!$E$11+1,1))-AVERAGE(OFFSET($H$3,0,0,'Données projet'!$E$11+1,1))</f>
        <v>681.47578137804555</v>
      </c>
      <c r="BJ178" s="59">
        <f t="shared" si="146"/>
        <v>300.88511065995885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92.679275390169977</v>
      </c>
      <c r="BQ178" s="21">
        <f>EXP(-LN(2)/25)*BQ177+(1-EXP(-LN(2)/25))/(LN(2)/25)*Calculateur!BL178*Calculateur!BN178*VLOOKUP('Données projet'!$B$11,Paramètres!$A$1:$I$89,3,0)*0.475*44/12</f>
        <v>21.960333086533794</v>
      </c>
      <c r="BR178" s="21">
        <f>EXP(-LN(2)/2)*BR177+(1-EXP(-LN(2)/2))/(LN(2)/2)*BL178*BO178*VLOOKUP('Données projet'!$B$11,Paramètres!$A$1:$I$89,3,0)*0.475*44/12</f>
        <v>7.2439115652370401</v>
      </c>
      <c r="BS178" s="22">
        <f t="shared" si="169"/>
        <v>121.88352004194081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2.2737367544323206E-13</v>
      </c>
      <c r="BZ178" s="13">
        <f>BY178*VLOOKUP('Données projet'!$B$12,Paramètres!$A$1:$I$89,3,0)*VLOOKUP('Données projet'!$B$12,Paramètres!$A$1:$I$89,5,0)</f>
        <v>1.5252226148732008E-13</v>
      </c>
      <c r="CA178" s="13">
        <f t="shared" si="170"/>
        <v>2.1814502464536512E-12</v>
      </c>
      <c r="CB178" s="20">
        <f t="shared" si="171"/>
        <v>4.0650021179971913E-12</v>
      </c>
      <c r="CC178" s="59">
        <f t="shared" si="119"/>
        <v>289.0460262814745</v>
      </c>
      <c r="CD178" s="59">
        <f ca="1">AVERAGE(OFFSET($CC$3,0,0,'Données projet'!$E$12+1,1))-AVERAGE(OFFSET($H$3,0,0,'Données projet'!$E$12+1,1))</f>
        <v>335.73816489539837</v>
      </c>
      <c r="CE178" s="59">
        <f t="shared" si="148"/>
        <v>254.09787950201044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10.339674954952475</v>
      </c>
      <c r="CL178" s="21">
        <f>EXP(-LN(2)/25)*CL177+(1-EXP(-LN(2)/25))/(LN(2)/25)*Calculateur!CG178*Calculateur!CI178*VLOOKUP('Données projet'!$B$12,Paramètres!$A$1:$I$89,3,0)*0.475*44/12</f>
        <v>6.2534020936314771</v>
      </c>
      <c r="CM178" s="21">
        <f>EXP(-LN(2)/2)*CM177+(1-EXP(-LN(2)/2))/(LN(2)/2)*CG178*CJ178*VLOOKUP('Données projet'!$B$12,Paramètres!$A$1:$I$89,3,0)*0.475*44/12</f>
        <v>8.059866236257746E-9</v>
      </c>
      <c r="CN178" s="22">
        <f t="shared" si="172"/>
        <v>16.593077056643818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1.1368683772161603E-13</v>
      </c>
      <c r="CU178" s="17">
        <f>CT178*VLOOKUP('Données projet'!$B$13,Paramètres!$A$1:$I$89,3,0)*VLOOKUP('Données projet'!$B$13,Paramètres!$A$1:$I$89,5,0)</f>
        <v>6.7984728957526396E-14</v>
      </c>
      <c r="CV178" s="13">
        <f t="shared" si="173"/>
        <v>1.0682447123141398E-12</v>
      </c>
      <c r="CW178" s="20">
        <f t="shared" si="174"/>
        <v>1.978932943548152E-12</v>
      </c>
      <c r="CX178" s="59">
        <f t="shared" si="122"/>
        <v>289.04602628147239</v>
      </c>
      <c r="CY178" s="59">
        <f ca="1">AVERAGE(OFFSET($CX$3,0,0,'Données projet'!$E$13+1,1))-AVERAGE(OFFSET($H$3,0,0,'Données projet'!$E$13+1,1))</f>
        <v>318.50474972254085</v>
      </c>
      <c r="CZ178" s="59">
        <f t="shared" si="150"/>
        <v>326.45858332753562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14.239904987989018</v>
      </c>
      <c r="DG178" s="21">
        <f>EXP(-LN(2)/25)*DG177+(1-EXP(-LN(2)/25))/(LN(2)/25)*Calculateur!DB178*Calculateur!DD178*VLOOKUP('Données projet'!$B$13,Paramètres!$A$1:$I$89,3,0)*0.475*44/12</f>
        <v>1.9974264497293119</v>
      </c>
      <c r="DH178" s="21">
        <f>EXP(-LN(2)/2)*DH177+(1-EXP(-LN(2)/2))/(LN(2)/2)*DB178*DE178*VLOOKUP('Données projet'!$B$13,Paramètres!$A$1:$I$89,3,0)*0.475*44/12</f>
        <v>2.9420315371483027E-16</v>
      </c>
      <c r="DI178" s="22">
        <f t="shared" si="175"/>
        <v>16.237331437718328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3">
        <f>'Scénario référence'!$B$16*5+'Scénario référence'!$B$17*0+'Scénario référence'!$B$18*5</f>
        <v>5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67">
        <f t="shared" si="110"/>
        <v>183.33333333333334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5.6843418860808015E-14</v>
      </c>
      <c r="O179" s="13">
        <f>N179*VLOOKUP('Données projet'!$B$9,Paramètres!$A$1:$I$89,3,0)*VLOOKUP('Données projet'!$B$9,Paramètres!$A$1:$I$89,5,0)</f>
        <v>5.1431925385259088E-14</v>
      </c>
      <c r="P179" s="13">
        <f t="shared" si="141"/>
        <v>8.3482866290946129E-13</v>
      </c>
      <c r="Q179" s="20">
        <f t="shared" si="162"/>
        <v>1.5435705246133045E-12</v>
      </c>
      <c r="R179" s="59">
        <f t="shared" si="109"/>
        <v>289.12040147383914</v>
      </c>
      <c r="S179" s="59">
        <f ca="1">AVERAGE(OFFSET($R$3,0,0,'Données projet'!$E$9+1,1))-AVERAGE(OFFSET($H$3,0,0,'Données projet'!$E$9+1,1))</f>
        <v>214.60547318405733</v>
      </c>
      <c r="T179" s="59">
        <f t="shared" si="142"/>
        <v>306.35874106546646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1.1659237835046703</v>
      </c>
      <c r="AA179" s="21">
        <f>EXP(-LN(2)/25)*AA178+(1-EXP(-LN(2)/25))/(LN(2)/25)*Calculateur!V179*Calculateur!X179*VLOOKUP('Données projet'!$B$9,Paramètres!$A$1:$I$89,3,0)*0.475*44/12</f>
        <v>0.34973234663757319</v>
      </c>
      <c r="AB179" s="21">
        <f>EXP(-LN(2)/2)*AB178+(1-EXP(-LN(2)/2))/(LN(2)/2)*V179*Y179*VLOOKUP('Données projet'!$B$9,Paramètres!$A$1:$I$89,3,0)*0.475*44/12</f>
        <v>2.6431274893093911E-19</v>
      </c>
      <c r="AC179" s="22">
        <f t="shared" si="163"/>
        <v>1.5156561301422435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6.140000000000005</v>
      </c>
      <c r="AI179" s="13">
        <f>IF('Données projet'!$A$62&gt;35,AI178+AH179-AQ178,IF(A179&lt;'Données projet'!$A$62,$AF$205^A179,IF(A179='Données projet'!$A$62,'Données projet'!$B$62,AI178+AH179-AQ178)))</f>
        <v>382.80000000000086</v>
      </c>
      <c r="AJ179" s="13">
        <f>AI179*VLOOKUP('Données projet'!$B$10,Paramètres!$A$1:$I$89,3,0)*VLOOKUP('Données projet'!$B$10,Paramètres!$A$1:$I$89,5,0)</f>
        <v>388.15920000000091</v>
      </c>
      <c r="AK179" s="13">
        <f t="shared" si="164"/>
        <v>89.37194271202209</v>
      </c>
      <c r="AL179" s="20">
        <f t="shared" si="165"/>
        <v>831.70007355677342</v>
      </c>
      <c r="AM179" s="59">
        <f t="shared" si="113"/>
        <v>1120.8204750306111</v>
      </c>
      <c r="AN179" s="59">
        <f ca="1">AVERAGE(OFFSET($AM$3,0,0,'Données projet'!$E$10+1,1))-AVERAGE(OFFSET($H$3,0,0,'Données projet'!$E$10+1,1))</f>
        <v>752.45542076695506</v>
      </c>
      <c r="AO179" s="59">
        <f t="shared" si="144"/>
        <v>329.70629768420724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101.82798166130044</v>
      </c>
      <c r="AV179" s="21">
        <f>EXP(-LN(2)/25)*AV178+(1-EXP(-LN(2)/25))/(LN(2)/25)*Calculateur!AQ179*Calculateur!AS179*VLOOKUP('Données projet'!$B$10,Paramètres!$A$1:$I$89,3,0)*0.475*44/12</f>
        <v>23.937736733164183</v>
      </c>
      <c r="AW179" s="21">
        <f>EXP(-LN(2)/2)*AW178+(1-EXP(-LN(2)/2))/(LN(2)/2)*AQ179*AT179*VLOOKUP('Données projet'!$B$10,Paramètres!$A$1:$I$89,3,0)*0.475*44/12</f>
        <v>5.7404178337268972</v>
      </c>
      <c r="AX179" s="21">
        <f t="shared" si="166"/>
        <v>131.50613622819154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6.140000000000005</v>
      </c>
      <c r="BD179" s="12">
        <f>IF('Données projet'!$A$88&gt;35,BD178+BC179-BL178,IF(A179&lt;'Données projet'!$A$88,$BA$205^A179,IF(A179='Données projet'!$A$88,'Données projet'!$B$88,BD178+BC179-BL178)))</f>
        <v>382.80000000000086</v>
      </c>
      <c r="BE179" s="13">
        <f>BD179*VLOOKUP('Données projet'!$B$11,Paramètres!$A$1:$I$89,3,0)*VLOOKUP('Données projet'!$B$11,Paramètres!$A$1:$I$89,5,0)</f>
        <v>346.35744000000079</v>
      </c>
      <c r="BF179" s="13">
        <f t="shared" si="167"/>
        <v>80.812014230904367</v>
      </c>
      <c r="BG179" s="20">
        <f t="shared" si="168"/>
        <v>743.98679945215974</v>
      </c>
      <c r="BH179" s="59">
        <f t="shared" si="116"/>
        <v>1033.1072009259974</v>
      </c>
      <c r="BI179" s="59">
        <f ca="1">AVERAGE(OFFSET($BH$3,0,0,'Données projet'!$E$11+1,1))-AVERAGE(OFFSET($H$3,0,0,'Données projet'!$E$11+1,1))</f>
        <v>681.47578137804555</v>
      </c>
      <c r="BJ179" s="59">
        <f t="shared" si="146"/>
        <v>300.88511065995885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90.861891328544985</v>
      </c>
      <c r="BQ179" s="21">
        <f>EXP(-LN(2)/25)*BQ178+(1-EXP(-LN(2)/25))/(LN(2)/25)*Calculateur!BL179*Calculateur!BN179*VLOOKUP('Données projet'!$B$11,Paramètres!$A$1:$I$89,3,0)*0.475*44/12</f>
        <v>21.359826623438803</v>
      </c>
      <c r="BR179" s="21">
        <f>EXP(-LN(2)/2)*BR178+(1-EXP(-LN(2)/2))/(LN(2)/2)*BL179*BO179*VLOOKUP('Données projet'!$B$11,Paramètres!$A$1:$I$89,3,0)*0.475*44/12</f>
        <v>5.122218990094769</v>
      </c>
      <c r="BS179" s="22">
        <f t="shared" si="169"/>
        <v>117.34393694207856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2.2737367544323206E-13</v>
      </c>
      <c r="BZ179" s="13">
        <f>BY179*VLOOKUP('Données projet'!$B$12,Paramètres!$A$1:$I$89,3,0)*VLOOKUP('Données projet'!$B$12,Paramètres!$A$1:$I$89,5,0)</f>
        <v>1.5252226148732008E-13</v>
      </c>
      <c r="CA179" s="13">
        <f t="shared" si="170"/>
        <v>2.1814502464536512E-12</v>
      </c>
      <c r="CB179" s="20">
        <f t="shared" si="171"/>
        <v>4.0650021179971913E-12</v>
      </c>
      <c r="CC179" s="59">
        <f t="shared" si="119"/>
        <v>289.1204014738417</v>
      </c>
      <c r="CD179" s="59">
        <f ca="1">AVERAGE(OFFSET($CC$3,0,0,'Données projet'!$E$12+1,1))-AVERAGE(OFFSET($H$3,0,0,'Données projet'!$E$12+1,1))</f>
        <v>335.73816489539837</v>
      </c>
      <c r="CE179" s="59">
        <f t="shared" si="148"/>
        <v>254.09787950201044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10.136920235664856</v>
      </c>
      <c r="CL179" s="21">
        <f>EXP(-LN(2)/25)*CL178+(1-EXP(-LN(2)/25))/(LN(2)/25)*Calculateur!CG179*Calculateur!CI179*VLOOKUP('Données projet'!$B$12,Paramètres!$A$1:$I$89,3,0)*0.475*44/12</f>
        <v>6.082402484529001</v>
      </c>
      <c r="CM179" s="21">
        <f>EXP(-LN(2)/2)*CM178+(1-EXP(-LN(2)/2))/(LN(2)/2)*CG179*CJ179*VLOOKUP('Données projet'!$B$12,Paramètres!$A$1:$I$89,3,0)*0.475*44/12</f>
        <v>5.6991860711143485E-9</v>
      </c>
      <c r="CN179" s="22">
        <f t="shared" si="172"/>
        <v>16.219322725893043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1.1368683772161603E-13</v>
      </c>
      <c r="CU179" s="17">
        <f>CT179*VLOOKUP('Données projet'!$B$13,Paramètres!$A$1:$I$89,3,0)*VLOOKUP('Données projet'!$B$13,Paramètres!$A$1:$I$89,5,0)</f>
        <v>6.7984728957526396E-14</v>
      </c>
      <c r="CV179" s="13">
        <f t="shared" si="173"/>
        <v>1.0682447123141398E-12</v>
      </c>
      <c r="CW179" s="20">
        <f t="shared" si="174"/>
        <v>1.978932943548152E-12</v>
      </c>
      <c r="CX179" s="59">
        <f t="shared" si="122"/>
        <v>289.12040147383959</v>
      </c>
      <c r="CY179" s="59">
        <f ca="1">AVERAGE(OFFSET($CX$3,0,0,'Données projet'!$E$13+1,1))-AVERAGE(OFFSET($H$3,0,0,'Données projet'!$E$13+1,1))</f>
        <v>318.50474972254085</v>
      </c>
      <c r="CZ179" s="59">
        <f t="shared" si="150"/>
        <v>326.45858332753562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13.960669136658975</v>
      </c>
      <c r="DG179" s="21">
        <f>EXP(-LN(2)/25)*DG178+(1-EXP(-LN(2)/25))/(LN(2)/25)*Calculateur!DB179*Calculateur!DD179*VLOOKUP('Données projet'!$B$13,Paramètres!$A$1:$I$89,3,0)*0.475*44/12</f>
        <v>1.942806718421372</v>
      </c>
      <c r="DH179" s="21">
        <f>EXP(-LN(2)/2)*DH178+(1-EXP(-LN(2)/2))/(LN(2)/2)*DB179*DE179*VLOOKUP('Données projet'!$B$13,Paramètres!$A$1:$I$89,3,0)*0.475*44/12</f>
        <v>2.0803304503822469E-16</v>
      </c>
      <c r="DI179" s="22">
        <f t="shared" si="175"/>
        <v>15.903475855080346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3">
        <f>'Scénario référence'!$B$16*5+'Scénario référence'!$B$17*0+'Scénario référence'!$B$18*5</f>
        <v>5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67">
        <f t="shared" si="110"/>
        <v>183.33333333333334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5.6843418860808015E-14</v>
      </c>
      <c r="O180" s="13">
        <f>N180*VLOOKUP('Données projet'!$B$9,Paramètres!$A$1:$I$89,3,0)*VLOOKUP('Données projet'!$B$9,Paramètres!$A$1:$I$89,5,0)</f>
        <v>5.1431925385259088E-14</v>
      </c>
      <c r="P180" s="13">
        <f t="shared" si="141"/>
        <v>8.3482866290946129E-13</v>
      </c>
      <c r="Q180" s="20">
        <f t="shared" si="162"/>
        <v>1.5435705246133045E-12</v>
      </c>
      <c r="R180" s="59">
        <f t="shared" si="109"/>
        <v>289.1934864228968</v>
      </c>
      <c r="S180" s="59">
        <f ca="1">AVERAGE(OFFSET($R$3,0,0,'Données projet'!$E$9+1,1))-AVERAGE(OFFSET($H$3,0,0,'Données projet'!$E$9+1,1))</f>
        <v>214.60547318405733</v>
      </c>
      <c r="T180" s="59">
        <f t="shared" si="142"/>
        <v>306.35874106546646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1.1430607292534321</v>
      </c>
      <c r="AA180" s="21">
        <f>EXP(-LN(2)/25)*AA179+(1-EXP(-LN(2)/25))/(LN(2)/25)*Calculateur!V180*Calculateur!X180*VLOOKUP('Données projet'!$B$9,Paramètres!$A$1:$I$89,3,0)*0.475*44/12</f>
        <v>0.34016889722714394</v>
      </c>
      <c r="AB180" s="21">
        <f>EXP(-LN(2)/2)*AB179+(1-EXP(-LN(2)/2))/(LN(2)/2)*V180*Y180*VLOOKUP('Données projet'!$B$9,Paramètres!$A$1:$I$89,3,0)*0.475*44/12</f>
        <v>1.8689733712312444E-19</v>
      </c>
      <c r="AC180" s="22">
        <f t="shared" si="163"/>
        <v>1.483229626480576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>
        <f>VLOOKUP(A180,'Données projet'!$A$61:$I$81,2,0)</f>
        <v>388.94</v>
      </c>
      <c r="AG180" s="12">
        <f>VLOOKUP(A180,'Données projet'!$A$61:$I$81,9,0)</f>
        <v>6.140000000000005</v>
      </c>
      <c r="AH180" s="12">
        <f t="array" ref="AH180">INDEX(AG:AG,MIN(IF(ISNUMBER(AG180:AG376),ROW(AG180:AG376),"")))</f>
        <v>6.140000000000005</v>
      </c>
      <c r="AI180" s="13">
        <f>IF('Données projet'!$A$62&gt;35,AI179+AH180-AQ179,IF(A180&lt;'Données projet'!$A$62,$AF$205^A180,IF(A180='Données projet'!$A$62,'Données projet'!$B$62,AI179+AH180-AQ179)))</f>
        <v>388.94000000000085</v>
      </c>
      <c r="AJ180" s="13">
        <f>AI180*VLOOKUP('Données projet'!$B$10,Paramètres!$A$1:$I$89,3,0)*VLOOKUP('Données projet'!$B$10,Paramètres!$A$1:$I$89,5,0)</f>
        <v>394.38516000000089</v>
      </c>
      <c r="AK180" s="13">
        <f t="shared" si="164"/>
        <v>90.637407722136572</v>
      </c>
      <c r="AL180" s="20">
        <f t="shared" si="165"/>
        <v>844.74763878272279</v>
      </c>
      <c r="AM180" s="59">
        <f t="shared" si="113"/>
        <v>1133.9411252056179</v>
      </c>
      <c r="AN180" s="59">
        <f ca="1">AVERAGE(OFFSET($AM$3,0,0,'Données projet'!$E$10+1,1))-AVERAGE(OFFSET($H$3,0,0,'Données projet'!$E$10+1,1))</f>
        <v>752.45542076695506</v>
      </c>
      <c r="AO180" s="59">
        <f t="shared" si="144"/>
        <v>329.70629768420724</v>
      </c>
      <c r="AP180" s="15">
        <f>IF(ISNA(VLOOKUP(A180,'Données projet'!$A$61:$I$81,3,0)),0,VLOOKUP(A180,'Données projet'!$A$61:$I$81,3,0))</f>
        <v>16</v>
      </c>
      <c r="AQ180" s="15">
        <f>IF(ISNA(VLOOKUP(A180,'Données projet'!$A$61:$I$81,4,0)),0,VLOOKUP(A180,'Données projet'!$A$61:$I$81,4,0))</f>
        <v>128.66000000000003</v>
      </c>
      <c r="AR180" s="16">
        <f>IF(ISNA(VLOOKUP(A180,'Données projet'!$A$61:$I$81,5,0)),0%,VLOOKUP(A180,'Données projet'!$A$61:$I$81,5,0)*VLOOKUP('Données projet'!$B$10,Paramètres!$A$1:$I$89,7,0))</f>
        <v>0.19350000000000001</v>
      </c>
      <c r="AS180" s="16">
        <f>IF(ISNA(VLOOKUP(A180,'Données projet'!$A$61:$I$81,6,0)),0%,VLOOKUP(A180,'Données projet'!$A$61:$I$81,6,0)*VLOOKUP('Données projet'!$B$10,Paramètres!$A$1:$I$89,7,0))</f>
        <v>2.1500000000000002E-2</v>
      </c>
      <c r="AT180" s="16">
        <f>IF(ISNA(VLOOKUP(A180,'Données projet'!$A$61:$I$81,7,0)),0%,VLOOKUP(A180,'Données projet'!$A$61:$I$81,7,0))</f>
        <v>0.05</v>
      </c>
      <c r="AU180" s="21">
        <f>EXP(-LN(2)/35)*AU179+(1-EXP(-LN(2)/35))/(LN(2)/35)*AQ180*AR180*VLOOKUP('Données projet'!$B$10,Paramètres!$A$1:$I$89,3,0)*0.475*44/12</f>
        <v>127.73796761205486</v>
      </c>
      <c r="AV180" s="21">
        <f>EXP(-LN(2)/25)*AV179+(1-EXP(-LN(2)/25))/(LN(2)/25)*Calculateur!AQ180*Calculateur!AS180*VLOOKUP('Données projet'!$B$10,Paramètres!$A$1:$I$89,3,0)*0.475*44/12</f>
        <v>26.371701504829375</v>
      </c>
      <c r="AW180" s="21">
        <f>EXP(-LN(2)/2)*AW179+(1-EXP(-LN(2)/2))/(LN(2)/2)*AQ180*AT180*VLOOKUP('Données projet'!$B$10,Paramètres!$A$1:$I$89,3,0)*0.475*44/12</f>
        <v>10.213772939712136</v>
      </c>
      <c r="AX180" s="21">
        <f t="shared" si="166"/>
        <v>164.32344205659635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>
        <f>VLOOKUP(A180,'Données projet'!$A$87:$I$107,2,0)</f>
        <v>388.94</v>
      </c>
      <c r="BB180" s="12">
        <f>VLOOKUP(A180,'Données projet'!$A$87:$I$107,9,0)</f>
        <v>6.140000000000005</v>
      </c>
      <c r="BC180" s="12">
        <f t="array" ref="BC180">INDEX(BB:BB,MIN(IF(ISNUMBER(BB180:BB376),ROW(BB180:BB376),"")))</f>
        <v>6.140000000000005</v>
      </c>
      <c r="BD180" s="12">
        <f>IF('Données projet'!$A$88&gt;35,BD179+BC180-BL179,IF(A180&lt;'Données projet'!$A$88,$BA$205^A180,IF(A180='Données projet'!$A$88,'Données projet'!$B$88,BD179+BC180-BL179)))</f>
        <v>388.94000000000085</v>
      </c>
      <c r="BE180" s="13">
        <f>BD180*VLOOKUP('Données projet'!$B$11,Paramètres!$A$1:$I$89,3,0)*VLOOKUP('Données projet'!$B$11,Paramètres!$A$1:$I$89,5,0)</f>
        <v>351.91291200000074</v>
      </c>
      <c r="BF180" s="13">
        <f t="shared" si="167"/>
        <v>81.956274647572329</v>
      </c>
      <c r="BG180" s="20">
        <f t="shared" si="168"/>
        <v>755.65550007785635</v>
      </c>
      <c r="BH180" s="59">
        <f t="shared" si="116"/>
        <v>1044.8489865007516</v>
      </c>
      <c r="BI180" s="59">
        <f ca="1">AVERAGE(OFFSET($BH$3,0,0,'Données projet'!$E$11+1,1))-AVERAGE(OFFSET($H$3,0,0,'Données projet'!$E$11+1,1))</f>
        <v>681.47578137804555</v>
      </c>
      <c r="BJ180" s="59">
        <f t="shared" si="146"/>
        <v>300.88511065995885</v>
      </c>
      <c r="BK180" s="15">
        <f>IF(ISNA(VLOOKUP(A180,'Données projet'!$A$87:$I$107,3,0)),0,VLOOKUP(A180,'Données projet'!$A$87:$I$107,3,0))</f>
        <v>16</v>
      </c>
      <c r="BL180" s="15">
        <f>IF(ISNA(VLOOKUP(A180,'Données projet'!$A$87:$I$107,4,0)),0,VLOOKUP(A180,'Données projet'!$A$87:$I$107,4,0))</f>
        <v>128.66000000000003</v>
      </c>
      <c r="BM180" s="16">
        <f>IF(ISNA(VLOOKUP(A180,'Données projet'!$A$87:$I$107,5,0)),0%,VLOOKUP(A180,'Données projet'!$A$87:$I$107,5,0)*VLOOKUP('Données projet'!$B$11,Paramètres!$A$1:$I$89,7,0))</f>
        <v>0.19350000000000001</v>
      </c>
      <c r="BN180" s="16">
        <f>IF(ISNA(VLOOKUP(A180,'Données projet'!$A$87:$I$107,6,0)),0%,VLOOKUP(A180,'Données projet'!$A$87:$I$107,6,0)*VLOOKUP('Données projet'!$B$11,Paramètres!$A$1:$I$89,7,0))</f>
        <v>2.1500000000000002E-2</v>
      </c>
      <c r="BO180" s="16">
        <f>IF(ISNA(VLOOKUP(A180,'Données projet'!$A$87:$I$107,7,0)),0%,VLOOKUP(A180,'Données projet'!$A$87:$I$107,7,0))</f>
        <v>0.05</v>
      </c>
      <c r="BP180" s="21">
        <f>EXP(-LN(2)/35)*BP179+(1-EXP(-LN(2)/35))/(LN(2)/35)*BL180*BM180*VLOOKUP('Données projet'!$B$11,Paramètres!$A$1:$I$89,3,0)*0.475*44/12</f>
        <v>113.98157109998739</v>
      </c>
      <c r="BQ180" s="21">
        <f>EXP(-LN(2)/25)*BQ179+(1-EXP(-LN(2)/25))/(LN(2)/25)*Calculateur!BL180*Calculateur!BN180*VLOOKUP('Données projet'!$B$11,Paramètres!$A$1:$I$89,3,0)*0.475*44/12</f>
        <v>23.531672112001587</v>
      </c>
      <c r="BR180" s="21">
        <f>EXP(-LN(2)/2)*BR179+(1-EXP(-LN(2)/2))/(LN(2)/2)*BL180*BO180*VLOOKUP('Données projet'!$B$11,Paramètres!$A$1:$I$89,3,0)*0.475*44/12</f>
        <v>9.1138281615892875</v>
      </c>
      <c r="BS180" s="22">
        <f t="shared" si="169"/>
        <v>146.62707137357827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2.2737367544323206E-13</v>
      </c>
      <c r="BZ180" s="13">
        <f>BY180*VLOOKUP('Données projet'!$B$12,Paramètres!$A$1:$I$89,3,0)*VLOOKUP('Données projet'!$B$12,Paramètres!$A$1:$I$89,5,0)</f>
        <v>1.5252226148732008E-13</v>
      </c>
      <c r="CA180" s="13">
        <f t="shared" si="170"/>
        <v>2.1814502464536512E-12</v>
      </c>
      <c r="CB180" s="20">
        <f t="shared" si="171"/>
        <v>4.0650021179971913E-12</v>
      </c>
      <c r="CC180" s="59">
        <f t="shared" si="119"/>
        <v>289.19348642289935</v>
      </c>
      <c r="CD180" s="59">
        <f ca="1">AVERAGE(OFFSET($CC$3,0,0,'Données projet'!$E$12+1,1))-AVERAGE(OFFSET($H$3,0,0,'Données projet'!$E$12+1,1))</f>
        <v>335.73816489539837</v>
      </c>
      <c r="CE180" s="59">
        <f t="shared" si="148"/>
        <v>254.09787950201044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9.9381414127543</v>
      </c>
      <c r="CL180" s="21">
        <f>EXP(-LN(2)/25)*CL179+(1-EXP(-LN(2)/25))/(LN(2)/25)*Calculateur!CG180*Calculateur!CI180*VLOOKUP('Données projet'!$B$12,Paramètres!$A$1:$I$89,3,0)*0.475*44/12</f>
        <v>5.91607886872991</v>
      </c>
      <c r="CM180" s="21">
        <f>EXP(-LN(2)/2)*CM179+(1-EXP(-LN(2)/2))/(LN(2)/2)*CG180*CJ180*VLOOKUP('Données projet'!$B$12,Paramètres!$A$1:$I$89,3,0)*0.475*44/12</f>
        <v>4.029933118128873E-9</v>
      </c>
      <c r="CN180" s="22">
        <f t="shared" si="172"/>
        <v>15.854220285514144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1.1368683772161603E-13</v>
      </c>
      <c r="CU180" s="17">
        <f>CT180*VLOOKUP('Données projet'!$B$13,Paramètres!$A$1:$I$89,3,0)*VLOOKUP('Données projet'!$B$13,Paramètres!$A$1:$I$89,5,0)</f>
        <v>6.7984728957526396E-14</v>
      </c>
      <c r="CV180" s="13">
        <f t="shared" si="173"/>
        <v>1.0682447123141398E-12</v>
      </c>
      <c r="CW180" s="20">
        <f t="shared" si="174"/>
        <v>1.978932943548152E-12</v>
      </c>
      <c r="CX180" s="59">
        <f t="shared" si="122"/>
        <v>289.19348642289725</v>
      </c>
      <c r="CY180" s="59">
        <f ca="1">AVERAGE(OFFSET($CX$3,0,0,'Données projet'!$E$13+1,1))-AVERAGE(OFFSET($H$3,0,0,'Données projet'!$E$13+1,1))</f>
        <v>318.50474972254085</v>
      </c>
      <c r="CZ180" s="59">
        <f t="shared" si="150"/>
        <v>326.45858332753562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13.686908930056463</v>
      </c>
      <c r="DG180" s="21">
        <f>EXP(-LN(2)/25)*DG179+(1-EXP(-LN(2)/25))/(LN(2)/25)*Calculateur!DB180*Calculateur!DD180*VLOOKUP('Données projet'!$B$13,Paramètres!$A$1:$I$89,3,0)*0.475*44/12</f>
        <v>1.8896805665383747</v>
      </c>
      <c r="DH180" s="21">
        <f>EXP(-LN(2)/2)*DH179+(1-EXP(-LN(2)/2))/(LN(2)/2)*DB180*DE180*VLOOKUP('Données projet'!$B$13,Paramètres!$A$1:$I$89,3,0)*0.475*44/12</f>
        <v>1.4710157685741513E-16</v>
      </c>
      <c r="DI180" s="22">
        <f t="shared" si="175"/>
        <v>15.576589496594838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3">
        <f>'Scénario référence'!$B$16*5+'Scénario référence'!$B$17*0+'Scénario référence'!$B$18*5</f>
        <v>5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67">
        <f t="shared" si="110"/>
        <v>183.33333333333334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5.6843418860808015E-14</v>
      </c>
      <c r="O181" s="13">
        <f>N181*VLOOKUP('Données projet'!$B$9,Paramètres!$A$1:$I$89,3,0)*VLOOKUP('Données projet'!$B$9,Paramètres!$A$1:$I$89,5,0)</f>
        <v>5.1431925385259088E-14</v>
      </c>
      <c r="P181" s="13">
        <f t="shared" si="141"/>
        <v>8.3482866290946129E-13</v>
      </c>
      <c r="Q181" s="20">
        <f t="shared" si="162"/>
        <v>1.5435705246133045E-12</v>
      </c>
      <c r="R181" s="59">
        <f t="shared" si="109"/>
        <v>289.2653035114817</v>
      </c>
      <c r="S181" s="59">
        <f ca="1">AVERAGE(OFFSET($R$3,0,0,'Données projet'!$E$9+1,1))-AVERAGE(OFFSET($H$3,0,0,'Données projet'!$E$9+1,1))</f>
        <v>214.60547318405733</v>
      </c>
      <c r="T181" s="59">
        <f t="shared" si="142"/>
        <v>306.35874106546646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1.1206460055509744</v>
      </c>
      <c r="AA181" s="21">
        <f>EXP(-LN(2)/25)*AA180+(1-EXP(-LN(2)/25))/(LN(2)/25)*Calculateur!V181*Calculateur!X181*VLOOKUP('Données projet'!$B$9,Paramètres!$A$1:$I$89,3,0)*0.475*44/12</f>
        <v>0.33086696084376283</v>
      </c>
      <c r="AB181" s="21">
        <f>EXP(-LN(2)/2)*AB180+(1-EXP(-LN(2)/2))/(LN(2)/2)*V181*Y181*VLOOKUP('Données projet'!$B$9,Paramètres!$A$1:$I$89,3,0)*0.475*44/12</f>
        <v>1.3215637446546955E-19</v>
      </c>
      <c r="AC181" s="22">
        <f t="shared" si="163"/>
        <v>1.4515129663947373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3.76000000000001</v>
      </c>
      <c r="AI181" s="13">
        <f>IF('Données projet'!$A$62&gt;35,AI180+AH181-AQ180,IF(A181&lt;'Données projet'!$A$62,$AF$205^A181,IF(A181='Données projet'!$A$62,'Données projet'!$B$62,AI180+AH181-AQ180)))</f>
        <v>264.04000000000082</v>
      </c>
      <c r="AJ181" s="13">
        <f>AI181*VLOOKUP('Données projet'!$B$10,Paramètres!$A$1:$I$89,3,0)*VLOOKUP('Données projet'!$B$10,Paramètres!$A$1:$I$89,5,0)</f>
        <v>267.73656000000085</v>
      </c>
      <c r="AK181" s="13">
        <f t="shared" si="164"/>
        <v>64.368675094258279</v>
      </c>
      <c r="AL181" s="20">
        <f t="shared" si="165"/>
        <v>578.41661778916796</v>
      </c>
      <c r="AM181" s="59">
        <f t="shared" si="113"/>
        <v>867.68192130064813</v>
      </c>
      <c r="AN181" s="59">
        <f ca="1">AVERAGE(OFFSET($AM$3,0,0,'Données projet'!$E$10+1,1))-AVERAGE(OFFSET($H$3,0,0,'Données projet'!$E$10+1,1))</f>
        <v>752.45542076695506</v>
      </c>
      <c r="AO181" s="59">
        <f t="shared" si="144"/>
        <v>329.70629768420724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125.23310397964948</v>
      </c>
      <c r="AV181" s="21">
        <f>EXP(-LN(2)/25)*AV180+(1-EXP(-LN(2)/25))/(LN(2)/25)*Calculateur!AQ181*Calculateur!AS181*VLOOKUP('Données projet'!$B$10,Paramètres!$A$1:$I$89,3,0)*0.475*44/12</f>
        <v>25.650565940352308</v>
      </c>
      <c r="AW181" s="21">
        <f>EXP(-LN(2)/2)*AW180+(1-EXP(-LN(2)/2))/(LN(2)/2)*AQ181*AT181*VLOOKUP('Données projet'!$B$10,Paramètres!$A$1:$I$89,3,0)*0.475*44/12</f>
        <v>7.2222281071701104</v>
      </c>
      <c r="AX181" s="21">
        <f t="shared" si="166"/>
        <v>158.10589802717192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3.76000000000001</v>
      </c>
      <c r="BD181" s="12">
        <f>IF('Données projet'!$A$88&gt;35,BD180+BC181-BL180,IF(A181&lt;'Données projet'!$A$88,$BA$205^A181,IF(A181='Données projet'!$A$88,'Données projet'!$B$88,BD180+BC181-BL180)))</f>
        <v>264.04000000000082</v>
      </c>
      <c r="BE181" s="13">
        <f>BD181*VLOOKUP('Données projet'!$B$11,Paramètres!$A$1:$I$89,3,0)*VLOOKUP('Données projet'!$B$11,Paramètres!$A$1:$I$89,5,0)</f>
        <v>238.90339200000074</v>
      </c>
      <c r="BF181" s="13">
        <f t="shared" si="167"/>
        <v>58.203527078995975</v>
      </c>
      <c r="BG181" s="20">
        <f t="shared" si="168"/>
        <v>517.46121739591933</v>
      </c>
      <c r="BH181" s="59">
        <f t="shared" si="116"/>
        <v>806.7265209073995</v>
      </c>
      <c r="BI181" s="59">
        <f ca="1">AVERAGE(OFFSET($BH$3,0,0,'Données projet'!$E$11+1,1))-AVERAGE(OFFSET($H$3,0,0,'Données projet'!$E$11+1,1))</f>
        <v>681.47578137804555</v>
      </c>
      <c r="BJ181" s="59">
        <f t="shared" si="146"/>
        <v>300.88511065995885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111.74646201261029</v>
      </c>
      <c r="BQ181" s="21">
        <f>EXP(-LN(2)/25)*BQ180+(1-EXP(-LN(2)/25))/(LN(2)/25)*Calculateur!BL181*Calculateur!BN181*VLOOKUP('Données projet'!$B$11,Paramètres!$A$1:$I$89,3,0)*0.475*44/12</f>
        <v>22.88819730062205</v>
      </c>
      <c r="BR181" s="21">
        <f>EXP(-LN(2)/2)*BR180+(1-EXP(-LN(2)/2))/(LN(2)/2)*BL181*BO181*VLOOKUP('Données projet'!$B$11,Paramètres!$A$1:$I$89,3,0)*0.475*44/12</f>
        <v>6.4444496956287116</v>
      </c>
      <c r="BS181" s="22">
        <f t="shared" si="169"/>
        <v>141.07910900886105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2.2737367544323206E-13</v>
      </c>
      <c r="BZ181" s="13">
        <f>BY181*VLOOKUP('Données projet'!$B$12,Paramètres!$A$1:$I$89,3,0)*VLOOKUP('Données projet'!$B$12,Paramètres!$A$1:$I$89,5,0)</f>
        <v>1.5252226148732008E-13</v>
      </c>
      <c r="CA181" s="13">
        <f t="shared" si="170"/>
        <v>2.1814502464536512E-12</v>
      </c>
      <c r="CB181" s="20">
        <f t="shared" si="171"/>
        <v>4.0650021179971913E-12</v>
      </c>
      <c r="CC181" s="59">
        <f t="shared" si="119"/>
        <v>289.26530351148426</v>
      </c>
      <c r="CD181" s="59">
        <f ca="1">AVERAGE(OFFSET($CC$3,0,0,'Données projet'!$E$12+1,1))-AVERAGE(OFFSET($H$3,0,0,'Données projet'!$E$12+1,1))</f>
        <v>335.73816489539837</v>
      </c>
      <c r="CE181" s="59">
        <f t="shared" si="148"/>
        <v>254.09787950201044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9.7432605213179091</v>
      </c>
      <c r="CL181" s="21">
        <f>EXP(-LN(2)/25)*CL180+(1-EXP(-LN(2)/25))/(LN(2)/25)*Calculateur!CG181*Calculateur!CI181*VLOOKUP('Données projet'!$B$12,Paramètres!$A$1:$I$89,3,0)*0.475*44/12</f>
        <v>5.7543033809514244</v>
      </c>
      <c r="CM181" s="21">
        <f>EXP(-LN(2)/2)*CM180+(1-EXP(-LN(2)/2))/(LN(2)/2)*CG181*CJ181*VLOOKUP('Données projet'!$B$12,Paramètres!$A$1:$I$89,3,0)*0.475*44/12</f>
        <v>2.8495930355571742E-9</v>
      </c>
      <c r="CN181" s="22">
        <f t="shared" si="172"/>
        <v>15.497563905118927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1.1368683772161603E-13</v>
      </c>
      <c r="CU181" s="17">
        <f>CT181*VLOOKUP('Données projet'!$B$13,Paramètres!$A$1:$I$89,3,0)*VLOOKUP('Données projet'!$B$13,Paramètres!$A$1:$I$89,5,0)</f>
        <v>6.7984728957526396E-14</v>
      </c>
      <c r="CV181" s="13">
        <f t="shared" si="173"/>
        <v>1.0682447123141398E-12</v>
      </c>
      <c r="CW181" s="20">
        <f t="shared" si="174"/>
        <v>1.978932943548152E-12</v>
      </c>
      <c r="CX181" s="59">
        <f t="shared" si="122"/>
        <v>289.26530351148216</v>
      </c>
      <c r="CY181" s="59">
        <f ca="1">AVERAGE(OFFSET($CX$3,0,0,'Données projet'!$E$13+1,1))-AVERAGE(OFFSET($H$3,0,0,'Données projet'!$E$13+1,1))</f>
        <v>318.50474972254085</v>
      </c>
      <c r="CZ181" s="59">
        <f t="shared" si="150"/>
        <v>326.45858332753562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13.418516994128188</v>
      </c>
      <c r="DG181" s="21">
        <f>EXP(-LN(2)/25)*DG180+(1-EXP(-LN(2)/25))/(LN(2)/25)*Calculateur!DB181*Calculateur!DD181*VLOOKUP('Données projet'!$B$13,Paramètres!$A$1:$I$89,3,0)*0.475*44/12</f>
        <v>1.8380071520724008</v>
      </c>
      <c r="DH181" s="21">
        <f>EXP(-LN(2)/2)*DH180+(1-EXP(-LN(2)/2))/(LN(2)/2)*DB181*DE181*VLOOKUP('Données projet'!$B$13,Paramètres!$A$1:$I$89,3,0)*0.475*44/12</f>
        <v>1.0401652251911235E-16</v>
      </c>
      <c r="DI181" s="22">
        <f t="shared" si="175"/>
        <v>15.256524146200588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3">
        <f>'Scénario référence'!$B$16*5+'Scénario référence'!$B$17*0+'Scénario référence'!$B$18*5</f>
        <v>5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67">
        <f t="shared" si="110"/>
        <v>183.33333333333334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5.6843418860808015E-14</v>
      </c>
      <c r="O182" s="13">
        <f>N182*VLOOKUP('Données projet'!$B$9,Paramètres!$A$1:$I$89,3,0)*VLOOKUP('Données projet'!$B$9,Paramètres!$A$1:$I$89,5,0)</f>
        <v>5.1431925385259088E-14</v>
      </c>
      <c r="P182" s="13">
        <f t="shared" si="141"/>
        <v>8.3482866290946129E-13</v>
      </c>
      <c r="Q182" s="20">
        <f t="shared" si="162"/>
        <v>1.5435705246133045E-12</v>
      </c>
      <c r="R182" s="59">
        <f t="shared" si="109"/>
        <v>289.33587473413866</v>
      </c>
      <c r="S182" s="59">
        <f ca="1">AVERAGE(OFFSET($R$3,0,0,'Données projet'!$E$9+1,1))-AVERAGE(OFFSET($H$3,0,0,'Données projet'!$E$9+1,1))</f>
        <v>214.60547318405733</v>
      </c>
      <c r="T182" s="59">
        <f t="shared" si="142"/>
        <v>306.35874106546646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1.0986708209086906</v>
      </c>
      <c r="AA182" s="21">
        <f>EXP(-LN(2)/25)*AA181+(1-EXP(-LN(2)/25))/(LN(2)/25)*Calculateur!V182*Calculateur!X182*VLOOKUP('Données projet'!$B$9,Paramètres!$A$1:$I$89,3,0)*0.475*44/12</f>
        <v>0.32181938639995289</v>
      </c>
      <c r="AB182" s="21">
        <f>EXP(-LN(2)/2)*AB181+(1-EXP(-LN(2)/2))/(LN(2)/2)*V182*Y182*VLOOKUP('Données projet'!$B$9,Paramètres!$A$1:$I$89,3,0)*0.475*44/12</f>
        <v>9.3448668561562218E-20</v>
      </c>
      <c r="AC182" s="22">
        <f t="shared" si="163"/>
        <v>1.4204902073086436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3.76000000000001</v>
      </c>
      <c r="AI182" s="13">
        <f>IF('Données projet'!$A$62&gt;35,AI181+AH182-AQ181,IF(A182&lt;'Données projet'!$A$62,$AF$205^A182,IF(A182='Données projet'!$A$62,'Données projet'!$B$62,AI181+AH182-AQ181)))</f>
        <v>267.80000000000081</v>
      </c>
      <c r="AJ182" s="13">
        <f>AI182*VLOOKUP('Données projet'!$B$10,Paramètres!$A$1:$I$89,3,0)*VLOOKUP('Données projet'!$B$10,Paramètres!$A$1:$I$89,5,0)</f>
        <v>271.54920000000084</v>
      </c>
      <c r="AK182" s="13">
        <f t="shared" si="164"/>
        <v>65.177939068610073</v>
      </c>
      <c r="AL182" s="20">
        <f t="shared" si="165"/>
        <v>586.46643387783058</v>
      </c>
      <c r="AM182" s="59">
        <f t="shared" si="113"/>
        <v>875.80230861196765</v>
      </c>
      <c r="AN182" s="59">
        <f ca="1">AVERAGE(OFFSET($AM$3,0,0,'Données projet'!$E$10+1,1))-AVERAGE(OFFSET($H$3,0,0,'Données projet'!$E$10+1,1))</f>
        <v>752.45542076695506</v>
      </c>
      <c r="AO182" s="59">
        <f t="shared" si="144"/>
        <v>329.70629768420724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122.77735919525963</v>
      </c>
      <c r="AV182" s="21">
        <f>EXP(-LN(2)/25)*AV181+(1-EXP(-LN(2)/25))/(LN(2)/25)*Calculateur!AQ182*Calculateur!AS182*VLOOKUP('Données projet'!$B$10,Paramètres!$A$1:$I$89,3,0)*0.475*44/12</f>
        <v>24.949149865808735</v>
      </c>
      <c r="AW182" s="21">
        <f>EXP(-LN(2)/2)*AW181+(1-EXP(-LN(2)/2))/(LN(2)/2)*AQ182*AT182*VLOOKUP('Données projet'!$B$10,Paramètres!$A$1:$I$89,3,0)*0.475*44/12</f>
        <v>5.106886469856069</v>
      </c>
      <c r="AX182" s="21">
        <f t="shared" si="166"/>
        <v>152.83339553092446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3.76000000000001</v>
      </c>
      <c r="BD182" s="12">
        <f>IF('Données projet'!$A$88&gt;35,BD181+BC182-BL181,IF(A182&lt;'Données projet'!$A$88,$BA$205^A182,IF(A182='Données projet'!$A$88,'Données projet'!$B$88,BD181+BC182-BL181)))</f>
        <v>267.80000000000081</v>
      </c>
      <c r="BE182" s="13">
        <f>BD182*VLOOKUP('Données projet'!$B$11,Paramètres!$A$1:$I$89,3,0)*VLOOKUP('Données projet'!$B$11,Paramètres!$A$1:$I$89,5,0)</f>
        <v>242.30544000000074</v>
      </c>
      <c r="BF182" s="13">
        <f t="shared" si="167"/>
        <v>58.935280802002858</v>
      </c>
      <c r="BG182" s="20">
        <f t="shared" si="168"/>
        <v>524.66092206348958</v>
      </c>
      <c r="BH182" s="59">
        <f t="shared" si="116"/>
        <v>813.99679679762676</v>
      </c>
      <c r="BI182" s="59">
        <f ca="1">AVERAGE(OFFSET($BH$3,0,0,'Données projet'!$E$11+1,1))-AVERAGE(OFFSET($H$3,0,0,'Données projet'!$E$11+1,1))</f>
        <v>681.47578137804555</v>
      </c>
      <c r="BJ182" s="59">
        <f t="shared" si="146"/>
        <v>300.88511065995885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109.55518205115473</v>
      </c>
      <c r="BQ182" s="21">
        <f>EXP(-LN(2)/25)*BQ181+(1-EXP(-LN(2)/25))/(LN(2)/25)*Calculateur!BL182*Calculateur!BN182*VLOOKUP('Données projet'!$B$11,Paramètres!$A$1:$I$89,3,0)*0.475*44/12</f>
        <v>22.262318341798554</v>
      </c>
      <c r="BR182" s="21">
        <f>EXP(-LN(2)/2)*BR181+(1-EXP(-LN(2)/2))/(LN(2)/2)*BL182*BO182*VLOOKUP('Données projet'!$B$11,Paramètres!$A$1:$I$89,3,0)*0.475*44/12</f>
        <v>4.5569140807946447</v>
      </c>
      <c r="BS182" s="22">
        <f t="shared" si="169"/>
        <v>136.37441447374795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2.2737367544323206E-13</v>
      </c>
      <c r="BZ182" s="13">
        <f>BY182*VLOOKUP('Données projet'!$B$12,Paramètres!$A$1:$I$89,3,0)*VLOOKUP('Données projet'!$B$12,Paramètres!$A$1:$I$89,5,0)</f>
        <v>1.5252226148732008E-13</v>
      </c>
      <c r="CA182" s="13">
        <f t="shared" si="170"/>
        <v>2.1814502464536512E-12</v>
      </c>
      <c r="CB182" s="20">
        <f t="shared" si="171"/>
        <v>4.0650021179971913E-12</v>
      </c>
      <c r="CC182" s="59">
        <f t="shared" si="119"/>
        <v>289.33587473414121</v>
      </c>
      <c r="CD182" s="59">
        <f ca="1">AVERAGE(OFFSET($CC$3,0,0,'Données projet'!$E$12+1,1))-AVERAGE(OFFSET($H$3,0,0,'Données projet'!$E$12+1,1))</f>
        <v>335.73816489539837</v>
      </c>
      <c r="CE182" s="59">
        <f t="shared" si="148"/>
        <v>254.09787950201044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9.5522011252969801</v>
      </c>
      <c r="CL182" s="21">
        <f>EXP(-LN(2)/25)*CL181+(1-EXP(-LN(2)/25))/(LN(2)/25)*Calculateur!CG182*Calculateur!CI182*VLOOKUP('Données projet'!$B$12,Paramètres!$A$1:$I$89,3,0)*0.475*44/12</f>
        <v>5.5969516523936447</v>
      </c>
      <c r="CM182" s="21">
        <f>EXP(-LN(2)/2)*CM181+(1-EXP(-LN(2)/2))/(LN(2)/2)*CG182*CJ182*VLOOKUP('Données projet'!$B$12,Paramètres!$A$1:$I$89,3,0)*0.475*44/12</f>
        <v>2.0149665590644365E-9</v>
      </c>
      <c r="CN182" s="22">
        <f t="shared" si="172"/>
        <v>15.14915277970559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1.1368683772161603E-13</v>
      </c>
      <c r="CU182" s="17">
        <f>CT182*VLOOKUP('Données projet'!$B$13,Paramètres!$A$1:$I$89,3,0)*VLOOKUP('Données projet'!$B$13,Paramètres!$A$1:$I$89,5,0)</f>
        <v>6.7984728957526396E-14</v>
      </c>
      <c r="CV182" s="13">
        <f t="shared" si="173"/>
        <v>1.0682447123141398E-12</v>
      </c>
      <c r="CW182" s="20">
        <f t="shared" si="174"/>
        <v>1.978932943548152E-12</v>
      </c>
      <c r="CX182" s="59">
        <f t="shared" si="122"/>
        <v>289.33587473413911</v>
      </c>
      <c r="CY182" s="59">
        <f ca="1">AVERAGE(OFFSET($CX$3,0,0,'Données projet'!$E$13+1,1))-AVERAGE(OFFSET($H$3,0,0,'Données projet'!$E$13+1,1))</f>
        <v>318.50474972254085</v>
      </c>
      <c r="CZ182" s="59">
        <f t="shared" si="150"/>
        <v>326.45858332753562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13.155388060360551</v>
      </c>
      <c r="DG182" s="21">
        <f>EXP(-LN(2)/25)*DG181+(1-EXP(-LN(2)/25))/(LN(2)/25)*Calculateur!DB182*Calculateur!DD182*VLOOKUP('Données projet'!$B$13,Paramètres!$A$1:$I$89,3,0)*0.475*44/12</f>
        <v>1.7877467498423858</v>
      </c>
      <c r="DH182" s="21">
        <f>EXP(-LN(2)/2)*DH181+(1-EXP(-LN(2)/2))/(LN(2)/2)*DB182*DE182*VLOOKUP('Données projet'!$B$13,Paramètres!$A$1:$I$89,3,0)*0.475*44/12</f>
        <v>7.3550788428707566E-17</v>
      </c>
      <c r="DI182" s="22">
        <f t="shared" si="175"/>
        <v>14.943134810202936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3">
        <f>'Scénario référence'!$B$16*5+'Scénario référence'!$B$17*0+'Scénario référence'!$B$18*5</f>
        <v>5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67">
        <f t="shared" si="110"/>
        <v>183.33333333333334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5.6843418860808015E-14</v>
      </c>
      <c r="O183" s="13">
        <f>N183*VLOOKUP('Données projet'!$B$9,Paramètres!$A$1:$I$89,3,0)*VLOOKUP('Données projet'!$B$9,Paramètres!$A$1:$I$89,5,0)</f>
        <v>5.1431925385259088E-14</v>
      </c>
      <c r="P183" s="13">
        <f t="shared" si="141"/>
        <v>8.3482866290946129E-13</v>
      </c>
      <c r="Q183" s="20">
        <f t="shared" si="162"/>
        <v>1.5435705246133045E-12</v>
      </c>
      <c r="R183" s="59">
        <f t="shared" si="109"/>
        <v>289.40522170385617</v>
      </c>
      <c r="S183" s="59">
        <f ca="1">AVERAGE(OFFSET($R$3,0,0,'Données projet'!$E$9+1,1))-AVERAGE(OFFSET($H$3,0,0,'Données projet'!$E$9+1,1))</f>
        <v>214.60547318405733</v>
      </c>
      <c r="T183" s="59">
        <f t="shared" si="142"/>
        <v>306.35874106546646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1.0771265562337029</v>
      </c>
      <c r="AA183" s="21">
        <f>EXP(-LN(2)/25)*AA182+(1-EXP(-LN(2)/25))/(LN(2)/25)*Calculateur!V183*Calculateur!X183*VLOOKUP('Données projet'!$B$9,Paramètres!$A$1:$I$89,3,0)*0.475*44/12</f>
        <v>0.31301921835510016</v>
      </c>
      <c r="AB183" s="21">
        <f>EXP(-LN(2)/2)*AB182+(1-EXP(-LN(2)/2))/(LN(2)/2)*V183*Y183*VLOOKUP('Données projet'!$B$9,Paramètres!$A$1:$I$89,3,0)*0.475*44/12</f>
        <v>6.6078187232734777E-20</v>
      </c>
      <c r="AC183" s="22">
        <f t="shared" si="163"/>
        <v>1.3901457745888031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>
        <f>VLOOKUP(A183,'Données projet'!$A$61:$I$81,2,0)</f>
        <v>271.56</v>
      </c>
      <c r="AG183" s="12">
        <f>VLOOKUP(A183,'Données projet'!$A$61:$I$81,9,0)</f>
        <v>3.76000000000001</v>
      </c>
      <c r="AH183" s="12">
        <f t="array" ref="AH183">INDEX(AG:AG,MIN(IF(ISNUMBER(AG183:AG379),ROW(AG183:AG379),"")))</f>
        <v>3.76000000000001</v>
      </c>
      <c r="AI183" s="13">
        <f>IF('Données projet'!$A$62&gt;35,AI182+AH183-AQ182,IF(A183&lt;'Données projet'!$A$62,$AF$205^A183,IF(A183='Données projet'!$A$62,'Données projet'!$B$62,AI182+AH183-AQ182)))</f>
        <v>271.5600000000008</v>
      </c>
      <c r="AJ183" s="13">
        <f>AI183*VLOOKUP('Données projet'!$B$10,Paramètres!$A$1:$I$89,3,0)*VLOOKUP('Données projet'!$B$10,Paramètres!$A$1:$I$89,5,0)</f>
        <v>275.36184000000083</v>
      </c>
      <c r="AK183" s="13">
        <f t="shared" si="164"/>
        <v>65.985881501741488</v>
      </c>
      <c r="AL183" s="20">
        <f t="shared" si="165"/>
        <v>594.51394828220111</v>
      </c>
      <c r="AM183" s="59">
        <f t="shared" si="113"/>
        <v>883.91916998605575</v>
      </c>
      <c r="AN183" s="59">
        <f ca="1">AVERAGE(OFFSET($AM$3,0,0,'Données projet'!$E$10+1,1))-AVERAGE(OFFSET($H$3,0,0,'Données projet'!$E$10+1,1))</f>
        <v>752.45542076695506</v>
      </c>
      <c r="AO183" s="59">
        <f t="shared" si="144"/>
        <v>329.70629768420724</v>
      </c>
      <c r="AP183" s="15">
        <f>IF(ISNA(VLOOKUP(A183,'Données projet'!$A$61:$I$81,3,0)),0,VLOOKUP(A183,'Données projet'!$A$61:$I$81,3,0))</f>
        <v>17</v>
      </c>
      <c r="AQ183" s="15">
        <f>IF(ISNA(VLOOKUP(A183,'Données projet'!$A$61:$I$81,4,0)),0,VLOOKUP(A183,'Données projet'!$A$61:$I$81,4,0))</f>
        <v>86.97</v>
      </c>
      <c r="AR183" s="16">
        <f>IF(ISNA(VLOOKUP(A183,'Données projet'!$A$61:$I$81,5,0)),0%,VLOOKUP(A183,'Données projet'!$A$61:$I$81,5,0)*VLOOKUP('Données projet'!$B$10,Paramètres!$A$1:$I$89,7,0))</f>
        <v>0.19350000000000001</v>
      </c>
      <c r="AS183" s="16">
        <f>IF(ISNA(VLOOKUP(A183,'Données projet'!$A$61:$I$81,6,0)),0%,VLOOKUP(A183,'Données projet'!$A$61:$I$81,6,0)*VLOOKUP('Données projet'!$B$10,Paramètres!$A$1:$I$89,7,0))</f>
        <v>2.1500000000000002E-2</v>
      </c>
      <c r="AT183" s="16">
        <f>IF(ISNA(VLOOKUP(A183,'Données projet'!$A$61:$I$81,7,0)),0%,VLOOKUP(A183,'Données projet'!$A$61:$I$81,7,0))</f>
        <v>0.05</v>
      </c>
      <c r="AU183" s="21">
        <f>EXP(-LN(2)/35)*AU182+(1-EXP(-LN(2)/35))/(LN(2)/35)*AQ183*AR183*VLOOKUP('Données projet'!$B$10,Paramètres!$A$1:$I$89,3,0)*0.475*44/12</f>
        <v>139.23384465081122</v>
      </c>
      <c r="AV183" s="21">
        <f>EXP(-LN(2)/25)*AV182+(1-EXP(-LN(2)/25))/(LN(2)/25)*Calculateur!AQ183*Calculateur!AS183*VLOOKUP('Données projet'!$B$10,Paramètres!$A$1:$I$89,3,0)*0.475*44/12</f>
        <v>26.35466955439481</v>
      </c>
      <c r="AW183" s="21">
        <f>EXP(-LN(2)/2)*AW182+(1-EXP(-LN(2)/2))/(LN(2)/2)*AQ183*AT183*VLOOKUP('Données projet'!$B$10,Paramètres!$A$1:$I$89,3,0)*0.475*44/12</f>
        <v>7.771481816780847</v>
      </c>
      <c r="AX183" s="21">
        <f t="shared" si="166"/>
        <v>173.35999602198686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>
        <f>VLOOKUP(A183,'Données projet'!$A$87:$I$107,2,0)</f>
        <v>271.56</v>
      </c>
      <c r="BB183" s="12">
        <f>VLOOKUP(A183,'Données projet'!$A$87:$I$107,9,0)</f>
        <v>3.76000000000001</v>
      </c>
      <c r="BC183" s="12">
        <f t="array" ref="BC183">INDEX(BB:BB,MIN(IF(ISNUMBER(BB183:BB379),ROW(BB183:BB379),"")))</f>
        <v>3.76000000000001</v>
      </c>
      <c r="BD183" s="12">
        <f>IF('Données projet'!$A$88&gt;35,BD182+BC183-BL182,IF(A183&lt;'Données projet'!$A$88,$BA$205^A183,IF(A183='Données projet'!$A$88,'Données projet'!$B$88,BD182+BC183-BL182)))</f>
        <v>271.5600000000008</v>
      </c>
      <c r="BE183" s="13">
        <f>BD183*VLOOKUP('Données projet'!$B$11,Paramètres!$A$1:$I$89,3,0)*VLOOKUP('Données projet'!$B$11,Paramètres!$A$1:$I$89,5,0)</f>
        <v>245.70748800000069</v>
      </c>
      <c r="BF183" s="13">
        <f t="shared" si="167"/>
        <v>59.665839559289225</v>
      </c>
      <c r="BG183" s="20">
        <f t="shared" si="168"/>
        <v>531.85854549909652</v>
      </c>
      <c r="BH183" s="59">
        <f t="shared" si="116"/>
        <v>821.26376720295116</v>
      </c>
      <c r="BI183" s="59">
        <f ca="1">AVERAGE(OFFSET($BH$3,0,0,'Données projet'!$E$11+1,1))-AVERAGE(OFFSET($H$3,0,0,'Données projet'!$E$11+1,1))</f>
        <v>681.47578137804555</v>
      </c>
      <c r="BJ183" s="59">
        <f t="shared" si="146"/>
        <v>300.88511065995885</v>
      </c>
      <c r="BK183" s="15">
        <f>IF(ISNA(VLOOKUP(A183,'Données projet'!$A$87:$I$107,3,0)),0,VLOOKUP(A183,'Données projet'!$A$87:$I$107,3,0))</f>
        <v>17</v>
      </c>
      <c r="BL183" s="15">
        <f>IF(ISNA(VLOOKUP(A183,'Données projet'!$A$87:$I$107,4,0)),0,VLOOKUP(A183,'Données projet'!$A$87:$I$107,4,0))</f>
        <v>86.97</v>
      </c>
      <c r="BM183" s="16">
        <f>IF(ISNA(VLOOKUP(A183,'Données projet'!$A$87:$I$107,5,0)),0%,VLOOKUP(A183,'Données projet'!$A$87:$I$107,5,0)*VLOOKUP('Données projet'!$B$11,Paramètres!$A$1:$I$89,7,0))</f>
        <v>0.19350000000000001</v>
      </c>
      <c r="BN183" s="16">
        <f>IF(ISNA(VLOOKUP(A183,'Données projet'!$A$87:$I$107,6,0)),0%,VLOOKUP(A183,'Données projet'!$A$87:$I$107,6,0)*VLOOKUP('Données projet'!$B$11,Paramètres!$A$1:$I$89,7,0))</f>
        <v>2.1500000000000002E-2</v>
      </c>
      <c r="BO183" s="16">
        <f>IF(ISNA(VLOOKUP(A183,'Données projet'!$A$87:$I$107,7,0)),0%,VLOOKUP(A183,'Données projet'!$A$87:$I$107,7,0))</f>
        <v>0.05</v>
      </c>
      <c r="BP183" s="21">
        <f>EXP(-LN(2)/35)*BP182+(1-EXP(-LN(2)/35))/(LN(2)/35)*BL183*BM183*VLOOKUP('Données projet'!$B$11,Paramètres!$A$1:$I$89,3,0)*0.475*44/12</f>
        <v>124.23943061149308</v>
      </c>
      <c r="BQ183" s="21">
        <f>EXP(-LN(2)/25)*BQ182+(1-EXP(-LN(2)/25))/(LN(2)/25)*Calculateur!BL183*Calculateur!BN183*VLOOKUP('Données projet'!$B$11,Paramètres!$A$1:$I$89,3,0)*0.475*44/12</f>
        <v>23.516474371613818</v>
      </c>
      <c r="BR183" s="21">
        <f>EXP(-LN(2)/2)*BR182+(1-EXP(-LN(2)/2))/(LN(2)/2)*BL183*BO183*VLOOKUP('Données projet'!$B$11,Paramètres!$A$1:$I$89,3,0)*0.475*44/12</f>
        <v>6.9345530057429094</v>
      </c>
      <c r="BS183" s="22">
        <f t="shared" si="169"/>
        <v>154.6904579888498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2.2737367544323206E-13</v>
      </c>
      <c r="BZ183" s="13">
        <f>BY183*VLOOKUP('Données projet'!$B$12,Paramètres!$A$1:$I$89,3,0)*VLOOKUP('Données projet'!$B$12,Paramètres!$A$1:$I$89,5,0)</f>
        <v>1.5252226148732008E-13</v>
      </c>
      <c r="CA183" s="13">
        <f t="shared" si="170"/>
        <v>2.1814502464536512E-12</v>
      </c>
      <c r="CB183" s="20">
        <f t="shared" si="171"/>
        <v>4.0650021179971913E-12</v>
      </c>
      <c r="CC183" s="59">
        <f t="shared" si="119"/>
        <v>289.40522170385873</v>
      </c>
      <c r="CD183" s="59">
        <f ca="1">AVERAGE(OFFSET($CC$3,0,0,'Données projet'!$E$12+1,1))-AVERAGE(OFFSET($H$3,0,0,'Données projet'!$E$12+1,1))</f>
        <v>335.73816489539837</v>
      </c>
      <c r="CE183" s="59">
        <f t="shared" si="148"/>
        <v>254.09787950201044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9.3648882874972958</v>
      </c>
      <c r="CL183" s="21">
        <f>EXP(-LN(2)/25)*CL182+(1-EXP(-LN(2)/25))/(LN(2)/25)*Calculateur!CG183*Calculateur!CI183*VLOOKUP('Données projet'!$B$12,Paramètres!$A$1:$I$89,3,0)*0.475*44/12</f>
        <v>5.4439027151280452</v>
      </c>
      <c r="CM183" s="21">
        <f>EXP(-LN(2)/2)*CM182+(1-EXP(-LN(2)/2))/(LN(2)/2)*CG183*CJ183*VLOOKUP('Données projet'!$B$12,Paramètres!$A$1:$I$89,3,0)*0.475*44/12</f>
        <v>1.4247965177785871E-9</v>
      </c>
      <c r="CN183" s="22">
        <f t="shared" si="172"/>
        <v>14.808791004050137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1.1368683772161603E-13</v>
      </c>
      <c r="CU183" s="17">
        <f>CT183*VLOOKUP('Données projet'!$B$13,Paramètres!$A$1:$I$89,3,0)*VLOOKUP('Données projet'!$B$13,Paramètres!$A$1:$I$89,5,0)</f>
        <v>6.7984728957526396E-14</v>
      </c>
      <c r="CV183" s="13">
        <f t="shared" si="173"/>
        <v>1.0682447123141398E-12</v>
      </c>
      <c r="CW183" s="20">
        <f t="shared" si="174"/>
        <v>1.978932943548152E-12</v>
      </c>
      <c r="CX183" s="59">
        <f t="shared" si="122"/>
        <v>289.40522170385663</v>
      </c>
      <c r="CY183" s="59">
        <f ca="1">AVERAGE(OFFSET($CX$3,0,0,'Données projet'!$E$13+1,1))-AVERAGE(OFFSET($H$3,0,0,'Données projet'!$E$13+1,1))</f>
        <v>318.50474972254085</v>
      </c>
      <c r="CZ183" s="59">
        <f t="shared" si="150"/>
        <v>326.45858332753562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12.897418924491294</v>
      </c>
      <c r="DG183" s="21">
        <f>EXP(-LN(2)/25)*DG182+(1-EXP(-LN(2)/25))/(LN(2)/25)*Calculateur!DB183*Calculateur!DD183*VLOOKUP('Données projet'!$B$13,Paramètres!$A$1:$I$89,3,0)*0.475*44/12</f>
        <v>1.7388607209544302</v>
      </c>
      <c r="DH183" s="21">
        <f>EXP(-LN(2)/2)*DH182+(1-EXP(-LN(2)/2))/(LN(2)/2)*DB183*DE183*VLOOKUP('Données projet'!$B$13,Paramètres!$A$1:$I$89,3,0)*0.475*44/12</f>
        <v>5.2008261259556173E-17</v>
      </c>
      <c r="DI183" s="22">
        <f t="shared" si="175"/>
        <v>14.636279645445725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3">
        <f>'Scénario référence'!$B$16*5+'Scénario référence'!$B$17*0+'Scénario référence'!$B$18*5</f>
        <v>5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67">
        <f t="shared" si="110"/>
        <v>183.33333333333334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5.6843418860808015E-14</v>
      </c>
      <c r="O184" s="13">
        <f>N184*VLOOKUP('Données projet'!$B$9,Paramètres!$A$1:$I$89,3,0)*VLOOKUP('Données projet'!$B$9,Paramètres!$A$1:$I$89,5,0)</f>
        <v>5.1431925385259088E-14</v>
      </c>
      <c r="P184" s="13">
        <f t="shared" si="141"/>
        <v>8.3482866290946129E-13</v>
      </c>
      <c r="Q184" s="20">
        <f t="shared" si="162"/>
        <v>1.5435705246133045E-12</v>
      </c>
      <c r="R184" s="59">
        <f t="shared" si="109"/>
        <v>289.47336565868562</v>
      </c>
      <c r="S184" s="59">
        <f ca="1">AVERAGE(OFFSET($R$3,0,0,'Données projet'!$E$9+1,1))-AVERAGE(OFFSET($H$3,0,0,'Données projet'!$E$9+1,1))</f>
        <v>214.60547318405733</v>
      </c>
      <c r="T184" s="59">
        <f t="shared" si="142"/>
        <v>306.35874106546646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1.0560047614482877</v>
      </c>
      <c r="AA184" s="21">
        <f>EXP(-LN(2)/25)*AA183+(1-EXP(-LN(2)/25))/(LN(2)/25)*Calculateur!V184*Calculateur!X184*VLOOKUP('Données projet'!$B$9,Paramètres!$A$1:$I$89,3,0)*0.475*44/12</f>
        <v>0.30445969136821466</v>
      </c>
      <c r="AB184" s="21">
        <f>EXP(-LN(2)/2)*AB183+(1-EXP(-LN(2)/2))/(LN(2)/2)*V184*Y184*VLOOKUP('Données projet'!$B$9,Paramètres!$A$1:$I$89,3,0)*0.475*44/12</f>
        <v>4.6724334280781109E-20</v>
      </c>
      <c r="AC184" s="22">
        <f t="shared" si="163"/>
        <v>1.3604644528165024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2.2933333333333317</v>
      </c>
      <c r="AI184" s="13">
        <f>IF('Données projet'!$A$62&gt;35,AI183+AH184-AQ183,IF(A184&lt;'Données projet'!$A$62,$AF$205^A184,IF(A184='Données projet'!$A$62,'Données projet'!$B$62,AI183+AH184-AQ183)))</f>
        <v>186.88333333333415</v>
      </c>
      <c r="AJ184" s="13">
        <f>AI184*VLOOKUP('Données projet'!$B$10,Paramètres!$A$1:$I$89,3,0)*VLOOKUP('Données projet'!$B$10,Paramètres!$A$1:$I$89,5,0)</f>
        <v>189.49970000000084</v>
      </c>
      <c r="AK184" s="13">
        <f t="shared" si="164"/>
        <v>47.42932665712091</v>
      </c>
      <c r="AL184" s="20">
        <f t="shared" si="165"/>
        <v>412.651388094487</v>
      </c>
      <c r="AM184" s="59">
        <f t="shared" si="113"/>
        <v>702.12475375317103</v>
      </c>
      <c r="AN184" s="59">
        <f ca="1">AVERAGE(OFFSET($AM$3,0,0,'Données projet'!$E$10+1,1))-AVERAGE(OFFSET($H$3,0,0,'Données projet'!$E$10+1,1))</f>
        <v>752.45542076695506</v>
      </c>
      <c r="AO184" s="59">
        <f t="shared" si="144"/>
        <v>329.70629768420724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136.50355388146846</v>
      </c>
      <c r="AV184" s="21">
        <f>EXP(-LN(2)/25)*AV183+(1-EXP(-LN(2)/25))/(LN(2)/25)*Calculateur!AQ184*Calculateur!AS184*VLOOKUP('Données projet'!$B$10,Paramètres!$A$1:$I$89,3,0)*0.475*44/12</f>
        <v>25.633999729498047</v>
      </c>
      <c r="AW184" s="21">
        <f>EXP(-LN(2)/2)*AW183+(1-EXP(-LN(2)/2))/(LN(2)/2)*AQ184*AT184*VLOOKUP('Données projet'!$B$10,Paramètres!$A$1:$I$89,3,0)*0.475*44/12</f>
        <v>5.4952674925136877</v>
      </c>
      <c r="AX184" s="21">
        <f t="shared" si="166"/>
        <v>167.63282110348018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2.2933333333333317</v>
      </c>
      <c r="BD184" s="12">
        <f>IF('Données projet'!$A$88&gt;35,BD183+BC184-BL183,IF(A184&lt;'Données projet'!$A$88,$BA$205^A184,IF(A184='Données projet'!$A$88,'Données projet'!$B$88,BD183+BC184-BL183)))</f>
        <v>186.88333333333415</v>
      </c>
      <c r="BE184" s="13">
        <f>BD184*VLOOKUP('Données projet'!$B$11,Paramètres!$A$1:$I$89,3,0)*VLOOKUP('Données projet'!$B$11,Paramètres!$A$1:$I$89,5,0)</f>
        <v>169.09204000000074</v>
      </c>
      <c r="BF184" s="13">
        <f t="shared" si="167"/>
        <v>42.886607412438856</v>
      </c>
      <c r="BG184" s="20">
        <f t="shared" si="168"/>
        <v>369.1961442433323</v>
      </c>
      <c r="BH184" s="59">
        <f t="shared" si="116"/>
        <v>658.66950990201644</v>
      </c>
      <c r="BI184" s="59">
        <f ca="1">AVERAGE(OFFSET($BH$3,0,0,'Données projet'!$E$11+1,1))-AVERAGE(OFFSET($H$3,0,0,'Données projet'!$E$11+1,1))</f>
        <v>681.47578137804555</v>
      </c>
      <c r="BJ184" s="59">
        <f t="shared" si="146"/>
        <v>300.88511065995885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121.80317115577186</v>
      </c>
      <c r="BQ184" s="21">
        <f>EXP(-LN(2)/25)*BQ183+(1-EXP(-LN(2)/25))/(LN(2)/25)*Calculateur!BL184*Calculateur!BN184*VLOOKUP('Données projet'!$B$11,Paramètres!$A$1:$I$89,3,0)*0.475*44/12</f>
        <v>22.873415143244397</v>
      </c>
      <c r="BR184" s="21">
        <f>EXP(-LN(2)/2)*BR183+(1-EXP(-LN(2)/2))/(LN(2)/2)*BL184*BO184*VLOOKUP('Données projet'!$B$11,Paramètres!$A$1:$I$89,3,0)*0.475*44/12</f>
        <v>4.9034694548583673</v>
      </c>
      <c r="BS184" s="22">
        <f t="shared" si="169"/>
        <v>149.58005575387463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2.2737367544323206E-13</v>
      </c>
      <c r="BZ184" s="13">
        <f>BY184*VLOOKUP('Données projet'!$B$12,Paramètres!$A$1:$I$89,3,0)*VLOOKUP('Données projet'!$B$12,Paramètres!$A$1:$I$89,5,0)</f>
        <v>1.5252226148732008E-13</v>
      </c>
      <c r="CA184" s="13">
        <f t="shared" si="170"/>
        <v>2.1814502464536512E-12</v>
      </c>
      <c r="CB184" s="20">
        <f t="shared" si="171"/>
        <v>4.0650021179971913E-12</v>
      </c>
      <c r="CC184" s="59">
        <f t="shared" si="119"/>
        <v>289.47336565868818</v>
      </c>
      <c r="CD184" s="59">
        <f ca="1">AVERAGE(OFFSET($CC$3,0,0,'Données projet'!$E$12+1,1))-AVERAGE(OFFSET($H$3,0,0,'Données projet'!$E$12+1,1))</f>
        <v>335.73816489539837</v>
      </c>
      <c r="CE184" s="59">
        <f t="shared" si="148"/>
        <v>254.09787950201044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9.1812485401973145</v>
      </c>
      <c r="CL184" s="21">
        <f>EXP(-LN(2)/25)*CL183+(1-EXP(-LN(2)/25))/(LN(2)/25)*Calculateur!CG184*Calculateur!CI184*VLOOKUP('Données projet'!$B$12,Paramètres!$A$1:$I$89,3,0)*0.475*44/12</f>
        <v>5.2950389091004677</v>
      </c>
      <c r="CM184" s="21">
        <f>EXP(-LN(2)/2)*CM183+(1-EXP(-LN(2)/2))/(LN(2)/2)*CG184*CJ184*VLOOKUP('Données projet'!$B$12,Paramètres!$A$1:$I$89,3,0)*0.475*44/12</f>
        <v>1.0074832795322182E-9</v>
      </c>
      <c r="CN184" s="22">
        <f t="shared" si="172"/>
        <v>14.476287450305266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1.1368683772161603E-13</v>
      </c>
      <c r="CU184" s="17">
        <f>CT184*VLOOKUP('Données projet'!$B$13,Paramètres!$A$1:$I$89,3,0)*VLOOKUP('Données projet'!$B$13,Paramètres!$A$1:$I$89,5,0)</f>
        <v>6.7984728957526396E-14</v>
      </c>
      <c r="CV184" s="13">
        <f t="shared" si="173"/>
        <v>1.0682447123141398E-12</v>
      </c>
      <c r="CW184" s="20">
        <f t="shared" si="174"/>
        <v>1.978932943548152E-12</v>
      </c>
      <c r="CX184" s="59">
        <f t="shared" si="122"/>
        <v>289.47336565868608</v>
      </c>
      <c r="CY184" s="59">
        <f ca="1">AVERAGE(OFFSET($CX$3,0,0,'Données projet'!$E$13+1,1))-AVERAGE(OFFSET($H$3,0,0,'Données projet'!$E$13+1,1))</f>
        <v>318.50474972254085</v>
      </c>
      <c r="CZ184" s="59">
        <f t="shared" si="150"/>
        <v>326.45858332753562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12.644508406030797</v>
      </c>
      <c r="DG184" s="21">
        <f>EXP(-LN(2)/25)*DG183+(1-EXP(-LN(2)/25))/(LN(2)/25)*Calculateur!DB184*Calculateur!DD184*VLOOKUP('Données projet'!$B$13,Paramètres!$A$1:$I$89,3,0)*0.475*44/12</f>
        <v>1.6913114830972202</v>
      </c>
      <c r="DH184" s="21">
        <f>EXP(-LN(2)/2)*DH183+(1-EXP(-LN(2)/2))/(LN(2)/2)*DB184*DE184*VLOOKUP('Données projet'!$B$13,Paramètres!$A$1:$I$89,3,0)*0.475*44/12</f>
        <v>3.6775394214353783E-17</v>
      </c>
      <c r="DI184" s="22">
        <f t="shared" si="175"/>
        <v>14.335819889128016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3">
        <f>'Scénario référence'!$B$16*5+'Scénario référence'!$B$17*0+'Scénario référence'!$B$18*5</f>
        <v>5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67">
        <f t="shared" si="110"/>
        <v>183.33333333333334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5.6843418860808015E-14</v>
      </c>
      <c r="O185" s="13">
        <f>N185*VLOOKUP('Données projet'!$B$9,Paramètres!$A$1:$I$89,3,0)*VLOOKUP('Données projet'!$B$9,Paramètres!$A$1:$I$89,5,0)</f>
        <v>5.1431925385259088E-14</v>
      </c>
      <c r="P185" s="13">
        <f t="shared" si="141"/>
        <v>8.3482866290946129E-13</v>
      </c>
      <c r="Q185" s="20">
        <f t="shared" si="162"/>
        <v>1.5435705246133045E-12</v>
      </c>
      <c r="R185" s="59">
        <f t="shared" si="109"/>
        <v>289.54032746824595</v>
      </c>
      <c r="S185" s="59">
        <f ca="1">AVERAGE(OFFSET($R$3,0,0,'Données projet'!$E$9+1,1))-AVERAGE(OFFSET($H$3,0,0,'Données projet'!$E$9+1,1))</f>
        <v>214.60547318405733</v>
      </c>
      <c r="T185" s="59">
        <f t="shared" si="142"/>
        <v>306.35874106546646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1.0352971521755918</v>
      </c>
      <c r="AA185" s="21">
        <f>EXP(-LN(2)/25)*AA184+(1-EXP(-LN(2)/25))/(LN(2)/25)*Calculateur!V185*Calculateur!X185*VLOOKUP('Données projet'!$B$9,Paramètres!$A$1:$I$89,3,0)*0.475*44/12</f>
        <v>0.29613422509691151</v>
      </c>
      <c r="AB185" s="21">
        <f>EXP(-LN(2)/2)*AB184+(1-EXP(-LN(2)/2))/(LN(2)/2)*V185*Y185*VLOOKUP('Données projet'!$B$9,Paramètres!$A$1:$I$89,3,0)*0.475*44/12</f>
        <v>3.3039093616367388E-20</v>
      </c>
      <c r="AC185" s="22">
        <f t="shared" si="163"/>
        <v>1.3314313772725033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2.2933333333333317</v>
      </c>
      <c r="AI185" s="13">
        <f>IF('Données projet'!$A$62&gt;35,AI184+AH185-AQ184,IF(A185&lt;'Données projet'!$A$62,$AF$205^A185,IF(A185='Données projet'!$A$62,'Données projet'!$B$62,AI184+AH185-AQ184)))</f>
        <v>189.17666666666747</v>
      </c>
      <c r="AJ185" s="13">
        <f>AI185*VLOOKUP('Données projet'!$B$10,Paramètres!$A$1:$I$89,3,0)*VLOOKUP('Données projet'!$B$10,Paramètres!$A$1:$I$89,5,0)</f>
        <v>191.82514000000083</v>
      </c>
      <c r="AK185" s="13">
        <f t="shared" si="164"/>
        <v>47.943240602417134</v>
      </c>
      <c r="AL185" s="20">
        <f t="shared" si="165"/>
        <v>417.59659621587792</v>
      </c>
      <c r="AM185" s="59">
        <f t="shared" si="113"/>
        <v>707.13692368412239</v>
      </c>
      <c r="AN185" s="59">
        <f ca="1">AVERAGE(OFFSET($AM$3,0,0,'Données projet'!$E$10+1,1))-AVERAGE(OFFSET($H$3,0,0,'Données projet'!$E$10+1,1))</f>
        <v>752.45542076695506</v>
      </c>
      <c r="AO185" s="59">
        <f t="shared" si="144"/>
        <v>329.70629768420724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133.82680244879958</v>
      </c>
      <c r="AV185" s="21">
        <f>EXP(-LN(2)/25)*AV184+(1-EXP(-LN(2)/25))/(LN(2)/25)*Calculateur!AQ185*Calculateur!AS185*VLOOKUP('Données projet'!$B$10,Paramètres!$A$1:$I$89,3,0)*0.475*44/12</f>
        <v>24.933036658861464</v>
      </c>
      <c r="AW185" s="21">
        <f>EXP(-LN(2)/2)*AW184+(1-EXP(-LN(2)/2))/(LN(2)/2)*AQ185*AT185*VLOOKUP('Données projet'!$B$10,Paramètres!$A$1:$I$89,3,0)*0.475*44/12</f>
        <v>3.885740908390424</v>
      </c>
      <c r="AX185" s="21">
        <f t="shared" si="166"/>
        <v>162.64558001605147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2.2933333333333317</v>
      </c>
      <c r="BD185" s="12">
        <f>IF('Données projet'!$A$88&gt;35,BD184+BC185-BL184,IF(A185&lt;'Données projet'!$A$88,$BA$205^A185,IF(A185='Données projet'!$A$88,'Données projet'!$B$88,BD184+BC185-BL184)))</f>
        <v>189.17666666666747</v>
      </c>
      <c r="BE185" s="13">
        <f>BD185*VLOOKUP('Données projet'!$B$11,Paramètres!$A$1:$I$89,3,0)*VLOOKUP('Données projet'!$B$11,Paramètres!$A$1:$I$89,5,0)</f>
        <v>171.16704800000073</v>
      </c>
      <c r="BF185" s="13">
        <f t="shared" si="167"/>
        <v>43.351299348190551</v>
      </c>
      <c r="BG185" s="20">
        <f t="shared" si="168"/>
        <v>373.61945496476648</v>
      </c>
      <c r="BH185" s="59">
        <f t="shared" si="116"/>
        <v>663.15978243301083</v>
      </c>
      <c r="BI185" s="59">
        <f ca="1">AVERAGE(OFFSET($BH$3,0,0,'Données projet'!$E$11+1,1))-AVERAGE(OFFSET($H$3,0,0,'Données projet'!$E$11+1,1))</f>
        <v>681.47578137804555</v>
      </c>
      <c r="BJ185" s="59">
        <f t="shared" si="146"/>
        <v>300.88511065995885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119.4146852620058</v>
      </c>
      <c r="BQ185" s="21">
        <f>EXP(-LN(2)/25)*BQ184+(1-EXP(-LN(2)/25))/(LN(2)/25)*Calculateur!BL185*Calculateur!BN185*VLOOKUP('Données projet'!$B$11,Paramètres!$A$1:$I$89,3,0)*0.475*44/12</f>
        <v>22.247940403291754</v>
      </c>
      <c r="BR185" s="21">
        <f>EXP(-LN(2)/2)*BR184+(1-EXP(-LN(2)/2))/(LN(2)/2)*BL185*BO185*VLOOKUP('Données projet'!$B$11,Paramètres!$A$1:$I$89,3,0)*0.475*44/12</f>
        <v>3.4672765028714552</v>
      </c>
      <c r="BS185" s="22">
        <f t="shared" si="169"/>
        <v>145.129902168169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2.2737367544323206E-13</v>
      </c>
      <c r="BZ185" s="13">
        <f>BY185*VLOOKUP('Données projet'!$B$12,Paramètres!$A$1:$I$89,3,0)*VLOOKUP('Données projet'!$B$12,Paramètres!$A$1:$I$89,5,0)</f>
        <v>1.5252226148732008E-13</v>
      </c>
      <c r="CA185" s="13">
        <f t="shared" si="170"/>
        <v>2.1814502464536512E-12</v>
      </c>
      <c r="CB185" s="20">
        <f t="shared" si="171"/>
        <v>4.0650021179971913E-12</v>
      </c>
      <c r="CC185" s="59">
        <f t="shared" si="119"/>
        <v>289.54032746824851</v>
      </c>
      <c r="CD185" s="59">
        <f ca="1">AVERAGE(OFFSET($CC$3,0,0,'Données projet'!$E$12+1,1))-AVERAGE(OFFSET($H$3,0,0,'Données projet'!$E$12+1,1))</f>
        <v>335.73816489539837</v>
      </c>
      <c r="CE185" s="59">
        <f t="shared" si="148"/>
        <v>254.09787950201044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9.0012098563327001</v>
      </c>
      <c r="CL185" s="21">
        <f>EXP(-LN(2)/25)*CL184+(1-EXP(-LN(2)/25))/(LN(2)/25)*Calculateur!CG185*Calculateur!CI185*VLOOKUP('Données projet'!$B$12,Paramètres!$A$1:$I$89,3,0)*0.475*44/12</f>
        <v>5.1502457916771212</v>
      </c>
      <c r="CM185" s="21">
        <f>EXP(-LN(2)/2)*CM184+(1-EXP(-LN(2)/2))/(LN(2)/2)*CG185*CJ185*VLOOKUP('Données projet'!$B$12,Paramètres!$A$1:$I$89,3,0)*0.475*44/12</f>
        <v>7.1239825888929356E-10</v>
      </c>
      <c r="CN185" s="22">
        <f t="shared" si="172"/>
        <v>14.151455648722221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1.1368683772161603E-13</v>
      </c>
      <c r="CU185" s="17">
        <f>CT185*VLOOKUP('Données projet'!$B$13,Paramètres!$A$1:$I$89,3,0)*VLOOKUP('Données projet'!$B$13,Paramètres!$A$1:$I$89,5,0)</f>
        <v>6.7984728957526396E-14</v>
      </c>
      <c r="CV185" s="13">
        <f t="shared" si="173"/>
        <v>1.0682447123141398E-12</v>
      </c>
      <c r="CW185" s="20">
        <f t="shared" si="174"/>
        <v>1.978932943548152E-12</v>
      </c>
      <c r="CX185" s="59">
        <f t="shared" si="122"/>
        <v>289.5403274682464</v>
      </c>
      <c r="CY185" s="59">
        <f ca="1">AVERAGE(OFFSET($CX$3,0,0,'Données projet'!$E$13+1,1))-AVERAGE(OFFSET($H$3,0,0,'Données projet'!$E$13+1,1))</f>
        <v>318.50474972254085</v>
      </c>
      <c r="CZ185" s="59">
        <f t="shared" si="150"/>
        <v>326.45858332753562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12.396557308577126</v>
      </c>
      <c r="DG185" s="21">
        <f>EXP(-LN(2)/25)*DG184+(1-EXP(-LN(2)/25))/(LN(2)/25)*Calculateur!DB185*Calculateur!DD185*VLOOKUP('Données projet'!$B$13,Paramètres!$A$1:$I$89,3,0)*0.475*44/12</f>
        <v>1.6450624816497215</v>
      </c>
      <c r="DH185" s="21">
        <f>EXP(-LN(2)/2)*DH184+(1-EXP(-LN(2)/2))/(LN(2)/2)*DB185*DE185*VLOOKUP('Données projet'!$B$13,Paramètres!$A$1:$I$89,3,0)*0.475*44/12</f>
        <v>2.6004130629778087E-17</v>
      </c>
      <c r="DI185" s="22">
        <f t="shared" si="175"/>
        <v>14.041619790226848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3">
        <f>'Scénario référence'!$B$16*5+'Scénario référence'!$B$17*0+'Scénario référence'!$B$18*5</f>
        <v>5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67">
        <f t="shared" si="110"/>
        <v>183.33333333333334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5.6843418860808015E-14</v>
      </c>
      <c r="O186" s="13">
        <f>N186*VLOOKUP('Données projet'!$B$9,Paramètres!$A$1:$I$89,3,0)*VLOOKUP('Données projet'!$B$9,Paramètres!$A$1:$I$89,5,0)</f>
        <v>5.1431925385259088E-14</v>
      </c>
      <c r="P186" s="13">
        <f t="shared" si="141"/>
        <v>8.3482866290946129E-13</v>
      </c>
      <c r="Q186" s="20">
        <f t="shared" si="162"/>
        <v>1.5435705246133045E-12</v>
      </c>
      <c r="R186" s="59">
        <f t="shared" si="109"/>
        <v>289.60612764011449</v>
      </c>
      <c r="S186" s="59">
        <f ca="1">AVERAGE(OFFSET($R$3,0,0,'Données projet'!$E$9+1,1))-AVERAGE(OFFSET($H$3,0,0,'Données projet'!$E$9+1,1))</f>
        <v>214.60547318405733</v>
      </c>
      <c r="T186" s="59">
        <f t="shared" si="142"/>
        <v>306.35874106546646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1.0149956064903389</v>
      </c>
      <c r="AA186" s="21">
        <f>EXP(-LN(2)/25)*AA185+(1-EXP(-LN(2)/25))/(LN(2)/25)*Calculateur!V186*Calculateur!X186*VLOOKUP('Données projet'!$B$9,Paramètres!$A$1:$I$89,3,0)*0.475*44/12</f>
        <v>0.28803641913861439</v>
      </c>
      <c r="AB186" s="21">
        <f>EXP(-LN(2)/2)*AB185+(1-EXP(-LN(2)/2))/(LN(2)/2)*V186*Y186*VLOOKUP('Données projet'!$B$9,Paramètres!$A$1:$I$89,3,0)*0.475*44/12</f>
        <v>2.3362167140390554E-20</v>
      </c>
      <c r="AC186" s="22">
        <f t="shared" si="163"/>
        <v>1.3030320256289534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>
        <f>VLOOKUP(A186,'Données projet'!$A$61:$I$81,2,0)</f>
        <v>191.47</v>
      </c>
      <c r="AG186" s="12">
        <f>VLOOKUP(A186,'Données projet'!$A$61:$I$81,9,0)</f>
        <v>2.2933333333333317</v>
      </c>
      <c r="AH186" s="12">
        <f t="array" ref="AH186">INDEX(AG:AG,MIN(IF(ISNUMBER(AG186:AG382),ROW(AG186:AG382),"")))</f>
        <v>2.2933333333333317</v>
      </c>
      <c r="AI186" s="13">
        <f>IF('Données projet'!$A$62&gt;35,AI185+AH186-AQ185,IF(A186&lt;'Données projet'!$A$62,$AF$205^A186,IF(A186='Données projet'!$A$62,'Données projet'!$B$62,AI185+AH186-AQ185)))</f>
        <v>191.47000000000079</v>
      </c>
      <c r="AJ186" s="13">
        <f>AI186*VLOOKUP('Données projet'!$B$10,Paramètres!$A$1:$I$89,3,0)*VLOOKUP('Données projet'!$B$10,Paramètres!$A$1:$I$89,5,0)</f>
        <v>194.15058000000082</v>
      </c>
      <c r="AK186" s="13">
        <f t="shared" si="164"/>
        <v>48.456429865053252</v>
      </c>
      <c r="AL186" s="20">
        <f t="shared" si="165"/>
        <v>422.54054218163583</v>
      </c>
      <c r="AM186" s="59">
        <f t="shared" si="113"/>
        <v>712.14666982174879</v>
      </c>
      <c r="AN186" s="59">
        <f ca="1">AVERAGE(OFFSET($AM$3,0,0,'Données projet'!$E$10+1,1))-AVERAGE(OFFSET($H$3,0,0,'Données projet'!$E$10+1,1))</f>
        <v>752.45542076695506</v>
      </c>
      <c r="AO186" s="59">
        <f t="shared" si="144"/>
        <v>329.70629768420724</v>
      </c>
      <c r="AP186" s="15">
        <f>IF(ISNA(VLOOKUP(A186,'Données projet'!$A$61:$I$81,3,0)),0,VLOOKUP(A186,'Données projet'!$A$61:$I$81,3,0))</f>
        <v>18</v>
      </c>
      <c r="AQ186" s="15">
        <f>IF(ISNA(VLOOKUP(A186,'Données projet'!$A$61:$I$81,4,0)),0,VLOOKUP(A186,'Données projet'!$A$61:$I$81,4,0))</f>
        <v>191.47</v>
      </c>
      <c r="AR186" s="16">
        <f>IF(ISNA(VLOOKUP(A186,'Données projet'!$A$61:$I$81,5,0)),0%,VLOOKUP(A186,'Données projet'!$A$61:$I$81,5,0)*VLOOKUP('Données projet'!$B$10,Paramètres!$A$1:$I$89,7,0))</f>
        <v>0.19350000000000001</v>
      </c>
      <c r="AS186" s="16">
        <f>IF(ISNA(VLOOKUP(A186,'Données projet'!$A$61:$I$81,6,0)),0%,VLOOKUP(A186,'Données projet'!$A$61:$I$81,6,0)*VLOOKUP('Données projet'!$B$10,Paramètres!$A$1:$I$89,7,0))</f>
        <v>2.1500000000000002E-2</v>
      </c>
      <c r="AT186" s="16">
        <f>IF(ISNA(VLOOKUP(A186,'Données projet'!$A$61:$I$81,7,0)),0%,VLOOKUP(A186,'Données projet'!$A$61:$I$81,7,0))</f>
        <v>0.05</v>
      </c>
      <c r="AU186" s="21">
        <f>EXP(-LN(2)/35)*AU185+(1-EXP(-LN(2)/35))/(LN(2)/35)*AQ186*AR186*VLOOKUP('Données projet'!$B$10,Paramètres!$A$1:$I$89,3,0)*0.475*44/12</f>
        <v>172.73300340106223</v>
      </c>
      <c r="AV186" s="21">
        <f>EXP(-LN(2)/25)*AV185+(1-EXP(-LN(2)/25))/(LN(2)/25)*Calculateur!AQ186*Calculateur!AS186*VLOOKUP('Données projet'!$B$10,Paramètres!$A$1:$I$89,3,0)*0.475*44/12</f>
        <v>28.847568311933841</v>
      </c>
      <c r="AW186" s="21">
        <f>EXP(-LN(2)/2)*AW185+(1-EXP(-LN(2)/2))/(LN(2)/2)*AQ186*AT186*VLOOKUP('Données projet'!$B$10,Paramètres!$A$1:$I$89,3,0)*0.475*44/12</f>
        <v>11.906948632069174</v>
      </c>
      <c r="AX186" s="21">
        <f t="shared" si="166"/>
        <v>213.48752034506524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>
        <f>VLOOKUP(A186,'Données projet'!$A$87:$I$107,2,0)</f>
        <v>191.47</v>
      </c>
      <c r="BB186" s="12">
        <f>VLOOKUP(A186,'Données projet'!$A$87:$I$107,9,0)</f>
        <v>2.2933333333333317</v>
      </c>
      <c r="BC186" s="12">
        <f t="array" ref="BC186">INDEX(BB:BB,MIN(IF(ISNUMBER(BB186:BB382),ROW(BB186:BB382),"")))</f>
        <v>2.2933333333333317</v>
      </c>
      <c r="BD186" s="12">
        <f>IF('Données projet'!$A$88&gt;35,BD185+BC186-BL185,IF(A186&lt;'Données projet'!$A$88,$BA$205^A186,IF(A186='Données projet'!$A$88,'Données projet'!$B$88,BD185+BC186-BL185)))</f>
        <v>191.47000000000079</v>
      </c>
      <c r="BE186" s="13">
        <f>BD186*VLOOKUP('Données projet'!$B$11,Paramètres!$A$1:$I$89,3,0)*VLOOKUP('Données projet'!$B$11,Paramètres!$A$1:$I$89,5,0)</f>
        <v>173.2420560000007</v>
      </c>
      <c r="BF186" s="13">
        <f t="shared" si="167"/>
        <v>43.815336010445158</v>
      </c>
      <c r="BG186" s="20">
        <f t="shared" si="168"/>
        <v>378.04162441819318</v>
      </c>
      <c r="BH186" s="59">
        <f t="shared" si="116"/>
        <v>667.6477520583062</v>
      </c>
      <c r="BI186" s="59">
        <f ca="1">AVERAGE(OFFSET($BH$3,0,0,'Données projet'!$E$11+1,1))-AVERAGE(OFFSET($H$3,0,0,'Données projet'!$E$11+1,1))</f>
        <v>681.47578137804555</v>
      </c>
      <c r="BJ186" s="59">
        <f t="shared" si="146"/>
        <v>300.88511065995885</v>
      </c>
      <c r="BK186" s="15">
        <f>IF(ISNA(VLOOKUP(A186,'Données projet'!$A$87:$I$107,3,0)),0,VLOOKUP(A186,'Données projet'!$A$87:$I$107,3,0))</f>
        <v>18</v>
      </c>
      <c r="BL186" s="15">
        <f>IF(ISNA(VLOOKUP(A186,'Données projet'!$A$87:$I$107,4,0)),0,VLOOKUP(A186,'Données projet'!$A$87:$I$107,4,0))</f>
        <v>191.47</v>
      </c>
      <c r="BM186" s="16">
        <f>IF(ISNA(VLOOKUP(A186,'Données projet'!$A$87:$I$107,5,0)),0%,VLOOKUP(A186,'Données projet'!$A$87:$I$107,5,0)*VLOOKUP('Données projet'!$B$11,Paramètres!$A$1:$I$89,7,0))</f>
        <v>0.19350000000000001</v>
      </c>
      <c r="BN186" s="16">
        <f>IF(ISNA(VLOOKUP(A186,'Données projet'!$A$87:$I$107,6,0)),0%,VLOOKUP(A186,'Données projet'!$A$87:$I$107,6,0)*VLOOKUP('Données projet'!$B$11,Paramètres!$A$1:$I$89,7,0))</f>
        <v>2.1500000000000002E-2</v>
      </c>
      <c r="BO186" s="16">
        <f>IF(ISNA(VLOOKUP(A186,'Données projet'!$A$87:$I$107,7,0)),0%,VLOOKUP(A186,'Données projet'!$A$87:$I$107,7,0))</f>
        <v>0.05</v>
      </c>
      <c r="BP186" s="21">
        <f>EXP(-LN(2)/35)*BP185+(1-EXP(-LN(2)/35))/(LN(2)/35)*BL186*BM186*VLOOKUP('Données projet'!$B$11,Paramètres!$A$1:$I$89,3,0)*0.475*44/12</f>
        <v>154.13098765017864</v>
      </c>
      <c r="BQ186" s="21">
        <f>EXP(-LN(2)/25)*BQ185+(1-EXP(-LN(2)/25))/(LN(2)/25)*Calculateur!BL186*Calculateur!BN186*VLOOKUP('Données projet'!$B$11,Paramètres!$A$1:$I$89,3,0)*0.475*44/12</f>
        <v>25.740907109110182</v>
      </c>
      <c r="BR186" s="21">
        <f>EXP(-LN(2)/2)*BR185+(1-EXP(-LN(2)/2))/(LN(2)/2)*BL186*BO186*VLOOKUP('Données projet'!$B$11,Paramètres!$A$1:$I$89,3,0)*0.475*44/12</f>
        <v>10.624661856307879</v>
      </c>
      <c r="BS186" s="22">
        <f t="shared" si="169"/>
        <v>190.49655661559669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2.2737367544323206E-13</v>
      </c>
      <c r="BZ186" s="13">
        <f>BY186*VLOOKUP('Données projet'!$B$12,Paramètres!$A$1:$I$89,3,0)*VLOOKUP('Données projet'!$B$12,Paramètres!$A$1:$I$89,5,0)</f>
        <v>1.5252226148732008E-13</v>
      </c>
      <c r="CA186" s="13">
        <f t="shared" si="170"/>
        <v>2.1814502464536512E-12</v>
      </c>
      <c r="CB186" s="20">
        <f t="shared" si="171"/>
        <v>4.0650021179971913E-12</v>
      </c>
      <c r="CC186" s="59">
        <f t="shared" si="119"/>
        <v>289.60612764011705</v>
      </c>
      <c r="CD186" s="59">
        <f ca="1">AVERAGE(OFFSET($CC$3,0,0,'Données projet'!$E$12+1,1))-AVERAGE(OFFSET($H$3,0,0,'Données projet'!$E$12+1,1))</f>
        <v>335.73816489539837</v>
      </c>
      <c r="CE186" s="59">
        <f t="shared" si="148"/>
        <v>254.09787950201044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8.8247016212459162</v>
      </c>
      <c r="CL186" s="21">
        <f>EXP(-LN(2)/25)*CL185+(1-EXP(-LN(2)/25))/(LN(2)/25)*Calculateur!CG186*Calculateur!CI186*VLOOKUP('Données projet'!$B$12,Paramètres!$A$1:$I$89,3,0)*0.475*44/12</f>
        <v>5.0094120496640553</v>
      </c>
      <c r="CM186" s="21">
        <f>EXP(-LN(2)/2)*CM185+(1-EXP(-LN(2)/2))/(LN(2)/2)*CG186*CJ186*VLOOKUP('Données projet'!$B$12,Paramètres!$A$1:$I$89,3,0)*0.475*44/12</f>
        <v>5.0374163976610912E-10</v>
      </c>
      <c r="CN186" s="22">
        <f t="shared" si="172"/>
        <v>13.834113671413713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1.1368683772161603E-13</v>
      </c>
      <c r="CU186" s="17">
        <f>CT186*VLOOKUP('Données projet'!$B$13,Paramètres!$A$1:$I$89,3,0)*VLOOKUP('Données projet'!$B$13,Paramètres!$A$1:$I$89,5,0)</f>
        <v>6.7984728957526396E-14</v>
      </c>
      <c r="CV186" s="13">
        <f t="shared" si="173"/>
        <v>1.0682447123141398E-12</v>
      </c>
      <c r="CW186" s="20">
        <f t="shared" si="174"/>
        <v>1.978932943548152E-12</v>
      </c>
      <c r="CX186" s="59">
        <f t="shared" si="122"/>
        <v>289.60612764011495</v>
      </c>
      <c r="CY186" s="59">
        <f ca="1">AVERAGE(OFFSET($CX$3,0,0,'Données projet'!$E$13+1,1))-AVERAGE(OFFSET($H$3,0,0,'Données projet'!$E$13+1,1))</f>
        <v>318.50474972254085</v>
      </c>
      <c r="CZ186" s="59">
        <f t="shared" si="150"/>
        <v>326.45858332753562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12.153468380909285</v>
      </c>
      <c r="DG186" s="21">
        <f>EXP(-LN(2)/25)*DG185+(1-EXP(-LN(2)/25))/(LN(2)/25)*Calculateur!DB186*Calculateur!DD186*VLOOKUP('Données projet'!$B$13,Paramètres!$A$1:$I$89,3,0)*0.475*44/12</f>
        <v>1.6000781615789337</v>
      </c>
      <c r="DH186" s="21">
        <f>EXP(-LN(2)/2)*DH185+(1-EXP(-LN(2)/2))/(LN(2)/2)*DB186*DE186*VLOOKUP('Données projet'!$B$13,Paramètres!$A$1:$I$89,3,0)*0.475*44/12</f>
        <v>1.8387697107176892E-17</v>
      </c>
      <c r="DI186" s="22">
        <f t="shared" si="175"/>
        <v>13.753546542488218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3">
        <f>'Scénario référence'!$B$16*5+'Scénario référence'!$B$17*0+'Scénario référence'!$B$18*5</f>
        <v>5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67">
        <f t="shared" si="110"/>
        <v>183.33333333333334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5.6843418860808015E-14</v>
      </c>
      <c r="O187" s="13">
        <f>N187*VLOOKUP('Données projet'!$B$9,Paramètres!$A$1:$I$89,3,0)*VLOOKUP('Données projet'!$B$9,Paramètres!$A$1:$I$89,5,0)</f>
        <v>5.1431925385259088E-14</v>
      </c>
      <c r="P187" s="13">
        <f t="shared" si="141"/>
        <v>8.3482866290946129E-13</v>
      </c>
      <c r="Q187" s="20">
        <f t="shared" si="162"/>
        <v>1.5435705246133045E-12</v>
      </c>
      <c r="R187" s="59">
        <f t="shared" si="109"/>
        <v>289.67078632610827</v>
      </c>
      <c r="S187" s="59">
        <f ca="1">AVERAGE(OFFSET($R$3,0,0,'Données projet'!$E$9+1,1))-AVERAGE(OFFSET($H$3,0,0,'Données projet'!$E$9+1,1))</f>
        <v>214.60547318405733</v>
      </c>
      <c r="T187" s="59">
        <f t="shared" si="142"/>
        <v>306.35874106546646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0.99509216173325366</v>
      </c>
      <c r="AA187" s="21">
        <f>EXP(-LN(2)/25)*AA186+(1-EXP(-LN(2)/25))/(LN(2)/25)*Calculateur!V187*Calculateur!X187*VLOOKUP('Données projet'!$B$9,Paramètres!$A$1:$I$89,3,0)*0.475*44/12</f>
        <v>0.28016004811009199</v>
      </c>
      <c r="AB187" s="21">
        <f>EXP(-LN(2)/2)*AB186+(1-EXP(-LN(2)/2))/(LN(2)/2)*V187*Y187*VLOOKUP('Données projet'!$B$9,Paramètres!$A$1:$I$89,3,0)*0.475*44/12</f>
        <v>1.6519546808183694E-20</v>
      </c>
      <c r="AC187" s="22">
        <f t="shared" si="163"/>
        <v>1.2752522098433456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7.9580786405131221E-13</v>
      </c>
      <c r="AJ187" s="13">
        <f>AI187*VLOOKUP('Données projet'!$B$10,Paramètres!$A$1:$I$89,3,0)*VLOOKUP('Données projet'!$B$10,Paramètres!$A$1:$I$89,5,0)</f>
        <v>8.0694917414803056E-13</v>
      </c>
      <c r="AK187" s="13">
        <f t="shared" si="164"/>
        <v>9.5069530861628001E-12</v>
      </c>
      <c r="AL187" s="20">
        <f t="shared" si="165"/>
        <v>1.7963379770041364E-11</v>
      </c>
      <c r="AM187" s="59">
        <f t="shared" si="113"/>
        <v>289.6707863261247</v>
      </c>
      <c r="AN187" s="59">
        <f ca="1">AVERAGE(OFFSET($AM$3,0,0,'Données projet'!$E$10+1,1))-AVERAGE(OFFSET($H$3,0,0,'Données projet'!$E$10+1,1))</f>
        <v>752.45542076695506</v>
      </c>
      <c r="AO187" s="59">
        <f t="shared" si="144"/>
        <v>329.70629768420724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169.34581456109638</v>
      </c>
      <c r="AV187" s="21">
        <f>EXP(-LN(2)/25)*AV186+(1-EXP(-LN(2)/25))/(LN(2)/25)*Calculateur!AQ187*Calculateur!AS187*VLOOKUP('Données projet'!$B$10,Paramètres!$A$1:$I$89,3,0)*0.475*44/12</f>
        <v>28.058730039416325</v>
      </c>
      <c r="AW187" s="21">
        <f>EXP(-LN(2)/2)*AW186+(1-EXP(-LN(2)/2))/(LN(2)/2)*AQ187*AT187*VLOOKUP('Données projet'!$B$10,Paramètres!$A$1:$I$89,3,0)*0.475*44/12</f>
        <v>8.4194841209759996</v>
      </c>
      <c r="AX187" s="21">
        <f t="shared" si="166"/>
        <v>205.8240287214887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7.9580786405131221E-13</v>
      </c>
      <c r="BE187" s="13">
        <f>BD187*VLOOKUP('Données projet'!$B$11,Paramètres!$A$1:$I$89,3,0)*VLOOKUP('Données projet'!$B$11,Paramètres!$A$1:$I$89,5,0)</f>
        <v>7.2004695539362725E-13</v>
      </c>
      <c r="BF187" s="13">
        <f t="shared" si="167"/>
        <v>8.5963894794935589E-12</v>
      </c>
      <c r="BG187" s="20">
        <f t="shared" si="168"/>
        <v>1.6226126790761848E-11</v>
      </c>
      <c r="BH187" s="59">
        <f t="shared" si="116"/>
        <v>289.67078632612294</v>
      </c>
      <c r="BI187" s="59">
        <f ca="1">AVERAGE(OFFSET($BH$3,0,0,'Données projet'!$E$11+1,1))-AVERAGE(OFFSET($H$3,0,0,'Données projet'!$E$11+1,1))</f>
        <v>681.47578137804555</v>
      </c>
      <c r="BJ187" s="59">
        <f t="shared" si="146"/>
        <v>300.88511065995885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151.10857299297834</v>
      </c>
      <c r="BQ187" s="21">
        <f>EXP(-LN(2)/25)*BQ186+(1-EXP(-LN(2)/25))/(LN(2)/25)*Calculateur!BL187*Calculateur!BN187*VLOOKUP('Données projet'!$B$11,Paramètres!$A$1:$I$89,3,0)*0.475*44/12</f>
        <v>25.037020650556091</v>
      </c>
      <c r="BR187" s="21">
        <f>EXP(-LN(2)/2)*BR186+(1-EXP(-LN(2)/2))/(LN(2)/2)*BL187*BO187*VLOOKUP('Données projet'!$B$11,Paramètres!$A$1:$I$89,3,0)*0.475*44/12</f>
        <v>7.5127704464093537</v>
      </c>
      <c r="BS187" s="22">
        <f t="shared" si="169"/>
        <v>183.65836408994377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2.2737367544323206E-13</v>
      </c>
      <c r="BZ187" s="13">
        <f>BY187*VLOOKUP('Données projet'!$B$12,Paramètres!$A$1:$I$89,3,0)*VLOOKUP('Données projet'!$B$12,Paramètres!$A$1:$I$89,5,0)</f>
        <v>1.5252226148732008E-13</v>
      </c>
      <c r="CA187" s="13">
        <f t="shared" si="170"/>
        <v>2.1814502464536512E-12</v>
      </c>
      <c r="CB187" s="20">
        <f t="shared" si="171"/>
        <v>4.0650021179971913E-12</v>
      </c>
      <c r="CC187" s="59">
        <f t="shared" si="119"/>
        <v>289.67078632611083</v>
      </c>
      <c r="CD187" s="59">
        <f ca="1">AVERAGE(OFFSET($CC$3,0,0,'Données projet'!$E$12+1,1))-AVERAGE(OFFSET($H$3,0,0,'Données projet'!$E$12+1,1))</f>
        <v>335.73816489539837</v>
      </c>
      <c r="CE187" s="59">
        <f t="shared" si="148"/>
        <v>254.09787950201044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8.6516546049897922</v>
      </c>
      <c r="CL187" s="21">
        <f>EXP(-LN(2)/25)*CL186+(1-EXP(-LN(2)/25))/(LN(2)/25)*Calculateur!CG187*Calculateur!CI187*VLOOKUP('Données projet'!$B$12,Paramètres!$A$1:$I$89,3,0)*0.475*44/12</f>
        <v>4.8724294137324611</v>
      </c>
      <c r="CM187" s="21">
        <f>EXP(-LN(2)/2)*CM186+(1-EXP(-LN(2)/2))/(LN(2)/2)*CG187*CJ187*VLOOKUP('Données projet'!$B$12,Paramètres!$A$1:$I$89,3,0)*0.475*44/12</f>
        <v>3.5619912944464678E-10</v>
      </c>
      <c r="CN187" s="22">
        <f t="shared" si="172"/>
        <v>13.524084019078451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1.1368683772161603E-13</v>
      </c>
      <c r="CU187" s="17">
        <f>CT187*VLOOKUP('Données projet'!$B$13,Paramètres!$A$1:$I$89,3,0)*VLOOKUP('Données projet'!$B$13,Paramètres!$A$1:$I$89,5,0)</f>
        <v>6.7984728957526396E-14</v>
      </c>
      <c r="CV187" s="13">
        <f t="shared" si="173"/>
        <v>1.0682447123141398E-12</v>
      </c>
      <c r="CW187" s="20">
        <f t="shared" si="174"/>
        <v>1.978932943548152E-12</v>
      </c>
      <c r="CX187" s="59">
        <f t="shared" si="122"/>
        <v>289.67078632610873</v>
      </c>
      <c r="CY187" s="59">
        <f ca="1">AVERAGE(OFFSET($CX$3,0,0,'Données projet'!$E$13+1,1))-AVERAGE(OFFSET($H$3,0,0,'Données projet'!$E$13+1,1))</f>
        <v>318.50474972254085</v>
      </c>
      <c r="CZ187" s="59">
        <f t="shared" si="150"/>
        <v>326.45858332753562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11.915146278843405</v>
      </c>
      <c r="DG187" s="21">
        <f>EXP(-LN(2)/25)*DG186+(1-EXP(-LN(2)/25))/(LN(2)/25)*Calculateur!DB187*Calculateur!DD187*VLOOKUP('Données projet'!$B$13,Paramètres!$A$1:$I$89,3,0)*0.475*44/12</f>
        <v>1.5563239401061042</v>
      </c>
      <c r="DH187" s="21">
        <f>EXP(-LN(2)/2)*DH186+(1-EXP(-LN(2)/2))/(LN(2)/2)*DB187*DE187*VLOOKUP('Données projet'!$B$13,Paramètres!$A$1:$I$89,3,0)*0.475*44/12</f>
        <v>1.3002065314889043E-17</v>
      </c>
      <c r="DI187" s="22">
        <f t="shared" si="175"/>
        <v>13.471470218949509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3">
        <f>'Scénario référence'!$B$16*5+'Scénario référence'!$B$17*0+'Scénario référence'!$B$18*5</f>
        <v>5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67">
        <f t="shared" si="110"/>
        <v>183.33333333333334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5.6843418860808015E-14</v>
      </c>
      <c r="O188" s="13">
        <f>N188*VLOOKUP('Données projet'!$B$9,Paramètres!$A$1:$I$89,3,0)*VLOOKUP('Données projet'!$B$9,Paramètres!$A$1:$I$89,5,0)</f>
        <v>5.1431925385259088E-14</v>
      </c>
      <c r="P188" s="13">
        <f t="shared" si="141"/>
        <v>8.3482866290946129E-13</v>
      </c>
      <c r="Q188" s="20">
        <f t="shared" si="162"/>
        <v>1.5435705246133045E-12</v>
      </c>
      <c r="R188" s="59">
        <f t="shared" si="109"/>
        <v>289.73432332845528</v>
      </c>
      <c r="S188" s="59">
        <f ca="1">AVERAGE(OFFSET($R$3,0,0,'Données projet'!$E$9+1,1))-AVERAGE(OFFSET($H$3,0,0,'Données projet'!$E$9+1,1))</f>
        <v>214.60547318405733</v>
      </c>
      <c r="T188" s="59">
        <f t="shared" si="142"/>
        <v>306.35874106546646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0.97557901138795222</v>
      </c>
      <c r="AA188" s="21">
        <f>EXP(-LN(2)/25)*AA187+(1-EXP(-LN(2)/25))/(LN(2)/25)*Calculateur!V188*Calculateur!X188*VLOOKUP('Données projet'!$B$9,Paramètres!$A$1:$I$89,3,0)*0.475*44/12</f>
        <v>0.27249905686154491</v>
      </c>
      <c r="AB188" s="21">
        <f>EXP(-LN(2)/2)*AB187+(1-EXP(-LN(2)/2))/(LN(2)/2)*V188*Y188*VLOOKUP('Données projet'!$B$9,Paramètres!$A$1:$I$89,3,0)*0.475*44/12</f>
        <v>1.1681083570195277E-20</v>
      </c>
      <c r="AC188" s="22">
        <f t="shared" si="163"/>
        <v>1.2480780682494972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7.9580786405131221E-13</v>
      </c>
      <c r="AJ188" s="13">
        <f>AI188*VLOOKUP('Données projet'!$B$10,Paramètres!$A$1:$I$89,3,0)*VLOOKUP('Données projet'!$B$10,Paramètres!$A$1:$I$89,5,0)</f>
        <v>8.0694917414803056E-13</v>
      </c>
      <c r="AK188" s="13">
        <f t="shared" si="164"/>
        <v>9.5069530861628001E-12</v>
      </c>
      <c r="AL188" s="20">
        <f t="shared" si="165"/>
        <v>1.7963379770041364E-11</v>
      </c>
      <c r="AM188" s="59">
        <f t="shared" si="113"/>
        <v>289.7343233284717</v>
      </c>
      <c r="AN188" s="59">
        <f ca="1">AVERAGE(OFFSET($AM$3,0,0,'Données projet'!$E$10+1,1))-AVERAGE(OFFSET($H$3,0,0,'Données projet'!$E$10+1,1))</f>
        <v>752.45542076695506</v>
      </c>
      <c r="AO188" s="59">
        <f t="shared" si="144"/>
        <v>329.70629768420724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166.02504642830104</v>
      </c>
      <c r="AV188" s="21">
        <f>EXP(-LN(2)/25)*AV187+(1-EXP(-LN(2)/25))/(LN(2)/25)*Calculateur!AQ188*Calculateur!AS188*VLOOKUP('Données projet'!$B$10,Paramètres!$A$1:$I$89,3,0)*0.475*44/12</f>
        <v>27.291462590944001</v>
      </c>
      <c r="AW188" s="21">
        <f>EXP(-LN(2)/2)*AW187+(1-EXP(-LN(2)/2))/(LN(2)/2)*AQ188*AT188*VLOOKUP('Données projet'!$B$10,Paramètres!$A$1:$I$89,3,0)*0.475*44/12</f>
        <v>5.9534743160345878</v>
      </c>
      <c r="AX188" s="21">
        <f t="shared" si="166"/>
        <v>199.26998333527965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7.9580786405131221E-13</v>
      </c>
      <c r="BE188" s="13">
        <f>BD188*VLOOKUP('Données projet'!$B$11,Paramètres!$A$1:$I$89,3,0)*VLOOKUP('Données projet'!$B$11,Paramètres!$A$1:$I$89,5,0)</f>
        <v>7.2004695539362725E-13</v>
      </c>
      <c r="BF188" s="13">
        <f t="shared" si="167"/>
        <v>8.5963894794935589E-12</v>
      </c>
      <c r="BG188" s="20">
        <f t="shared" si="168"/>
        <v>1.6226126790761848E-11</v>
      </c>
      <c r="BH188" s="59">
        <f t="shared" si="116"/>
        <v>289.73432332846994</v>
      </c>
      <c r="BI188" s="59">
        <f ca="1">AVERAGE(OFFSET($BH$3,0,0,'Données projet'!$E$11+1,1))-AVERAGE(OFFSET($H$3,0,0,'Données projet'!$E$11+1,1))</f>
        <v>681.47578137804555</v>
      </c>
      <c r="BJ188" s="59">
        <f t="shared" si="146"/>
        <v>300.88511065995885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148.14542604371482</v>
      </c>
      <c r="BQ188" s="21">
        <f>EXP(-LN(2)/25)*BQ187+(1-EXP(-LN(2)/25))/(LN(2)/25)*Calculateur!BL188*Calculateur!BN188*VLOOKUP('Données projet'!$B$11,Paramètres!$A$1:$I$89,3,0)*0.475*44/12</f>
        <v>24.352382004226943</v>
      </c>
      <c r="BR188" s="21">
        <f>EXP(-LN(2)/2)*BR187+(1-EXP(-LN(2)/2))/(LN(2)/2)*BL188*BO188*VLOOKUP('Données projet'!$B$11,Paramètres!$A$1:$I$89,3,0)*0.475*44/12</f>
        <v>5.3123309281539406</v>
      </c>
      <c r="BS188" s="22">
        <f t="shared" si="169"/>
        <v>177.81013897609569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2.2737367544323206E-13</v>
      </c>
      <c r="BZ188" s="13">
        <f>BY188*VLOOKUP('Données projet'!$B$12,Paramètres!$A$1:$I$89,3,0)*VLOOKUP('Données projet'!$B$12,Paramètres!$A$1:$I$89,5,0)</f>
        <v>1.5252226148732008E-13</v>
      </c>
      <c r="CA188" s="13">
        <f t="shared" si="170"/>
        <v>2.1814502464536512E-12</v>
      </c>
      <c r="CB188" s="20">
        <f t="shared" si="171"/>
        <v>4.0650021179971913E-12</v>
      </c>
      <c r="CC188" s="59">
        <f t="shared" si="119"/>
        <v>289.73432332845783</v>
      </c>
      <c r="CD188" s="59">
        <f ca="1">AVERAGE(OFFSET($CC$3,0,0,'Données projet'!$E$12+1,1))-AVERAGE(OFFSET($H$3,0,0,'Données projet'!$E$12+1,1))</f>
        <v>335.73816489539837</v>
      </c>
      <c r="CE188" s="59">
        <f t="shared" si="148"/>
        <v>254.09787950201044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8.4820009351741916</v>
      </c>
      <c r="CL188" s="21">
        <f>EXP(-LN(2)/25)*CL187+(1-EXP(-LN(2)/25))/(LN(2)/25)*Calculateur!CG188*Calculateur!CI188*VLOOKUP('Données projet'!$B$12,Paramètres!$A$1:$I$89,3,0)*0.475*44/12</f>
        <v>4.7391925751840205</v>
      </c>
      <c r="CM188" s="21">
        <f>EXP(-LN(2)/2)*CM187+(1-EXP(-LN(2)/2))/(LN(2)/2)*CG188*CJ188*VLOOKUP('Données projet'!$B$12,Paramètres!$A$1:$I$89,3,0)*0.475*44/12</f>
        <v>2.5187081988305456E-10</v>
      </c>
      <c r="CN188" s="22">
        <f t="shared" si="172"/>
        <v>13.221193510610084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1.1368683772161603E-13</v>
      </c>
      <c r="CU188" s="17">
        <f>CT188*VLOOKUP('Données projet'!$B$13,Paramètres!$A$1:$I$89,3,0)*VLOOKUP('Données projet'!$B$13,Paramètres!$A$1:$I$89,5,0)</f>
        <v>6.7984728957526396E-14</v>
      </c>
      <c r="CV188" s="13">
        <f t="shared" si="173"/>
        <v>1.0682447123141398E-12</v>
      </c>
      <c r="CW188" s="20">
        <f t="shared" si="174"/>
        <v>1.978932943548152E-12</v>
      </c>
      <c r="CX188" s="59">
        <f t="shared" si="122"/>
        <v>289.73432332845573</v>
      </c>
      <c r="CY188" s="59">
        <f ca="1">AVERAGE(OFFSET($CX$3,0,0,'Données projet'!$E$13+1,1))-AVERAGE(OFFSET($H$3,0,0,'Données projet'!$E$13+1,1))</f>
        <v>318.50474972254085</v>
      </c>
      <c r="CZ188" s="59">
        <f t="shared" si="150"/>
        <v>326.45858332753562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11.681497527836909</v>
      </c>
      <c r="DG188" s="21">
        <f>EXP(-LN(2)/25)*DG187+(1-EXP(-LN(2)/25))/(LN(2)/25)*Calculateur!DB188*Calculateur!DD188*VLOOKUP('Données projet'!$B$13,Paramètres!$A$1:$I$89,3,0)*0.475*44/12</f>
        <v>1.5137661801203839</v>
      </c>
      <c r="DH188" s="21">
        <f>EXP(-LN(2)/2)*DH187+(1-EXP(-LN(2)/2))/(LN(2)/2)*DB188*DE188*VLOOKUP('Données projet'!$B$13,Paramètres!$A$1:$I$89,3,0)*0.475*44/12</f>
        <v>9.1938485535884458E-18</v>
      </c>
      <c r="DI188" s="22">
        <f t="shared" si="175"/>
        <v>13.195263707957292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3">
        <f>'Scénario référence'!$B$16*5+'Scénario référence'!$B$17*0+'Scénario référence'!$B$18*5</f>
        <v>5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67">
        <f t="shared" si="110"/>
        <v>183.33333333333334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5.6843418860808015E-14</v>
      </c>
      <c r="O189" s="13">
        <f>N189*VLOOKUP('Données projet'!$B$9,Paramètres!$A$1:$I$89,3,0)*VLOOKUP('Données projet'!$B$9,Paramètres!$A$1:$I$89,5,0)</f>
        <v>5.1431925385259088E-14</v>
      </c>
      <c r="P189" s="13">
        <f t="shared" si="141"/>
        <v>8.3482866290946129E-13</v>
      </c>
      <c r="Q189" s="20">
        <f t="shared" si="162"/>
        <v>1.5435705246133045E-12</v>
      </c>
      <c r="R189" s="59">
        <f t="shared" si="109"/>
        <v>289.79675810585894</v>
      </c>
      <c r="S189" s="59">
        <f ca="1">AVERAGE(OFFSET($R$3,0,0,'Données projet'!$E$9+1,1))-AVERAGE(OFFSET($H$3,0,0,'Données projet'!$E$9+1,1))</f>
        <v>214.60547318405733</v>
      </c>
      <c r="T189" s="59">
        <f t="shared" si="142"/>
        <v>306.35874106546646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0.95644850201907572</v>
      </c>
      <c r="AA189" s="21">
        <f>EXP(-LN(2)/25)*AA188+(1-EXP(-LN(2)/25))/(LN(2)/25)*Calculateur!V189*Calculateur!X189*VLOOKUP('Données projet'!$B$9,Paramètres!$A$1:$I$89,3,0)*0.475*44/12</f>
        <v>0.26504755582156336</v>
      </c>
      <c r="AB189" s="21">
        <f>EXP(-LN(2)/2)*AB188+(1-EXP(-LN(2)/2))/(LN(2)/2)*V189*Y189*VLOOKUP('Données projet'!$B$9,Paramètres!$A$1:$I$89,3,0)*0.475*44/12</f>
        <v>8.2597734040918471E-21</v>
      </c>
      <c r="AC189" s="22">
        <f t="shared" si="163"/>
        <v>1.2214960578406391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7.9580786405131221E-13</v>
      </c>
      <c r="AJ189" s="13">
        <f>AI189*VLOOKUP('Données projet'!$B$10,Paramètres!$A$1:$I$89,3,0)*VLOOKUP('Données projet'!$B$10,Paramètres!$A$1:$I$89,5,0)</f>
        <v>8.0694917414803056E-13</v>
      </c>
      <c r="AK189" s="13">
        <f t="shared" si="164"/>
        <v>9.5069530861628001E-12</v>
      </c>
      <c r="AL189" s="20">
        <f t="shared" si="165"/>
        <v>1.7963379770041364E-11</v>
      </c>
      <c r="AM189" s="59">
        <f t="shared" si="113"/>
        <v>289.79675810587537</v>
      </c>
      <c r="AN189" s="59">
        <f ca="1">AVERAGE(OFFSET($AM$3,0,0,'Données projet'!$E$10+1,1))-AVERAGE(OFFSET($H$3,0,0,'Données projet'!$E$10+1,1))</f>
        <v>752.45542076695506</v>
      </c>
      <c r="AO189" s="59">
        <f t="shared" si="144"/>
        <v>329.70629768420724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162.76939653312127</v>
      </c>
      <c r="AV189" s="21">
        <f>EXP(-LN(2)/25)*AV188+(1-EXP(-LN(2)/25))/(LN(2)/25)*Calculateur!AQ189*Calculateur!AS189*VLOOKUP('Données projet'!$B$10,Paramètres!$A$1:$I$89,3,0)*0.475*44/12</f>
        <v>26.545176111198995</v>
      </c>
      <c r="AW189" s="21">
        <f>EXP(-LN(2)/2)*AW188+(1-EXP(-LN(2)/2))/(LN(2)/2)*AQ189*AT189*VLOOKUP('Données projet'!$B$10,Paramètres!$A$1:$I$89,3,0)*0.475*44/12</f>
        <v>4.2097420604879998</v>
      </c>
      <c r="AX189" s="21">
        <f t="shared" si="166"/>
        <v>193.52431470480826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7.9580786405131221E-13</v>
      </c>
      <c r="BE189" s="13">
        <f>BD189*VLOOKUP('Données projet'!$B$11,Paramètres!$A$1:$I$89,3,0)*VLOOKUP('Données projet'!$B$11,Paramètres!$A$1:$I$89,5,0)</f>
        <v>7.2004695539362725E-13</v>
      </c>
      <c r="BF189" s="13">
        <f t="shared" si="167"/>
        <v>8.5963894794935589E-12</v>
      </c>
      <c r="BG189" s="20">
        <f t="shared" si="168"/>
        <v>1.6226126790761848E-11</v>
      </c>
      <c r="BH189" s="59">
        <f t="shared" si="116"/>
        <v>289.79675810587361</v>
      </c>
      <c r="BI189" s="59">
        <f ca="1">AVERAGE(OFFSET($BH$3,0,0,'Données projet'!$E$11+1,1))-AVERAGE(OFFSET($H$3,0,0,'Données projet'!$E$11+1,1))</f>
        <v>681.47578137804555</v>
      </c>
      <c r="BJ189" s="59">
        <f t="shared" si="146"/>
        <v>300.88511065995885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145.24038459878517</v>
      </c>
      <c r="BQ189" s="21">
        <f>EXP(-LN(2)/25)*BQ188+(1-EXP(-LN(2)/25))/(LN(2)/25)*Calculateur!BL189*Calculateur!BN189*VLOOKUP('Données projet'!$B$11,Paramètres!$A$1:$I$89,3,0)*0.475*44/12</f>
        <v>23.686464837685246</v>
      </c>
      <c r="BR189" s="21">
        <f>EXP(-LN(2)/2)*BR188+(1-EXP(-LN(2)/2))/(LN(2)/2)*BL189*BO189*VLOOKUP('Données projet'!$B$11,Paramètres!$A$1:$I$89,3,0)*0.475*44/12</f>
        <v>3.7563852232046777</v>
      </c>
      <c r="BS189" s="22">
        <f t="shared" si="169"/>
        <v>172.68323465967509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2.2737367544323206E-13</v>
      </c>
      <c r="BZ189" s="13">
        <f>BY189*VLOOKUP('Données projet'!$B$12,Paramètres!$A$1:$I$89,3,0)*VLOOKUP('Données projet'!$B$12,Paramètres!$A$1:$I$89,5,0)</f>
        <v>1.5252226148732008E-13</v>
      </c>
      <c r="CA189" s="13">
        <f t="shared" si="170"/>
        <v>2.1814502464536512E-12</v>
      </c>
      <c r="CB189" s="20">
        <f t="shared" si="171"/>
        <v>4.0650021179971913E-12</v>
      </c>
      <c r="CC189" s="59">
        <f t="shared" si="119"/>
        <v>289.7967581058615</v>
      </c>
      <c r="CD189" s="59">
        <f ca="1">AVERAGE(OFFSET($CC$3,0,0,'Données projet'!$E$12+1,1))-AVERAGE(OFFSET($H$3,0,0,'Données projet'!$E$12+1,1))</f>
        <v>335.73816489539837</v>
      </c>
      <c r="CE189" s="59">
        <f t="shared" si="148"/>
        <v>254.09787950201044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8.315674070345155</v>
      </c>
      <c r="CL189" s="21">
        <f>EXP(-LN(2)/25)*CL188+(1-EXP(-LN(2)/25))/(LN(2)/25)*Calculateur!CG189*Calculateur!CI189*VLOOKUP('Données projet'!$B$12,Paramètres!$A$1:$I$89,3,0)*0.475*44/12</f>
        <v>4.6095991049923075</v>
      </c>
      <c r="CM189" s="21">
        <f>EXP(-LN(2)/2)*CM188+(1-EXP(-LN(2)/2))/(LN(2)/2)*CG189*CJ189*VLOOKUP('Données projet'!$B$12,Paramètres!$A$1:$I$89,3,0)*0.475*44/12</f>
        <v>1.7809956472232339E-10</v>
      </c>
      <c r="CN189" s="22">
        <f t="shared" si="172"/>
        <v>12.925273175515562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1.1368683772161603E-13</v>
      </c>
      <c r="CU189" s="17">
        <f>CT189*VLOOKUP('Données projet'!$B$13,Paramètres!$A$1:$I$89,3,0)*VLOOKUP('Données projet'!$B$13,Paramètres!$A$1:$I$89,5,0)</f>
        <v>6.7984728957526396E-14</v>
      </c>
      <c r="CV189" s="13">
        <f t="shared" si="173"/>
        <v>1.0682447123141398E-12</v>
      </c>
      <c r="CW189" s="20">
        <f t="shared" si="174"/>
        <v>1.978932943548152E-12</v>
      </c>
      <c r="CX189" s="59">
        <f t="shared" si="122"/>
        <v>289.7967581058594</v>
      </c>
      <c r="CY189" s="59">
        <f ca="1">AVERAGE(OFFSET($CX$3,0,0,'Données projet'!$E$13+1,1))-AVERAGE(OFFSET($H$3,0,0,'Données projet'!$E$13+1,1))</f>
        <v>318.50474972254085</v>
      </c>
      <c r="CZ189" s="59">
        <f t="shared" si="150"/>
        <v>326.45858332753562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11.452430486325982</v>
      </c>
      <c r="DG189" s="21">
        <f>EXP(-LN(2)/25)*DG188+(1-EXP(-LN(2)/25))/(LN(2)/25)*Calculateur!DB189*Calculateur!DD189*VLOOKUP('Données projet'!$B$13,Paramètres!$A$1:$I$89,3,0)*0.475*44/12</f>
        <v>1.4723721643194883</v>
      </c>
      <c r="DH189" s="21">
        <f>EXP(-LN(2)/2)*DH188+(1-EXP(-LN(2)/2))/(LN(2)/2)*DB189*DE189*VLOOKUP('Données projet'!$B$13,Paramètres!$A$1:$I$89,3,0)*0.475*44/12</f>
        <v>6.5010326574445217E-18</v>
      </c>
      <c r="DI189" s="22">
        <f t="shared" si="175"/>
        <v>12.92480265064547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3">
        <f>'Scénario référence'!$B$16*5+'Scénario référence'!$B$17*0+'Scénario référence'!$B$18*5</f>
        <v>5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67">
        <f t="shared" si="110"/>
        <v>183.33333333333334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5.6843418860808015E-14</v>
      </c>
      <c r="O190" s="13">
        <f>N190*VLOOKUP('Données projet'!$B$9,Paramètres!$A$1:$I$89,3,0)*VLOOKUP('Données projet'!$B$9,Paramètres!$A$1:$I$89,5,0)</f>
        <v>5.1431925385259088E-14</v>
      </c>
      <c r="P190" s="13">
        <f t="shared" si="141"/>
        <v>8.3482866290946129E-13</v>
      </c>
      <c r="Q190" s="20">
        <f t="shared" si="162"/>
        <v>1.5435705246133045E-12</v>
      </c>
      <c r="R190" s="59">
        <f t="shared" si="109"/>
        <v>289.85810977945795</v>
      </c>
      <c r="S190" s="59">
        <f ca="1">AVERAGE(OFFSET($R$3,0,0,'Données projet'!$E$9+1,1))-AVERAGE(OFFSET($H$3,0,0,'Données projet'!$E$9+1,1))</f>
        <v>214.60547318405733</v>
      </c>
      <c r="T190" s="59">
        <f t="shared" si="142"/>
        <v>306.35874106546646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0.9376931302704643</v>
      </c>
      <c r="AA190" s="21">
        <f>EXP(-LN(2)/25)*AA189+(1-EXP(-LN(2)/25))/(LN(2)/25)*Calculateur!V190*Calculateur!X190*VLOOKUP('Données projet'!$B$9,Paramètres!$A$1:$I$89,3,0)*0.475*44/12</f>
        <v>0.25779981646937755</v>
      </c>
      <c r="AB190" s="21">
        <f>EXP(-LN(2)/2)*AB189+(1-EXP(-LN(2)/2))/(LN(2)/2)*V190*Y190*VLOOKUP('Données projet'!$B$9,Paramètres!$A$1:$I$89,3,0)*0.475*44/12</f>
        <v>5.8405417850976386E-21</v>
      </c>
      <c r="AC190" s="22">
        <f t="shared" si="163"/>
        <v>1.1954929467398419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7.9580786405131221E-13</v>
      </c>
      <c r="AJ190" s="13">
        <f>AI190*VLOOKUP('Données projet'!$B$10,Paramètres!$A$1:$I$89,3,0)*VLOOKUP('Données projet'!$B$10,Paramètres!$A$1:$I$89,5,0)</f>
        <v>8.0694917414803056E-13</v>
      </c>
      <c r="AK190" s="13">
        <f t="shared" si="164"/>
        <v>9.5069530861628001E-12</v>
      </c>
      <c r="AL190" s="20">
        <f t="shared" si="165"/>
        <v>1.7963379770041364E-11</v>
      </c>
      <c r="AM190" s="59">
        <f t="shared" si="113"/>
        <v>289.85810977947438</v>
      </c>
      <c r="AN190" s="59">
        <f ca="1">AVERAGE(OFFSET($AM$3,0,0,'Données projet'!$E$10+1,1))-AVERAGE(OFFSET($H$3,0,0,'Données projet'!$E$10+1,1))</f>
        <v>752.45542076695506</v>
      </c>
      <c r="AO190" s="59">
        <f t="shared" si="144"/>
        <v>329.70629768420724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159.57758794663562</v>
      </c>
      <c r="AV190" s="21">
        <f>EXP(-LN(2)/25)*AV189+(1-EXP(-LN(2)/25))/(LN(2)/25)*Calculateur!AQ190*Calculateur!AS190*VLOOKUP('Données projet'!$B$10,Paramètres!$A$1:$I$89,3,0)*0.475*44/12</f>
        <v>25.819296874488117</v>
      </c>
      <c r="AW190" s="21">
        <f>EXP(-LN(2)/2)*AW189+(1-EXP(-LN(2)/2))/(LN(2)/2)*AQ190*AT190*VLOOKUP('Données projet'!$B$10,Paramètres!$A$1:$I$89,3,0)*0.475*44/12</f>
        <v>2.9767371580172939</v>
      </c>
      <c r="AX190" s="21">
        <f t="shared" si="166"/>
        <v>188.37362197914103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7.9580786405131221E-13</v>
      </c>
      <c r="BE190" s="13">
        <f>BD190*VLOOKUP('Données projet'!$B$11,Paramètres!$A$1:$I$89,3,0)*VLOOKUP('Données projet'!$B$11,Paramètres!$A$1:$I$89,5,0)</f>
        <v>7.2004695539362725E-13</v>
      </c>
      <c r="BF190" s="13">
        <f t="shared" si="167"/>
        <v>8.5963894794935589E-12</v>
      </c>
      <c r="BG190" s="20">
        <f t="shared" si="168"/>
        <v>1.6226126790761848E-11</v>
      </c>
      <c r="BH190" s="59">
        <f t="shared" si="116"/>
        <v>289.85810977947261</v>
      </c>
      <c r="BI190" s="59">
        <f ca="1">AVERAGE(OFFSET($BH$3,0,0,'Données projet'!$E$11+1,1))-AVERAGE(OFFSET($H$3,0,0,'Données projet'!$E$11+1,1))</f>
        <v>681.47578137804555</v>
      </c>
      <c r="BJ190" s="59">
        <f t="shared" si="146"/>
        <v>300.88511065995885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142.39230924469027</v>
      </c>
      <c r="BQ190" s="21">
        <f>EXP(-LN(2)/25)*BQ189+(1-EXP(-LN(2)/25))/(LN(2)/25)*Calculateur!BL190*Calculateur!BN190*VLOOKUP('Données projet'!$B$11,Paramètres!$A$1:$I$89,3,0)*0.475*44/12</f>
        <v>23.038757211081695</v>
      </c>
      <c r="BR190" s="21">
        <f>EXP(-LN(2)/2)*BR189+(1-EXP(-LN(2)/2))/(LN(2)/2)*BL190*BO190*VLOOKUP('Données projet'!$B$11,Paramètres!$A$1:$I$89,3,0)*0.475*44/12</f>
        <v>2.6561654640769707</v>
      </c>
      <c r="BS190" s="22">
        <f t="shared" si="169"/>
        <v>168.08723191984893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2.2737367544323206E-13</v>
      </c>
      <c r="BZ190" s="13">
        <f>BY190*VLOOKUP('Données projet'!$B$12,Paramètres!$A$1:$I$89,3,0)*VLOOKUP('Données projet'!$B$12,Paramètres!$A$1:$I$89,5,0)</f>
        <v>1.5252226148732008E-13</v>
      </c>
      <c r="CA190" s="13">
        <f t="shared" si="170"/>
        <v>2.1814502464536512E-12</v>
      </c>
      <c r="CB190" s="20">
        <f t="shared" si="171"/>
        <v>4.0650021179971913E-12</v>
      </c>
      <c r="CC190" s="59">
        <f t="shared" si="119"/>
        <v>289.85810977946051</v>
      </c>
      <c r="CD190" s="59">
        <f ca="1">AVERAGE(OFFSET($CC$3,0,0,'Données projet'!$E$12+1,1))-AVERAGE(OFFSET($H$3,0,0,'Données projet'!$E$12+1,1))</f>
        <v>335.73816489539837</v>
      </c>
      <c r="CE190" s="59">
        <f t="shared" si="148"/>
        <v>254.09787950201044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8.1526087738860458</v>
      </c>
      <c r="CL190" s="21">
        <f>EXP(-LN(2)/25)*CL189+(1-EXP(-LN(2)/25))/(LN(2)/25)*Calculateur!CG190*Calculateur!CI190*VLOOKUP('Données projet'!$B$12,Paramètres!$A$1:$I$89,3,0)*0.475*44/12</f>
        <v>4.4835493750580113</v>
      </c>
      <c r="CM190" s="21">
        <f>EXP(-LN(2)/2)*CM189+(1-EXP(-LN(2)/2))/(LN(2)/2)*CG190*CJ190*VLOOKUP('Données projet'!$B$12,Paramètres!$A$1:$I$89,3,0)*0.475*44/12</f>
        <v>1.2593540994152728E-10</v>
      </c>
      <c r="CN190" s="22">
        <f t="shared" si="172"/>
        <v>12.636158149069992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1.1368683772161603E-13</v>
      </c>
      <c r="CU190" s="17">
        <f>CT190*VLOOKUP('Données projet'!$B$13,Paramètres!$A$1:$I$89,3,0)*VLOOKUP('Données projet'!$B$13,Paramètres!$A$1:$I$89,5,0)</f>
        <v>6.7984728957526396E-14</v>
      </c>
      <c r="CV190" s="13">
        <f t="shared" si="173"/>
        <v>1.0682447123141398E-12</v>
      </c>
      <c r="CW190" s="20">
        <f t="shared" si="174"/>
        <v>1.978932943548152E-12</v>
      </c>
      <c r="CX190" s="59">
        <f t="shared" si="122"/>
        <v>289.8581097794584</v>
      </c>
      <c r="CY190" s="59">
        <f ca="1">AVERAGE(OFFSET($CX$3,0,0,'Données projet'!$E$13+1,1))-AVERAGE(OFFSET($H$3,0,0,'Données projet'!$E$13+1,1))</f>
        <v>318.50474972254085</v>
      </c>
      <c r="CZ190" s="59">
        <f t="shared" si="150"/>
        <v>326.45858332753562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11.227855309781985</v>
      </c>
      <c r="DG190" s="21">
        <f>EXP(-LN(2)/25)*DG189+(1-EXP(-LN(2)/25))/(LN(2)/25)*Calculateur!DB190*Calculateur!DD190*VLOOKUP('Données projet'!$B$13,Paramètres!$A$1:$I$89,3,0)*0.475*44/12</f>
        <v>1.4321100700574849</v>
      </c>
      <c r="DH190" s="21">
        <f>EXP(-LN(2)/2)*DH189+(1-EXP(-LN(2)/2))/(LN(2)/2)*DB190*DE190*VLOOKUP('Données projet'!$B$13,Paramètres!$A$1:$I$89,3,0)*0.475*44/12</f>
        <v>4.5969242767942229E-18</v>
      </c>
      <c r="DI190" s="22">
        <f t="shared" si="175"/>
        <v>12.65996537983947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3">
        <f>'Scénario référence'!$B$16*5+'Scénario référence'!$B$17*0+'Scénario référence'!$B$18*5</f>
        <v>5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67">
        <f t="shared" si="110"/>
        <v>183.33333333333334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5.6843418860808015E-14</v>
      </c>
      <c r="O191" s="13">
        <f>N191*VLOOKUP('Données projet'!$B$9,Paramètres!$A$1:$I$89,3,0)*VLOOKUP('Données projet'!$B$9,Paramètres!$A$1:$I$89,5,0)</f>
        <v>5.1431925385259088E-14</v>
      </c>
      <c r="P191" s="13">
        <f t="shared" si="141"/>
        <v>8.3482866290946129E-13</v>
      </c>
      <c r="Q191" s="20">
        <f t="shared" si="162"/>
        <v>1.5435705246133045E-12</v>
      </c>
      <c r="R191" s="59">
        <f t="shared" si="109"/>
        <v>289.91839713868177</v>
      </c>
      <c r="S191" s="59">
        <f ca="1">AVERAGE(OFFSET($R$3,0,0,'Données projet'!$E$9+1,1))-AVERAGE(OFFSET($H$3,0,0,'Données projet'!$E$9+1,1))</f>
        <v>214.60547318405733</v>
      </c>
      <c r="T191" s="59">
        <f t="shared" si="142"/>
        <v>306.35874106546646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0.91930553992219599</v>
      </c>
      <c r="AA191" s="21">
        <f>EXP(-LN(2)/25)*AA190+(1-EXP(-LN(2)/25))/(LN(2)/25)*Calculateur!V191*Calculateur!X191*VLOOKUP('Données projet'!$B$9,Paramètres!$A$1:$I$89,3,0)*0.475*44/12</f>
        <v>0.25075026693091929</v>
      </c>
      <c r="AB191" s="21">
        <f>EXP(-LN(2)/2)*AB190+(1-EXP(-LN(2)/2))/(LN(2)/2)*V191*Y191*VLOOKUP('Données projet'!$B$9,Paramètres!$A$1:$I$89,3,0)*0.475*44/12</f>
        <v>4.1298867020459236E-21</v>
      </c>
      <c r="AC191" s="22">
        <f t="shared" si="163"/>
        <v>1.1700558068531153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7.9580786405131221E-13</v>
      </c>
      <c r="AJ191" s="13">
        <f>AI191*VLOOKUP('Données projet'!$B$10,Paramètres!$A$1:$I$89,3,0)*VLOOKUP('Données projet'!$B$10,Paramètres!$A$1:$I$89,5,0)</f>
        <v>8.0694917414803056E-13</v>
      </c>
      <c r="AK191" s="13">
        <f t="shared" si="164"/>
        <v>9.5069530861628001E-12</v>
      </c>
      <c r="AL191" s="20">
        <f t="shared" si="165"/>
        <v>1.7963379770041364E-11</v>
      </c>
      <c r="AM191" s="59">
        <f t="shared" si="113"/>
        <v>289.9183971386982</v>
      </c>
      <c r="AN191" s="59">
        <f ca="1">AVERAGE(OFFSET($AM$3,0,0,'Données projet'!$E$10+1,1))-AVERAGE(OFFSET($H$3,0,0,'Données projet'!$E$10+1,1))</f>
        <v>752.45542076695506</v>
      </c>
      <c r="AO191" s="59">
        <f t="shared" si="144"/>
        <v>329.70629768420724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156.44836877971994</v>
      </c>
      <c r="AV191" s="21">
        <f>EXP(-LN(2)/25)*AV190+(1-EXP(-LN(2)/25))/(LN(2)/25)*Calculateur!AQ191*Calculateur!AS191*VLOOKUP('Données projet'!$B$10,Paramètres!$A$1:$I$89,3,0)*0.475*44/12</f>
        <v>25.113266843677426</v>
      </c>
      <c r="AW191" s="21">
        <f>EXP(-LN(2)/2)*AW190+(1-EXP(-LN(2)/2))/(LN(2)/2)*AQ191*AT191*VLOOKUP('Données projet'!$B$10,Paramètres!$A$1:$I$89,3,0)*0.475*44/12</f>
        <v>2.1048710302439999</v>
      </c>
      <c r="AX191" s="21">
        <f t="shared" si="166"/>
        <v>183.66650665364136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7.9580786405131221E-13</v>
      </c>
      <c r="BE191" s="13">
        <f>BD191*VLOOKUP('Données projet'!$B$11,Paramètres!$A$1:$I$89,3,0)*VLOOKUP('Données projet'!$B$11,Paramètres!$A$1:$I$89,5,0)</f>
        <v>7.2004695539362725E-13</v>
      </c>
      <c r="BF191" s="13">
        <f t="shared" si="167"/>
        <v>8.5963894794935589E-12</v>
      </c>
      <c r="BG191" s="20">
        <f t="shared" si="168"/>
        <v>1.6226126790761848E-11</v>
      </c>
      <c r="BH191" s="59">
        <f t="shared" si="116"/>
        <v>289.91839713869643</v>
      </c>
      <c r="BI191" s="59">
        <f ca="1">AVERAGE(OFFSET($BH$3,0,0,'Données projet'!$E$11+1,1))-AVERAGE(OFFSET($H$3,0,0,'Données projet'!$E$11+1,1))</f>
        <v>681.47578137804555</v>
      </c>
      <c r="BJ191" s="59">
        <f t="shared" si="146"/>
        <v>300.88511065995885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139.60008291113473</v>
      </c>
      <c r="BQ191" s="21">
        <f>EXP(-LN(2)/25)*BQ190+(1-EXP(-LN(2)/25))/(LN(2)/25)*Calculateur!BL191*Calculateur!BN191*VLOOKUP('Données projet'!$B$11,Paramètres!$A$1:$I$89,3,0)*0.475*44/12</f>
        <v>22.408761183589078</v>
      </c>
      <c r="BR191" s="21">
        <f>EXP(-LN(2)/2)*BR190+(1-EXP(-LN(2)/2))/(LN(2)/2)*BL191*BO191*VLOOKUP('Données projet'!$B$11,Paramètres!$A$1:$I$89,3,0)*0.475*44/12</f>
        <v>1.8781926116023391</v>
      </c>
      <c r="BS191" s="22">
        <f t="shared" si="169"/>
        <v>163.88703670632617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2.2737367544323206E-13</v>
      </c>
      <c r="BZ191" s="13">
        <f>BY191*VLOOKUP('Données projet'!$B$12,Paramètres!$A$1:$I$89,3,0)*VLOOKUP('Données projet'!$B$12,Paramètres!$A$1:$I$89,5,0)</f>
        <v>1.5252226148732008E-13</v>
      </c>
      <c r="CA191" s="13">
        <f t="shared" si="170"/>
        <v>2.1814502464536512E-12</v>
      </c>
      <c r="CB191" s="20">
        <f t="shared" si="171"/>
        <v>4.0650021179971913E-12</v>
      </c>
      <c r="CC191" s="59">
        <f t="shared" si="119"/>
        <v>289.91839713868433</v>
      </c>
      <c r="CD191" s="59">
        <f ca="1">AVERAGE(OFFSET($CC$3,0,0,'Données projet'!$E$12+1,1))-AVERAGE(OFFSET($H$3,0,0,'Données projet'!$E$12+1,1))</f>
        <v>335.73816489539837</v>
      </c>
      <c r="CE191" s="59">
        <f t="shared" si="148"/>
        <v>254.09787950201044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7.9927410884304892</v>
      </c>
      <c r="CL191" s="21">
        <f>EXP(-LN(2)/25)*CL190+(1-EXP(-LN(2)/25))/(LN(2)/25)*Calculateur!CG191*Calculateur!CI191*VLOOKUP('Données projet'!$B$12,Paramètres!$A$1:$I$89,3,0)*0.475*44/12</f>
        <v>4.3609464816174359</v>
      </c>
      <c r="CM191" s="21">
        <f>EXP(-LN(2)/2)*CM190+(1-EXP(-LN(2)/2))/(LN(2)/2)*CG191*CJ191*VLOOKUP('Données projet'!$B$12,Paramètres!$A$1:$I$89,3,0)*0.475*44/12</f>
        <v>8.9049782361161695E-11</v>
      </c>
      <c r="CN191" s="22">
        <f t="shared" si="172"/>
        <v>12.353687570136975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1.1368683772161603E-13</v>
      </c>
      <c r="CU191" s="17">
        <f>CT191*VLOOKUP('Données projet'!$B$13,Paramètres!$A$1:$I$89,3,0)*VLOOKUP('Données projet'!$B$13,Paramètres!$A$1:$I$89,5,0)</f>
        <v>6.7984728957526396E-14</v>
      </c>
      <c r="CV191" s="13">
        <f t="shared" si="173"/>
        <v>1.0682447123141398E-12</v>
      </c>
      <c r="CW191" s="20">
        <f t="shared" si="174"/>
        <v>1.978932943548152E-12</v>
      </c>
      <c r="CX191" s="59">
        <f t="shared" si="122"/>
        <v>289.91839713868222</v>
      </c>
      <c r="CY191" s="59">
        <f ca="1">AVERAGE(OFFSET($CX$3,0,0,'Données projet'!$E$13+1,1))-AVERAGE(OFFSET($H$3,0,0,'Données projet'!$E$13+1,1))</f>
        <v>318.50474972254085</v>
      </c>
      <c r="CZ191" s="59">
        <f t="shared" si="150"/>
        <v>326.45858332753562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11.007683915472684</v>
      </c>
      <c r="DG191" s="21">
        <f>EXP(-LN(2)/25)*DG190+(1-EXP(-LN(2)/25))/(LN(2)/25)*Calculateur!DB191*Calculateur!DD191*VLOOKUP('Données projet'!$B$13,Paramètres!$A$1:$I$89,3,0)*0.475*44/12</f>
        <v>1.3929489448803676</v>
      </c>
      <c r="DH191" s="21">
        <f>EXP(-LN(2)/2)*DH190+(1-EXP(-LN(2)/2))/(LN(2)/2)*DB191*DE191*VLOOKUP('Données projet'!$B$13,Paramètres!$A$1:$I$89,3,0)*0.475*44/12</f>
        <v>3.2505163287222608E-18</v>
      </c>
      <c r="DI191" s="22">
        <f t="shared" si="175"/>
        <v>12.400632860353053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3">
        <f>'Scénario référence'!$B$16*5+'Scénario référence'!$B$17*0+'Scénario référence'!$B$18*5</f>
        <v>5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67">
        <f t="shared" si="110"/>
        <v>183.33333333333334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5.6843418860808015E-14</v>
      </c>
      <c r="O192" s="13">
        <f>N192*VLOOKUP('Données projet'!$B$9,Paramètres!$A$1:$I$89,3,0)*VLOOKUP('Données projet'!$B$9,Paramètres!$A$1:$I$89,5,0)</f>
        <v>5.1431925385259088E-14</v>
      </c>
      <c r="P192" s="13">
        <f t="shared" si="141"/>
        <v>8.3482866290946129E-13</v>
      </c>
      <c r="Q192" s="20">
        <f t="shared" si="162"/>
        <v>1.5435705246133045E-12</v>
      </c>
      <c r="R192" s="59">
        <f t="shared" si="109"/>
        <v>289.97763864700539</v>
      </c>
      <c r="S192" s="59">
        <f ca="1">AVERAGE(OFFSET($R$3,0,0,'Données projet'!$E$9+1,1))-AVERAGE(OFFSET($H$3,0,0,'Données projet'!$E$9+1,1))</f>
        <v>214.60547318405733</v>
      </c>
      <c r="T192" s="59">
        <f t="shared" si="142"/>
        <v>306.35874106546646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0.90127851900533451</v>
      </c>
      <c r="AA192" s="21">
        <f>EXP(-LN(2)/25)*AA191+(1-EXP(-LN(2)/25))/(LN(2)/25)*Calculateur!V192*Calculateur!X192*VLOOKUP('Données projet'!$B$9,Paramètres!$A$1:$I$89,3,0)*0.475*44/12</f>
        <v>0.24389348769530986</v>
      </c>
      <c r="AB192" s="21">
        <f>EXP(-LN(2)/2)*AB191+(1-EXP(-LN(2)/2))/(LN(2)/2)*V192*Y192*VLOOKUP('Données projet'!$B$9,Paramètres!$A$1:$I$89,3,0)*0.475*44/12</f>
        <v>2.9202708925488193E-21</v>
      </c>
      <c r="AC192" s="22">
        <f t="shared" si="163"/>
        <v>1.1451720067006443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7.9580786405131221E-13</v>
      </c>
      <c r="AJ192" s="13">
        <f>AI192*VLOOKUP('Données projet'!$B$10,Paramètres!$A$1:$I$89,3,0)*VLOOKUP('Données projet'!$B$10,Paramètres!$A$1:$I$89,5,0)</f>
        <v>8.0694917414803056E-13</v>
      </c>
      <c r="AK192" s="13">
        <f t="shared" si="164"/>
        <v>9.5069530861628001E-12</v>
      </c>
      <c r="AL192" s="20">
        <f t="shared" si="165"/>
        <v>1.7963379770041364E-11</v>
      </c>
      <c r="AM192" s="59">
        <f t="shared" si="113"/>
        <v>289.97763864702182</v>
      </c>
      <c r="AN192" s="59">
        <f ca="1">AVERAGE(OFFSET($AM$3,0,0,'Données projet'!$E$10+1,1))-AVERAGE(OFFSET($H$3,0,0,'Données projet'!$E$10+1,1))</f>
        <v>752.45542076695506</v>
      </c>
      <c r="AO192" s="59">
        <f t="shared" si="144"/>
        <v>329.70629768420724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153.38051169203226</v>
      </c>
      <c r="AV192" s="21">
        <f>EXP(-LN(2)/25)*AV191+(1-EXP(-LN(2)/25))/(LN(2)/25)*Calculateur!AQ192*Calculateur!AS192*VLOOKUP('Données projet'!$B$10,Paramètres!$A$1:$I$89,3,0)*0.475*44/12</f>
        <v>24.426543241187762</v>
      </c>
      <c r="AW192" s="21">
        <f>EXP(-LN(2)/2)*AW191+(1-EXP(-LN(2)/2))/(LN(2)/2)*AQ192*AT192*VLOOKUP('Données projet'!$B$10,Paramètres!$A$1:$I$89,3,0)*0.475*44/12</f>
        <v>1.4883685790086469</v>
      </c>
      <c r="AX192" s="21">
        <f t="shared" si="166"/>
        <v>179.29542351222867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7.9580786405131221E-13</v>
      </c>
      <c r="BE192" s="13">
        <f>BD192*VLOOKUP('Données projet'!$B$11,Paramètres!$A$1:$I$89,3,0)*VLOOKUP('Données projet'!$B$11,Paramètres!$A$1:$I$89,5,0)</f>
        <v>7.2004695539362725E-13</v>
      </c>
      <c r="BF192" s="13">
        <f t="shared" si="167"/>
        <v>8.5963894794935589E-12</v>
      </c>
      <c r="BG192" s="20">
        <f t="shared" si="168"/>
        <v>1.6226126790761848E-11</v>
      </c>
      <c r="BH192" s="59">
        <f t="shared" si="116"/>
        <v>289.97763864702006</v>
      </c>
      <c r="BI192" s="59">
        <f ca="1">AVERAGE(OFFSET($BH$3,0,0,'Données projet'!$E$11+1,1))-AVERAGE(OFFSET($H$3,0,0,'Données projet'!$E$11+1,1))</f>
        <v>681.47578137804555</v>
      </c>
      <c r="BJ192" s="59">
        <f t="shared" si="146"/>
        <v>300.88511065995885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136.86261043289034</v>
      </c>
      <c r="BQ192" s="21">
        <f>EXP(-LN(2)/25)*BQ191+(1-EXP(-LN(2)/25))/(LN(2)/25)*Calculateur!BL192*Calculateur!BN192*VLOOKUP('Données projet'!$B$11,Paramètres!$A$1:$I$89,3,0)*0.475*44/12</f>
        <v>21.7959924305983</v>
      </c>
      <c r="BR192" s="21">
        <f>EXP(-LN(2)/2)*BR191+(1-EXP(-LN(2)/2))/(LN(2)/2)*BL192*BO192*VLOOKUP('Données projet'!$B$11,Paramètres!$A$1:$I$89,3,0)*0.475*44/12</f>
        <v>1.3280827320384856</v>
      </c>
      <c r="BS192" s="22">
        <f t="shared" si="169"/>
        <v>159.98668559552712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2.2737367544323206E-13</v>
      </c>
      <c r="BZ192" s="13">
        <f>BY192*VLOOKUP('Données projet'!$B$12,Paramètres!$A$1:$I$89,3,0)*VLOOKUP('Données projet'!$B$12,Paramètres!$A$1:$I$89,5,0)</f>
        <v>1.5252226148732008E-13</v>
      </c>
      <c r="CA192" s="13">
        <f t="shared" si="170"/>
        <v>2.1814502464536512E-12</v>
      </c>
      <c r="CB192" s="20">
        <f t="shared" si="171"/>
        <v>4.0650021179971913E-12</v>
      </c>
      <c r="CC192" s="59">
        <f t="shared" si="119"/>
        <v>289.97763864700795</v>
      </c>
      <c r="CD192" s="59">
        <f ca="1">AVERAGE(OFFSET($CC$3,0,0,'Données projet'!$E$12+1,1))-AVERAGE(OFFSET($H$3,0,0,'Données projet'!$E$12+1,1))</f>
        <v>335.73816489539837</v>
      </c>
      <c r="CE192" s="59">
        <f t="shared" si="148"/>
        <v>254.09787950201044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7.8360083107770562</v>
      </c>
      <c r="CL192" s="21">
        <f>EXP(-LN(2)/25)*CL191+(1-EXP(-LN(2)/25))/(LN(2)/25)*Calculateur!CG192*Calculateur!CI192*VLOOKUP('Données projet'!$B$12,Paramètres!$A$1:$I$89,3,0)*0.475*44/12</f>
        <v>4.2416961707453984</v>
      </c>
      <c r="CM192" s="21">
        <f>EXP(-LN(2)/2)*CM191+(1-EXP(-LN(2)/2))/(LN(2)/2)*CG192*CJ192*VLOOKUP('Données projet'!$B$12,Paramètres!$A$1:$I$89,3,0)*0.475*44/12</f>
        <v>6.2967704970763641E-11</v>
      </c>
      <c r="CN192" s="22">
        <f t="shared" si="172"/>
        <v>12.077704481585423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1.1368683772161603E-13</v>
      </c>
      <c r="CU192" s="17">
        <f>CT192*VLOOKUP('Données projet'!$B$13,Paramètres!$A$1:$I$89,3,0)*VLOOKUP('Données projet'!$B$13,Paramètres!$A$1:$I$89,5,0)</f>
        <v>6.7984728957526396E-14</v>
      </c>
      <c r="CV192" s="13">
        <f t="shared" si="173"/>
        <v>1.0682447123141398E-12</v>
      </c>
      <c r="CW192" s="20">
        <f t="shared" si="174"/>
        <v>1.978932943548152E-12</v>
      </c>
      <c r="CX192" s="59">
        <f t="shared" si="122"/>
        <v>289.97763864700585</v>
      </c>
      <c r="CY192" s="59">
        <f ca="1">AVERAGE(OFFSET($CX$3,0,0,'Données projet'!$E$13+1,1))-AVERAGE(OFFSET($H$3,0,0,'Données projet'!$E$13+1,1))</f>
        <v>318.50474972254085</v>
      </c>
      <c r="CZ192" s="59">
        <f t="shared" si="150"/>
        <v>326.45858332753562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10.791829947914499</v>
      </c>
      <c r="DG192" s="21">
        <f>EXP(-LN(2)/25)*DG191+(1-EXP(-LN(2)/25))/(LN(2)/25)*Calculateur!DB192*Calculateur!DD192*VLOOKUP('Données projet'!$B$13,Paramètres!$A$1:$I$89,3,0)*0.475*44/12</f>
        <v>1.3548586827306126</v>
      </c>
      <c r="DH192" s="21">
        <f>EXP(-LN(2)/2)*DH191+(1-EXP(-LN(2)/2))/(LN(2)/2)*DB192*DE192*VLOOKUP('Données projet'!$B$13,Paramètres!$A$1:$I$89,3,0)*0.475*44/12</f>
        <v>2.2984621383971115E-18</v>
      </c>
      <c r="DI192" s="22">
        <f t="shared" si="175"/>
        <v>12.146688630645112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3">
        <f>'Scénario référence'!$B$16*5+'Scénario référence'!$B$17*0+'Scénario référence'!$B$18*5</f>
        <v>5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67">
        <f t="shared" si="110"/>
        <v>183.33333333333334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5.6843418860808015E-14</v>
      </c>
      <c r="O193" s="13">
        <f>N193*VLOOKUP('Données projet'!$B$9,Paramètres!$A$1:$I$89,3,0)*VLOOKUP('Données projet'!$B$9,Paramètres!$A$1:$I$89,5,0)</f>
        <v>5.1431925385259088E-14</v>
      </c>
      <c r="P193" s="13">
        <f t="shared" si="141"/>
        <v>8.3482866290946129E-13</v>
      </c>
      <c r="Q193" s="20">
        <f t="shared" si="162"/>
        <v>1.5435705246133045E-12</v>
      </c>
      <c r="R193" s="59">
        <f t="shared" si="109"/>
        <v>290.03585244760382</v>
      </c>
      <c r="S193" s="59">
        <f ca="1">AVERAGE(OFFSET($R$3,0,0,'Données projet'!$E$9+1,1))-AVERAGE(OFFSET($H$3,0,0,'Données projet'!$E$9+1,1))</f>
        <v>214.60547318405733</v>
      </c>
      <c r="T193" s="59">
        <f t="shared" si="142"/>
        <v>306.35874106546646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0.88360499697325556</v>
      </c>
      <c r="AA193" s="21">
        <f>EXP(-LN(2)/25)*AA192+(1-EXP(-LN(2)/25))/(LN(2)/25)*Calculateur!V193*Calculateur!X193*VLOOKUP('Données projet'!$B$9,Paramètres!$A$1:$I$89,3,0)*0.475*44/12</f>
        <v>0.23722420744848052</v>
      </c>
      <c r="AB193" s="21">
        <f>EXP(-LN(2)/2)*AB192+(1-EXP(-LN(2)/2))/(LN(2)/2)*V193*Y193*VLOOKUP('Données projet'!$B$9,Paramètres!$A$1:$I$89,3,0)*0.475*44/12</f>
        <v>2.0649433510229618E-21</v>
      </c>
      <c r="AC193" s="22">
        <f t="shared" si="163"/>
        <v>1.1208292044217361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7.9580786405131221E-13</v>
      </c>
      <c r="AJ193" s="13">
        <f>AI193*VLOOKUP('Données projet'!$B$10,Paramètres!$A$1:$I$89,3,0)*VLOOKUP('Données projet'!$B$10,Paramètres!$A$1:$I$89,5,0)</f>
        <v>8.0694917414803056E-13</v>
      </c>
      <c r="AK193" s="13">
        <f t="shared" si="164"/>
        <v>9.5069530861628001E-12</v>
      </c>
      <c r="AL193" s="20">
        <f t="shared" si="165"/>
        <v>1.7963379770041364E-11</v>
      </c>
      <c r="AM193" s="59">
        <f t="shared" si="113"/>
        <v>290.03585244762024</v>
      </c>
      <c r="AN193" s="59">
        <f ca="1">AVERAGE(OFFSET($AM$3,0,0,'Données projet'!$E$10+1,1))-AVERAGE(OFFSET($H$3,0,0,'Données projet'!$E$10+1,1))</f>
        <v>752.45542076695506</v>
      </c>
      <c r="AO193" s="59">
        <f t="shared" si="144"/>
        <v>329.70629768420724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150.37281341062607</v>
      </c>
      <c r="AV193" s="21">
        <f>EXP(-LN(2)/25)*AV192+(1-EXP(-LN(2)/25))/(LN(2)/25)*Calculateur!AQ193*Calculateur!AS193*VLOOKUP('Données projet'!$B$10,Paramètres!$A$1:$I$89,3,0)*0.475*44/12</f>
        <v>23.758598131721403</v>
      </c>
      <c r="AW193" s="21">
        <f>EXP(-LN(2)/2)*AW192+(1-EXP(-LN(2)/2))/(LN(2)/2)*AQ193*AT193*VLOOKUP('Données projet'!$B$10,Paramètres!$A$1:$I$89,3,0)*0.475*44/12</f>
        <v>1.052435515122</v>
      </c>
      <c r="AX193" s="21">
        <f t="shared" si="166"/>
        <v>175.18384705746948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7.9580786405131221E-13</v>
      </c>
      <c r="BE193" s="13">
        <f>BD193*VLOOKUP('Données projet'!$B$11,Paramètres!$A$1:$I$89,3,0)*VLOOKUP('Données projet'!$B$11,Paramètres!$A$1:$I$89,5,0)</f>
        <v>7.2004695539362725E-13</v>
      </c>
      <c r="BF193" s="13">
        <f t="shared" si="167"/>
        <v>8.5963894794935589E-12</v>
      </c>
      <c r="BG193" s="20">
        <f t="shared" si="168"/>
        <v>1.6226126790761848E-11</v>
      </c>
      <c r="BH193" s="59">
        <f t="shared" si="116"/>
        <v>290.03585244761848</v>
      </c>
      <c r="BI193" s="59">
        <f ca="1">AVERAGE(OFFSET($BH$3,0,0,'Données projet'!$E$11+1,1))-AVERAGE(OFFSET($H$3,0,0,'Données projet'!$E$11+1,1))</f>
        <v>681.47578137804555</v>
      </c>
      <c r="BJ193" s="59">
        <f t="shared" si="146"/>
        <v>300.88511065995885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134.17881812025095</v>
      </c>
      <c r="BQ193" s="21">
        <f>EXP(-LN(2)/25)*BQ192+(1-EXP(-LN(2)/25))/(LN(2)/25)*Calculateur!BL193*Calculateur!BN193*VLOOKUP('Données projet'!$B$11,Paramètres!$A$1:$I$89,3,0)*0.475*44/12</f>
        <v>21.199979871382162</v>
      </c>
      <c r="BR193" s="21">
        <f>EXP(-LN(2)/2)*BR192+(1-EXP(-LN(2)/2))/(LN(2)/2)*BL193*BO193*VLOOKUP('Données projet'!$B$11,Paramètres!$A$1:$I$89,3,0)*0.475*44/12</f>
        <v>0.93909630580116976</v>
      </c>
      <c r="BS193" s="22">
        <f t="shared" si="169"/>
        <v>156.31789429743429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2.2737367544323206E-13</v>
      </c>
      <c r="BZ193" s="13">
        <f>BY193*VLOOKUP('Données projet'!$B$12,Paramètres!$A$1:$I$89,3,0)*VLOOKUP('Données projet'!$B$12,Paramètres!$A$1:$I$89,5,0)</f>
        <v>1.5252226148732008E-13</v>
      </c>
      <c r="CA193" s="13">
        <f t="shared" si="170"/>
        <v>2.1814502464536512E-12</v>
      </c>
      <c r="CB193" s="20">
        <f t="shared" si="171"/>
        <v>4.0650021179971913E-12</v>
      </c>
      <c r="CC193" s="59">
        <f t="shared" si="119"/>
        <v>290.03585244760637</v>
      </c>
      <c r="CD193" s="59">
        <f ca="1">AVERAGE(OFFSET($CC$3,0,0,'Données projet'!$E$12+1,1))-AVERAGE(OFFSET($H$3,0,0,'Données projet'!$E$12+1,1))</f>
        <v>335.73816489539837</v>
      </c>
      <c r="CE193" s="59">
        <f t="shared" si="148"/>
        <v>254.09787950201044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7.6823489672958516</v>
      </c>
      <c r="CL193" s="21">
        <f>EXP(-LN(2)/25)*CL192+(1-EXP(-LN(2)/25))/(LN(2)/25)*Calculateur!CG193*Calculateur!CI193*VLOOKUP('Données projet'!$B$12,Paramètres!$A$1:$I$89,3,0)*0.475*44/12</f>
        <v>4.1257067658952584</v>
      </c>
      <c r="CM193" s="21">
        <f>EXP(-LN(2)/2)*CM192+(1-EXP(-LN(2)/2))/(LN(2)/2)*CG193*CJ193*VLOOKUP('Données projet'!$B$12,Paramètres!$A$1:$I$89,3,0)*0.475*44/12</f>
        <v>4.4524891180580847E-11</v>
      </c>
      <c r="CN193" s="22">
        <f t="shared" si="172"/>
        <v>11.808055733235635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1.1368683772161603E-13</v>
      </c>
      <c r="CU193" s="17">
        <f>CT193*VLOOKUP('Données projet'!$B$13,Paramètres!$A$1:$I$89,3,0)*VLOOKUP('Données projet'!$B$13,Paramètres!$A$1:$I$89,5,0)</f>
        <v>6.7984728957526396E-14</v>
      </c>
      <c r="CV193" s="13">
        <f t="shared" si="173"/>
        <v>1.0682447123141398E-12</v>
      </c>
      <c r="CW193" s="20">
        <f t="shared" si="174"/>
        <v>1.978932943548152E-12</v>
      </c>
      <c r="CX193" s="59">
        <f t="shared" si="122"/>
        <v>290.03585244760427</v>
      </c>
      <c r="CY193" s="59">
        <f ca="1">AVERAGE(OFFSET($CX$3,0,0,'Données projet'!$E$13+1,1))-AVERAGE(OFFSET($H$3,0,0,'Données projet'!$E$13+1,1))</f>
        <v>318.50474972254085</v>
      </c>
      <c r="CZ193" s="59">
        <f t="shared" si="150"/>
        <v>326.45858332753562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10.580208745002208</v>
      </c>
      <c r="DG193" s="21">
        <f>EXP(-LN(2)/25)*DG192+(1-EXP(-LN(2)/25))/(LN(2)/25)*Calculateur!DB193*Calculateur!DD193*VLOOKUP('Données projet'!$B$13,Paramètres!$A$1:$I$89,3,0)*0.475*44/12</f>
        <v>1.3178100008024225</v>
      </c>
      <c r="DH193" s="21">
        <f>EXP(-LN(2)/2)*DH192+(1-EXP(-LN(2)/2))/(LN(2)/2)*DB193*DE193*VLOOKUP('Données projet'!$B$13,Paramètres!$A$1:$I$89,3,0)*0.475*44/12</f>
        <v>1.6252581643611304E-18</v>
      </c>
      <c r="DI193" s="22">
        <f t="shared" si="175"/>
        <v>11.898018745804631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3">
        <f>'Scénario référence'!$B$16*5+'Scénario référence'!$B$17*0+'Scénario référence'!$B$18*5</f>
        <v>5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67">
        <f t="shared" si="110"/>
        <v>183.33333333333334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5.6843418860808015E-14</v>
      </c>
      <c r="O194" s="13">
        <f>N194*VLOOKUP('Données projet'!$B$9,Paramètres!$A$1:$I$89,3,0)*VLOOKUP('Données projet'!$B$9,Paramètres!$A$1:$I$89,5,0)</f>
        <v>5.1431925385259088E-14</v>
      </c>
      <c r="P194" s="13">
        <f t="shared" si="141"/>
        <v>8.3482866290946129E-13</v>
      </c>
      <c r="Q194" s="20">
        <f t="shared" si="162"/>
        <v>1.5435705246133045E-12</v>
      </c>
      <c r="R194" s="59">
        <f t="shared" si="109"/>
        <v>290.09305636890838</v>
      </c>
      <c r="S194" s="59">
        <f ca="1">AVERAGE(OFFSET($R$3,0,0,'Données projet'!$E$9+1,1))-AVERAGE(OFFSET($H$3,0,0,'Données projet'!$E$9+1,1))</f>
        <v>214.60547318405733</v>
      </c>
      <c r="T194" s="59">
        <f t="shared" si="142"/>
        <v>306.35874106546646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0.86627804192844171</v>
      </c>
      <c r="AA194" s="21">
        <f>EXP(-LN(2)/25)*AA193+(1-EXP(-LN(2)/25))/(LN(2)/25)*Calculateur!V194*Calculateur!X194*VLOOKUP('Données projet'!$B$9,Paramètres!$A$1:$I$89,3,0)*0.475*44/12</f>
        <v>0.23073729902072293</v>
      </c>
      <c r="AB194" s="21">
        <f>EXP(-LN(2)/2)*AB193+(1-EXP(-LN(2)/2))/(LN(2)/2)*V194*Y194*VLOOKUP('Données projet'!$B$9,Paramètres!$A$1:$I$89,3,0)*0.475*44/12</f>
        <v>1.4601354462744097E-21</v>
      </c>
      <c r="AC194" s="22">
        <f t="shared" si="163"/>
        <v>1.0970153409491648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7.9580786405131221E-13</v>
      </c>
      <c r="AJ194" s="13">
        <f>AI194*VLOOKUP('Données projet'!$B$10,Paramètres!$A$1:$I$89,3,0)*VLOOKUP('Données projet'!$B$10,Paramètres!$A$1:$I$89,5,0)</f>
        <v>8.0694917414803056E-13</v>
      </c>
      <c r="AK194" s="13">
        <f t="shared" si="164"/>
        <v>9.5069530861628001E-12</v>
      </c>
      <c r="AL194" s="20">
        <f t="shared" si="165"/>
        <v>1.7963379770041364E-11</v>
      </c>
      <c r="AM194" s="59">
        <f t="shared" si="113"/>
        <v>290.09305636892481</v>
      </c>
      <c r="AN194" s="59">
        <f ca="1">AVERAGE(OFFSET($AM$3,0,0,'Données projet'!$E$10+1,1))-AVERAGE(OFFSET($H$3,0,0,'Données projet'!$E$10+1,1))</f>
        <v>752.45542076695506</v>
      </c>
      <c r="AO194" s="59">
        <f t="shared" si="144"/>
        <v>329.70629768420724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147.42409425800344</v>
      </c>
      <c r="AV194" s="21">
        <f>EXP(-LN(2)/25)*AV193+(1-EXP(-LN(2)/25))/(LN(2)/25)*Calculateur!AQ194*Calculateur!AS194*VLOOKUP('Données projet'!$B$10,Paramètres!$A$1:$I$89,3,0)*0.475*44/12</f>
        <v>23.108918016399105</v>
      </c>
      <c r="AW194" s="21">
        <f>EXP(-LN(2)/2)*AW193+(1-EXP(-LN(2)/2))/(LN(2)/2)*AQ194*AT194*VLOOKUP('Données projet'!$B$10,Paramètres!$A$1:$I$89,3,0)*0.475*44/12</f>
        <v>0.74418428950432347</v>
      </c>
      <c r="AX194" s="21">
        <f t="shared" si="166"/>
        <v>171.27719656390687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7.9580786405131221E-13</v>
      </c>
      <c r="BE194" s="13">
        <f>BD194*VLOOKUP('Données projet'!$B$11,Paramètres!$A$1:$I$89,3,0)*VLOOKUP('Données projet'!$B$11,Paramètres!$A$1:$I$89,5,0)</f>
        <v>7.2004695539362725E-13</v>
      </c>
      <c r="BF194" s="13">
        <f t="shared" si="167"/>
        <v>8.5963894794935589E-12</v>
      </c>
      <c r="BG194" s="20">
        <f t="shared" si="168"/>
        <v>1.6226126790761848E-11</v>
      </c>
      <c r="BH194" s="59">
        <f t="shared" si="116"/>
        <v>290.09305636892304</v>
      </c>
      <c r="BI194" s="59">
        <f ca="1">AVERAGE(OFFSET($BH$3,0,0,'Données projet'!$E$11+1,1))-AVERAGE(OFFSET($H$3,0,0,'Données projet'!$E$11+1,1))</f>
        <v>681.47578137804555</v>
      </c>
      <c r="BJ194" s="59">
        <f t="shared" si="146"/>
        <v>300.88511065995885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131.54765333791076</v>
      </c>
      <c r="BQ194" s="21">
        <f>EXP(-LN(2)/25)*BQ193+(1-EXP(-LN(2)/25))/(LN(2)/25)*Calculateur!BL194*Calculateur!BN194*VLOOKUP('Données projet'!$B$11,Paramètres!$A$1:$I$89,3,0)*0.475*44/12</f>
        <v>20.620265306940727</v>
      </c>
      <c r="BR194" s="21">
        <f>EXP(-LN(2)/2)*BR193+(1-EXP(-LN(2)/2))/(LN(2)/2)*BL194*BO194*VLOOKUP('Données projet'!$B$11,Paramètres!$A$1:$I$89,3,0)*0.475*44/12</f>
        <v>0.66404136601924291</v>
      </c>
      <c r="BS194" s="22">
        <f t="shared" si="169"/>
        <v>152.83196001087072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2.2737367544323206E-13</v>
      </c>
      <c r="BZ194" s="13">
        <f>BY194*VLOOKUP('Données projet'!$B$12,Paramètres!$A$1:$I$89,3,0)*VLOOKUP('Données projet'!$B$12,Paramètres!$A$1:$I$89,5,0)</f>
        <v>1.5252226148732008E-13</v>
      </c>
      <c r="CA194" s="13">
        <f t="shared" si="170"/>
        <v>2.1814502464536512E-12</v>
      </c>
      <c r="CB194" s="20">
        <f t="shared" si="171"/>
        <v>4.0650021179971913E-12</v>
      </c>
      <c r="CC194" s="59">
        <f t="shared" si="119"/>
        <v>290.09305636891094</v>
      </c>
      <c r="CD194" s="59">
        <f ca="1">AVERAGE(OFFSET($CC$3,0,0,'Données projet'!$E$12+1,1))-AVERAGE(OFFSET($H$3,0,0,'Données projet'!$E$12+1,1))</f>
        <v>335.73816489539837</v>
      </c>
      <c r="CE194" s="59">
        <f t="shared" si="148"/>
        <v>254.09787950201044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7.531702789817369</v>
      </c>
      <c r="CL194" s="21">
        <f>EXP(-LN(2)/25)*CL193+(1-EXP(-LN(2)/25))/(LN(2)/25)*Calculateur!CG194*Calculateur!CI194*VLOOKUP('Données projet'!$B$12,Paramètres!$A$1:$I$89,3,0)*0.475*44/12</f>
        <v>4.0128890974203628</v>
      </c>
      <c r="CM194" s="21">
        <f>EXP(-LN(2)/2)*CM193+(1-EXP(-LN(2)/2))/(LN(2)/2)*CG194*CJ194*VLOOKUP('Données projet'!$B$12,Paramètres!$A$1:$I$89,3,0)*0.475*44/12</f>
        <v>3.148385248538182E-11</v>
      </c>
      <c r="CN194" s="22">
        <f t="shared" si="172"/>
        <v>11.544591887269217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1.1368683772161603E-13</v>
      </c>
      <c r="CU194" s="17">
        <f>CT194*VLOOKUP('Données projet'!$B$13,Paramètres!$A$1:$I$89,3,0)*VLOOKUP('Données projet'!$B$13,Paramètres!$A$1:$I$89,5,0)</f>
        <v>6.7984728957526396E-14</v>
      </c>
      <c r="CV194" s="13">
        <f t="shared" si="173"/>
        <v>1.0682447123141398E-12</v>
      </c>
      <c r="CW194" s="20">
        <f t="shared" si="174"/>
        <v>1.978932943548152E-12</v>
      </c>
      <c r="CX194" s="59">
        <f t="shared" si="122"/>
        <v>290.09305636890883</v>
      </c>
      <c r="CY194" s="59">
        <f ca="1">AVERAGE(OFFSET($CX$3,0,0,'Données projet'!$E$13+1,1))-AVERAGE(OFFSET($H$3,0,0,'Données projet'!$E$13+1,1))</f>
        <v>318.50474972254085</v>
      </c>
      <c r="CZ194" s="59">
        <f t="shared" si="150"/>
        <v>326.45858332753562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10.37273730480284</v>
      </c>
      <c r="DG194" s="21">
        <f>EXP(-LN(2)/25)*DG193+(1-EXP(-LN(2)/25))/(LN(2)/25)*Calculateur!DB194*Calculateur!DD194*VLOOKUP('Données projet'!$B$13,Paramètres!$A$1:$I$89,3,0)*0.475*44/12</f>
        <v>1.2817744170298642</v>
      </c>
      <c r="DH194" s="21">
        <f>EXP(-LN(2)/2)*DH193+(1-EXP(-LN(2)/2))/(LN(2)/2)*DB194*DE194*VLOOKUP('Données projet'!$B$13,Paramètres!$A$1:$I$89,3,0)*0.475*44/12</f>
        <v>1.1492310691985557E-18</v>
      </c>
      <c r="DI194" s="22">
        <f t="shared" si="175"/>
        <v>11.654511721832703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3">
        <f>'Scénario référence'!$B$16*5+'Scénario référence'!$B$17*0+'Scénario référence'!$B$18*5</f>
        <v>5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67">
        <f t="shared" si="110"/>
        <v>183.33333333333334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5.6843418860808015E-14</v>
      </c>
      <c r="O195" s="13">
        <f>N195*VLOOKUP('Données projet'!$B$9,Paramètres!$A$1:$I$89,3,0)*VLOOKUP('Données projet'!$B$9,Paramètres!$A$1:$I$89,5,0)</f>
        <v>5.1431925385259088E-14</v>
      </c>
      <c r="P195" s="13">
        <f t="shared" si="141"/>
        <v>8.3482866290946129E-13</v>
      </c>
      <c r="Q195" s="20">
        <f t="shared" si="162"/>
        <v>1.5435705246133045E-12</v>
      </c>
      <c r="R195" s="59">
        <f t="shared" ref="R195:R203" si="191">Q195+(I195+J195)*44/12</f>
        <v>290.1492679300672</v>
      </c>
      <c r="S195" s="59">
        <f ca="1">AVERAGE(OFFSET($R$3,0,0,'Données projet'!$E$9+1,1))-AVERAGE(OFFSET($H$3,0,0,'Données projet'!$E$9+1,1))</f>
        <v>214.60547318405733</v>
      </c>
      <c r="T195" s="59">
        <f t="shared" si="142"/>
        <v>306.35874106546646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0.84929085790365766</v>
      </c>
      <c r="AA195" s="21">
        <f>EXP(-LN(2)/25)*AA194+(1-EXP(-LN(2)/25))/(LN(2)/25)*Calculateur!V195*Calculateur!X195*VLOOKUP('Données projet'!$B$9,Paramètres!$A$1:$I$89,3,0)*0.475*44/12</f>
        <v>0.22442777544505407</v>
      </c>
      <c r="AB195" s="21">
        <f>EXP(-LN(2)/2)*AB194+(1-EXP(-LN(2)/2))/(LN(2)/2)*V195*Y195*VLOOKUP('Données projet'!$B$9,Paramètres!$A$1:$I$89,3,0)*0.475*44/12</f>
        <v>1.0324716755114809E-21</v>
      </c>
      <c r="AC195" s="22">
        <f t="shared" si="163"/>
        <v>1.0737186333487116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7.9580786405131221E-13</v>
      </c>
      <c r="AJ195" s="13">
        <f>AI195*VLOOKUP('Données projet'!$B$10,Paramètres!$A$1:$I$89,3,0)*VLOOKUP('Données projet'!$B$10,Paramètres!$A$1:$I$89,5,0)</f>
        <v>8.0694917414803056E-13</v>
      </c>
      <c r="AK195" s="13">
        <f t="shared" si="164"/>
        <v>9.5069530861628001E-12</v>
      </c>
      <c r="AL195" s="20">
        <f t="shared" si="165"/>
        <v>1.7963379770041364E-11</v>
      </c>
      <c r="AM195" s="59">
        <f t="shared" si="113"/>
        <v>290.14926793008362</v>
      </c>
      <c r="AN195" s="59">
        <f ca="1">AVERAGE(OFFSET($AM$3,0,0,'Données projet'!$E$10+1,1))-AVERAGE(OFFSET($H$3,0,0,'Données projet'!$E$10+1,1))</f>
        <v>752.45542076695506</v>
      </c>
      <c r="AO195" s="59">
        <f t="shared" si="144"/>
        <v>329.70629768420724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144.53319768942265</v>
      </c>
      <c r="AV195" s="21">
        <f>EXP(-LN(2)/25)*AV194+(1-EXP(-LN(2)/25))/(LN(2)/25)*Calculateur!AQ195*Calculateur!AS195*VLOOKUP('Données projet'!$B$10,Paramètres!$A$1:$I$89,3,0)*0.475*44/12</f>
        <v>22.477003437995489</v>
      </c>
      <c r="AW195" s="21">
        <f>EXP(-LN(2)/2)*AW194+(1-EXP(-LN(2)/2))/(LN(2)/2)*AQ195*AT195*VLOOKUP('Données projet'!$B$10,Paramètres!$A$1:$I$89,3,0)*0.475*44/12</f>
        <v>0.52621775756099998</v>
      </c>
      <c r="AX195" s="21">
        <f t="shared" si="166"/>
        <v>167.53641888497913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7.9580786405131221E-13</v>
      </c>
      <c r="BE195" s="13">
        <f>BD195*VLOOKUP('Données projet'!$B$11,Paramètres!$A$1:$I$89,3,0)*VLOOKUP('Données projet'!$B$11,Paramètres!$A$1:$I$89,5,0)</f>
        <v>7.2004695539362725E-13</v>
      </c>
      <c r="BF195" s="13">
        <f t="shared" si="167"/>
        <v>8.5963894794935589E-12</v>
      </c>
      <c r="BG195" s="20">
        <f t="shared" si="168"/>
        <v>1.6226126790761848E-11</v>
      </c>
      <c r="BH195" s="59">
        <f t="shared" si="116"/>
        <v>290.14926793008186</v>
      </c>
      <c r="BI195" s="59">
        <f ca="1">AVERAGE(OFFSET($BH$3,0,0,'Données projet'!$E$11+1,1))-AVERAGE(OFFSET($H$3,0,0,'Données projet'!$E$11+1,1))</f>
        <v>681.47578137804555</v>
      </c>
      <c r="BJ195" s="59">
        <f t="shared" si="146"/>
        <v>300.88511065995885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128.96808409210021</v>
      </c>
      <c r="BQ195" s="21">
        <f>EXP(-LN(2)/25)*BQ194+(1-EXP(-LN(2)/25))/(LN(2)/25)*Calculateur!BL195*Calculateur!BN195*VLOOKUP('Données projet'!$B$11,Paramètres!$A$1:$I$89,3,0)*0.475*44/12</f>
        <v>20.056403067749809</v>
      </c>
      <c r="BR195" s="21">
        <f>EXP(-LN(2)/2)*BR194+(1-EXP(-LN(2)/2))/(LN(2)/2)*BL195*BO195*VLOOKUP('Données projet'!$B$11,Paramètres!$A$1:$I$89,3,0)*0.475*44/12</f>
        <v>0.46954815290058494</v>
      </c>
      <c r="BS195" s="22">
        <f t="shared" si="169"/>
        <v>149.49403531275061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2.2737367544323206E-13</v>
      </c>
      <c r="BZ195" s="13">
        <f>BY195*VLOOKUP('Données projet'!$B$12,Paramètres!$A$1:$I$89,3,0)*VLOOKUP('Données projet'!$B$12,Paramètres!$A$1:$I$89,5,0)</f>
        <v>1.5252226148732008E-13</v>
      </c>
      <c r="CA195" s="13">
        <f t="shared" si="170"/>
        <v>2.1814502464536512E-12</v>
      </c>
      <c r="CB195" s="20">
        <f t="shared" si="171"/>
        <v>4.0650021179971913E-12</v>
      </c>
      <c r="CC195" s="59">
        <f t="shared" si="119"/>
        <v>290.14926793006975</v>
      </c>
      <c r="CD195" s="59">
        <f ca="1">AVERAGE(OFFSET($CC$3,0,0,'Données projet'!$E$12+1,1))-AVERAGE(OFFSET($H$3,0,0,'Données projet'!$E$12+1,1))</f>
        <v>335.73816489539837</v>
      </c>
      <c r="CE195" s="59">
        <f t="shared" si="148"/>
        <v>254.09787950201044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7.3840106919941437</v>
      </c>
      <c r="CL195" s="21">
        <f>EXP(-LN(2)/25)*CL194+(1-EXP(-LN(2)/25))/(LN(2)/25)*Calculateur!CG195*Calculateur!CI195*VLOOKUP('Données projet'!$B$12,Paramètres!$A$1:$I$89,3,0)*0.475*44/12</f>
        <v>3.9031564340227369</v>
      </c>
      <c r="CM195" s="21">
        <f>EXP(-LN(2)/2)*CM194+(1-EXP(-LN(2)/2))/(LN(2)/2)*CG195*CJ195*VLOOKUP('Données projet'!$B$12,Paramètres!$A$1:$I$89,3,0)*0.475*44/12</f>
        <v>2.2262445590290424E-11</v>
      </c>
      <c r="CN195" s="22">
        <f t="shared" si="172"/>
        <v>11.287167126039144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1.1368683772161603E-13</v>
      </c>
      <c r="CU195" s="17">
        <f>CT195*VLOOKUP('Données projet'!$B$13,Paramètres!$A$1:$I$89,3,0)*VLOOKUP('Données projet'!$B$13,Paramètres!$A$1:$I$89,5,0)</f>
        <v>6.7984728957526396E-14</v>
      </c>
      <c r="CV195" s="13">
        <f t="shared" si="173"/>
        <v>1.0682447123141398E-12</v>
      </c>
      <c r="CW195" s="20">
        <f t="shared" si="174"/>
        <v>1.978932943548152E-12</v>
      </c>
      <c r="CX195" s="59">
        <f t="shared" si="122"/>
        <v>290.14926793006765</v>
      </c>
      <c r="CY195" s="59">
        <f ca="1">AVERAGE(OFFSET($CX$3,0,0,'Données projet'!$E$13+1,1))-AVERAGE(OFFSET($H$3,0,0,'Données projet'!$E$13+1,1))</f>
        <v>318.50474972254085</v>
      </c>
      <c r="CZ195" s="59">
        <f t="shared" si="150"/>
        <v>326.45858332753562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10.169334253000697</v>
      </c>
      <c r="DG195" s="21">
        <f>EXP(-LN(2)/25)*DG194+(1-EXP(-LN(2)/25))/(LN(2)/25)*Calculateur!DB195*Calculateur!DD195*VLOOKUP('Données projet'!$B$13,Paramètres!$A$1:$I$89,3,0)*0.475*44/12</f>
        <v>1.2467242281905955</v>
      </c>
      <c r="DH195" s="21">
        <f>EXP(-LN(2)/2)*DH194+(1-EXP(-LN(2)/2))/(LN(2)/2)*DB195*DE195*VLOOKUP('Données projet'!$B$13,Paramètres!$A$1:$I$89,3,0)*0.475*44/12</f>
        <v>8.1262908218056521E-19</v>
      </c>
      <c r="DI195" s="22">
        <f t="shared" si="175"/>
        <v>11.416058481191293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3">
        <f>'Scénario référence'!$B$16*5+'Scénario référence'!$B$17*0+'Scénario référence'!$B$18*5</f>
        <v>5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67">
        <f t="shared" ref="H196:H203" si="192">(B196+E196+F196)*44/12+(C196+D196)*0.475*44/12</f>
        <v>183.33333333333334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5.6843418860808015E-14</v>
      </c>
      <c r="O196" s="13">
        <f>N196*VLOOKUP('Données projet'!$B$9,Paramètres!$A$1:$I$89,3,0)*VLOOKUP('Données projet'!$B$9,Paramètres!$A$1:$I$89,5,0)</f>
        <v>5.1431925385259088E-14</v>
      </c>
      <c r="P196" s="13">
        <f t="shared" si="141"/>
        <v>8.3482866290946129E-13</v>
      </c>
      <c r="Q196" s="20">
        <f t="shared" si="162"/>
        <v>1.5435705246133045E-12</v>
      </c>
      <c r="R196" s="59">
        <f t="shared" si="191"/>
        <v>290.20450434631005</v>
      </c>
      <c r="S196" s="59">
        <f ca="1">AVERAGE(OFFSET($R$3,0,0,'Données projet'!$E$9+1,1))-AVERAGE(OFFSET($H$3,0,0,'Données projet'!$E$9+1,1))</f>
        <v>214.60547318405733</v>
      </c>
      <c r="T196" s="59">
        <f t="shared" si="142"/>
        <v>306.35874106546646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0.83263678219644044</v>
      </c>
      <c r="AA196" s="21">
        <f>EXP(-LN(2)/25)*AA195+(1-EXP(-LN(2)/25))/(LN(2)/25)*Calculateur!V196*Calculateur!X196*VLOOKUP('Données projet'!$B$9,Paramètres!$A$1:$I$89,3,0)*0.475*44/12</f>
        <v>0.2182907861233653</v>
      </c>
      <c r="AB196" s="21">
        <f>EXP(-LN(2)/2)*AB195+(1-EXP(-LN(2)/2))/(LN(2)/2)*V196*Y196*VLOOKUP('Données projet'!$B$9,Paramètres!$A$1:$I$89,3,0)*0.475*44/12</f>
        <v>7.3006772313720483E-22</v>
      </c>
      <c r="AC196" s="22">
        <f t="shared" si="163"/>
        <v>1.0509275683198058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7.9580786405131221E-13</v>
      </c>
      <c r="AJ196" s="13">
        <f>AI196*VLOOKUP('Données projet'!$B$10,Paramètres!$A$1:$I$89,3,0)*VLOOKUP('Données projet'!$B$10,Paramètres!$A$1:$I$89,5,0)</f>
        <v>8.0694917414803056E-13</v>
      </c>
      <c r="AK196" s="13">
        <f t="shared" si="164"/>
        <v>9.5069530861628001E-12</v>
      </c>
      <c r="AL196" s="20">
        <f t="shared" si="165"/>
        <v>1.7963379770041364E-11</v>
      </c>
      <c r="AM196" s="59">
        <f t="shared" ref="AM196:AM203" si="193">AL196+(AD196+AE196)*44/12</f>
        <v>290.20450434632647</v>
      </c>
      <c r="AN196" s="59">
        <f ca="1">AVERAGE(OFFSET($AM$3,0,0,'Données projet'!$E$10+1,1))-AVERAGE(OFFSET($H$3,0,0,'Données projet'!$E$10+1,1))</f>
        <v>752.45542076695506</v>
      </c>
      <c r="AO196" s="59">
        <f t="shared" si="144"/>
        <v>329.70629768420724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141.69898983927894</v>
      </c>
      <c r="AV196" s="21">
        <f>EXP(-LN(2)/25)*AV195+(1-EXP(-LN(2)/25))/(LN(2)/25)*Calculateur!AQ196*Calculateur!AS196*VLOOKUP('Données projet'!$B$10,Paramètres!$A$1:$I$89,3,0)*0.475*44/12</f>
        <v>21.862368596969262</v>
      </c>
      <c r="AW196" s="21">
        <f>EXP(-LN(2)/2)*AW195+(1-EXP(-LN(2)/2))/(LN(2)/2)*AQ196*AT196*VLOOKUP('Données projet'!$B$10,Paramètres!$A$1:$I$89,3,0)*0.475*44/12</f>
        <v>0.37209214475216174</v>
      </c>
      <c r="AX196" s="21">
        <f t="shared" si="166"/>
        <v>163.93345058100039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7.9580786405131221E-13</v>
      </c>
      <c r="BE196" s="13">
        <f>BD196*VLOOKUP('Données projet'!$B$11,Paramètres!$A$1:$I$89,3,0)*VLOOKUP('Données projet'!$B$11,Paramètres!$A$1:$I$89,5,0)</f>
        <v>7.2004695539362725E-13</v>
      </c>
      <c r="BF196" s="13">
        <f t="shared" si="167"/>
        <v>8.5963894794935589E-12</v>
      </c>
      <c r="BG196" s="20">
        <f t="shared" si="168"/>
        <v>1.6226126790761848E-11</v>
      </c>
      <c r="BH196" s="59">
        <f t="shared" ref="BH196:BH203" si="194">BG196+(AY196+AZ196)*44/12</f>
        <v>290.20450434632471</v>
      </c>
      <c r="BI196" s="59">
        <f ca="1">AVERAGE(OFFSET($BH$3,0,0,'Données projet'!$E$11+1,1))-AVERAGE(OFFSET($H$3,0,0,'Données projet'!$E$11+1,1))</f>
        <v>681.47578137804555</v>
      </c>
      <c r="BJ196" s="59">
        <f t="shared" si="146"/>
        <v>300.88511065995885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126.43909862581812</v>
      </c>
      <c r="BQ196" s="21">
        <f>EXP(-LN(2)/25)*BQ195+(1-EXP(-LN(2)/25))/(LN(2)/25)*Calculateur!BL196*Calculateur!BN196*VLOOKUP('Données projet'!$B$11,Paramètres!$A$1:$I$89,3,0)*0.475*44/12</f>
        <v>19.507959671141794</v>
      </c>
      <c r="BR196" s="21">
        <f>EXP(-LN(2)/2)*BR195+(1-EXP(-LN(2)/2))/(LN(2)/2)*BL196*BO196*VLOOKUP('Données projet'!$B$11,Paramètres!$A$1:$I$89,3,0)*0.475*44/12</f>
        <v>0.33202068300962151</v>
      </c>
      <c r="BS196" s="22">
        <f t="shared" si="169"/>
        <v>146.27907897996954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2.2737367544323206E-13</v>
      </c>
      <c r="BZ196" s="13">
        <f>BY196*VLOOKUP('Données projet'!$B$12,Paramètres!$A$1:$I$89,3,0)*VLOOKUP('Données projet'!$B$12,Paramètres!$A$1:$I$89,5,0)</f>
        <v>1.5252226148732008E-13</v>
      </c>
      <c r="CA196" s="13">
        <f t="shared" si="170"/>
        <v>2.1814502464536512E-12</v>
      </c>
      <c r="CB196" s="20">
        <f t="shared" si="171"/>
        <v>4.0650021179971913E-12</v>
      </c>
      <c r="CC196" s="59">
        <f t="shared" ref="CC196:CC203" si="195">CB196+(BT196+BU196)*44/12</f>
        <v>290.2045043463126</v>
      </c>
      <c r="CD196" s="59">
        <f ca="1">AVERAGE(OFFSET($CC$3,0,0,'Données projet'!$E$12+1,1))-AVERAGE(OFFSET($H$3,0,0,'Données projet'!$E$12+1,1))</f>
        <v>335.73816489539837</v>
      </c>
      <c r="CE196" s="59">
        <f t="shared" si="148"/>
        <v>254.09787950201044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7.2392147461259473</v>
      </c>
      <c r="CL196" s="21">
        <f>EXP(-LN(2)/25)*CL195+(1-EXP(-LN(2)/25))/(LN(2)/25)*Calculateur!CG196*Calculateur!CI196*VLOOKUP('Données projet'!$B$12,Paramètres!$A$1:$I$89,3,0)*0.475*44/12</f>
        <v>3.796424416076309</v>
      </c>
      <c r="CM196" s="21">
        <f>EXP(-LN(2)/2)*CM195+(1-EXP(-LN(2)/2))/(LN(2)/2)*CG196*CJ196*VLOOKUP('Données projet'!$B$12,Paramètres!$A$1:$I$89,3,0)*0.475*44/12</f>
        <v>1.574192624269091E-11</v>
      </c>
      <c r="CN196" s="22">
        <f t="shared" si="172"/>
        <v>11.035639162217999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1.1368683772161603E-13</v>
      </c>
      <c r="CU196" s="17">
        <f>CT196*VLOOKUP('Données projet'!$B$13,Paramètres!$A$1:$I$89,3,0)*VLOOKUP('Données projet'!$B$13,Paramètres!$A$1:$I$89,5,0)</f>
        <v>6.7984728957526396E-14</v>
      </c>
      <c r="CV196" s="13">
        <f t="shared" si="173"/>
        <v>1.0682447123141398E-12</v>
      </c>
      <c r="CW196" s="20">
        <f t="shared" si="174"/>
        <v>1.978932943548152E-12</v>
      </c>
      <c r="CX196" s="59">
        <f t="shared" ref="CX196:CX203" si="196">CW196+(CO196+CP196)*44/12</f>
        <v>290.2045043463105</v>
      </c>
      <c r="CY196" s="59">
        <f ca="1">AVERAGE(OFFSET($CX$3,0,0,'Données projet'!$E$13+1,1))-AVERAGE(OFFSET($H$3,0,0,'Données projet'!$E$13+1,1))</f>
        <v>318.50474972254085</v>
      </c>
      <c r="CZ196" s="59">
        <f t="shared" si="150"/>
        <v>326.45858332753562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9.9699198109807838</v>
      </c>
      <c r="DG196" s="21">
        <f>EXP(-LN(2)/25)*DG195+(1-EXP(-LN(2)/25))/(LN(2)/25)*Calculateur!DB196*Calculateur!DD196*VLOOKUP('Données projet'!$B$13,Paramètres!$A$1:$I$89,3,0)*0.475*44/12</f>
        <v>1.2126324886083459</v>
      </c>
      <c r="DH196" s="21">
        <f>EXP(-LN(2)/2)*DH195+(1-EXP(-LN(2)/2))/(LN(2)/2)*DB196*DE196*VLOOKUP('Données projet'!$B$13,Paramètres!$A$1:$I$89,3,0)*0.475*44/12</f>
        <v>5.7461553459927786E-19</v>
      </c>
      <c r="DI196" s="22">
        <f t="shared" si="175"/>
        <v>11.18255229958913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3">
        <f>'Scénario référence'!$B$16*5+'Scénario référence'!$B$17*0+'Scénario référence'!$B$18*5</f>
        <v>5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67">
        <f t="shared" si="192"/>
        <v>183.33333333333334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5.6843418860808015E-14</v>
      </c>
      <c r="O197" s="13">
        <f>N197*VLOOKUP('Données projet'!$B$9,Paramètres!$A$1:$I$89,3,0)*VLOOKUP('Données projet'!$B$9,Paramètres!$A$1:$I$89,5,0)</f>
        <v>5.1431925385259088E-14</v>
      </c>
      <c r="P197" s="13">
        <f t="shared" ref="P197:P203" si="203">EXP(-1.0587+0.8836*LN(O197)+0.284)</f>
        <v>8.3482866290946129E-13</v>
      </c>
      <c r="Q197" s="20">
        <f t="shared" si="162"/>
        <v>1.5435705246133045E-12</v>
      </c>
      <c r="R197" s="59">
        <f t="shared" si="191"/>
        <v>290.25878253422127</v>
      </c>
      <c r="S197" s="59">
        <f ca="1">AVERAGE(OFFSET($R$3,0,0,'Données projet'!$E$9+1,1))-AVERAGE(OFFSET($H$3,0,0,'Données projet'!$E$9+1,1))</f>
        <v>214.60547318405733</v>
      </c>
      <c r="T197" s="59">
        <f t="shared" ref="T197:T203" si="204">$T$3</f>
        <v>306.35874106546646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0.81630928275585857</v>
      </c>
      <c r="AA197" s="21">
        <f>EXP(-LN(2)/25)*AA196+(1-EXP(-LN(2)/25))/(LN(2)/25)*Calculateur!V197*Calculateur!X197*VLOOKUP('Données projet'!$B$9,Paramètres!$A$1:$I$89,3,0)*0.475*44/12</f>
        <v>0.21232161309740835</v>
      </c>
      <c r="AB197" s="21">
        <f>EXP(-LN(2)/2)*AB196+(1-EXP(-LN(2)/2))/(LN(2)/2)*V197*Y197*VLOOKUP('Données projet'!$B$9,Paramètres!$A$1:$I$89,3,0)*0.475*44/12</f>
        <v>5.1623583775574045E-22</v>
      </c>
      <c r="AC197" s="22">
        <f t="shared" si="163"/>
        <v>1.0286308958532668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7.9580786405131221E-13</v>
      </c>
      <c r="AJ197" s="13">
        <f>AI197*VLOOKUP('Données projet'!$B$10,Paramètres!$A$1:$I$89,3,0)*VLOOKUP('Données projet'!$B$10,Paramètres!$A$1:$I$89,5,0)</f>
        <v>8.0694917414803056E-13</v>
      </c>
      <c r="AK197" s="13">
        <f t="shared" si="164"/>
        <v>9.5069530861628001E-12</v>
      </c>
      <c r="AL197" s="20">
        <f t="shared" si="165"/>
        <v>1.7963379770041364E-11</v>
      </c>
      <c r="AM197" s="59">
        <f t="shared" si="193"/>
        <v>290.2587825342377</v>
      </c>
      <c r="AN197" s="59">
        <f ca="1">AVERAGE(OFFSET($AM$3,0,0,'Données projet'!$E$10+1,1))-AVERAGE(OFFSET($H$3,0,0,'Données projet'!$E$10+1,1))</f>
        <v>752.45542076695506</v>
      </c>
      <c r="AO197" s="59">
        <f t="shared" ref="AO197:AO203" si="205">$AO$3</f>
        <v>329.70629768420724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138.92035907638044</v>
      </c>
      <c r="AV197" s="21">
        <f>EXP(-LN(2)/25)*AV196+(1-EXP(-LN(2)/25))/(LN(2)/25)*Calculateur!AQ197*Calculateur!AS197*VLOOKUP('Données projet'!$B$10,Paramètres!$A$1:$I$89,3,0)*0.475*44/12</f>
        <v>21.264540977993139</v>
      </c>
      <c r="AW197" s="21">
        <f>EXP(-LN(2)/2)*AW196+(1-EXP(-LN(2)/2))/(LN(2)/2)*AQ197*AT197*VLOOKUP('Données projet'!$B$10,Paramètres!$A$1:$I$89,3,0)*0.475*44/12</f>
        <v>0.26310887878049999</v>
      </c>
      <c r="AX197" s="21">
        <f t="shared" si="166"/>
        <v>160.44800893315409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7.9580786405131221E-13</v>
      </c>
      <c r="BE197" s="13">
        <f>BD197*VLOOKUP('Données projet'!$B$11,Paramètres!$A$1:$I$89,3,0)*VLOOKUP('Données projet'!$B$11,Paramètres!$A$1:$I$89,5,0)</f>
        <v>7.2004695539362725E-13</v>
      </c>
      <c r="BF197" s="13">
        <f t="shared" si="167"/>
        <v>8.5963894794935589E-12</v>
      </c>
      <c r="BG197" s="20">
        <f t="shared" si="168"/>
        <v>1.6226126790761848E-11</v>
      </c>
      <c r="BH197" s="59">
        <f t="shared" si="194"/>
        <v>290.25878253423593</v>
      </c>
      <c r="BI197" s="59">
        <f ca="1">AVERAGE(OFFSET($BH$3,0,0,'Données projet'!$E$11+1,1))-AVERAGE(OFFSET($H$3,0,0,'Données projet'!$E$11+1,1))</f>
        <v>681.47578137804555</v>
      </c>
      <c r="BJ197" s="59">
        <f t="shared" ref="BJ197:BJ203" si="206">$BJ$3</f>
        <v>300.88511065995885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123.959705022001</v>
      </c>
      <c r="BQ197" s="21">
        <f>EXP(-LN(2)/25)*BQ196+(1-EXP(-LN(2)/25))/(LN(2)/25)*Calculateur!BL197*Calculateur!BN197*VLOOKUP('Données projet'!$B$11,Paramètres!$A$1:$I$89,3,0)*0.475*44/12</f>
        <v>18.974513488055408</v>
      </c>
      <c r="BR197" s="21">
        <f>EXP(-LN(2)/2)*BR196+(1-EXP(-LN(2)/2))/(LN(2)/2)*BL197*BO197*VLOOKUP('Données projet'!$B$11,Paramètres!$A$1:$I$89,3,0)*0.475*44/12</f>
        <v>0.2347740764502925</v>
      </c>
      <c r="BS197" s="22">
        <f t="shared" si="169"/>
        <v>143.1689925865067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2.2737367544323206E-13</v>
      </c>
      <c r="BZ197" s="13">
        <f>BY197*VLOOKUP('Données projet'!$B$12,Paramètres!$A$1:$I$89,3,0)*VLOOKUP('Données projet'!$B$12,Paramètres!$A$1:$I$89,5,0)</f>
        <v>1.5252226148732008E-13</v>
      </c>
      <c r="CA197" s="13">
        <f t="shared" si="170"/>
        <v>2.1814502464536512E-12</v>
      </c>
      <c r="CB197" s="20">
        <f t="shared" si="171"/>
        <v>4.0650021179971913E-12</v>
      </c>
      <c r="CC197" s="59">
        <f t="shared" si="195"/>
        <v>290.25878253422383</v>
      </c>
      <c r="CD197" s="59">
        <f ca="1">AVERAGE(OFFSET($CC$3,0,0,'Données projet'!$E$12+1,1))-AVERAGE(OFFSET($H$3,0,0,'Données projet'!$E$12+1,1))</f>
        <v>335.73816489539837</v>
      </c>
      <c r="CE197" s="59">
        <f t="shared" ref="CE197:CE203" si="207">$CE$3</f>
        <v>254.09787950201044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7.09725816043942</v>
      </c>
      <c r="CL197" s="21">
        <f>EXP(-LN(2)/25)*CL196+(1-EXP(-LN(2)/25))/(LN(2)/25)*Calculateur!CG197*Calculateur!CI197*VLOOKUP('Données projet'!$B$12,Paramètres!$A$1:$I$89,3,0)*0.475*44/12</f>
        <v>3.692610990773419</v>
      </c>
      <c r="CM197" s="21">
        <f>EXP(-LN(2)/2)*CM196+(1-EXP(-LN(2)/2))/(LN(2)/2)*CG197*CJ197*VLOOKUP('Données projet'!$B$12,Paramètres!$A$1:$I$89,3,0)*0.475*44/12</f>
        <v>1.1131222795145212E-11</v>
      </c>
      <c r="CN197" s="22">
        <f t="shared" si="172"/>
        <v>10.78986915122397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1.1368683772161603E-13</v>
      </c>
      <c r="CU197" s="17">
        <f>CT197*VLOOKUP('Données projet'!$B$13,Paramètres!$A$1:$I$89,3,0)*VLOOKUP('Données projet'!$B$13,Paramètres!$A$1:$I$89,5,0)</f>
        <v>6.7984728957526396E-14</v>
      </c>
      <c r="CV197" s="13">
        <f t="shared" si="173"/>
        <v>1.0682447123141398E-12</v>
      </c>
      <c r="CW197" s="20">
        <f t="shared" si="174"/>
        <v>1.978932943548152E-12</v>
      </c>
      <c r="CX197" s="59">
        <f t="shared" si="196"/>
        <v>290.25878253422172</v>
      </c>
      <c r="CY197" s="59">
        <f ca="1">AVERAGE(OFFSET($CX$3,0,0,'Données projet'!$E$13+1,1))-AVERAGE(OFFSET($H$3,0,0,'Données projet'!$E$13+1,1))</f>
        <v>318.50474972254085</v>
      </c>
      <c r="CZ197" s="59">
        <f t="shared" ref="CZ197:CZ203" si="208">$CZ$3</f>
        <v>326.45858332753562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9.774415764538082</v>
      </c>
      <c r="DG197" s="21">
        <f>EXP(-LN(2)/25)*DG196+(1-EXP(-LN(2)/25))/(LN(2)/25)*Calculateur!DB197*Calculateur!DD197*VLOOKUP('Données projet'!$B$13,Paramètres!$A$1:$I$89,3,0)*0.475*44/12</f>
        <v>1.1794729894377796</v>
      </c>
      <c r="DH197" s="21">
        <f>EXP(-LN(2)/2)*DH196+(1-EXP(-LN(2)/2))/(LN(2)/2)*DB197*DE197*VLOOKUP('Données projet'!$B$13,Paramètres!$A$1:$I$89,3,0)*0.475*44/12</f>
        <v>4.063145410902826E-19</v>
      </c>
      <c r="DI197" s="22">
        <f t="shared" si="175"/>
        <v>10.953888753975862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3">
        <f>'Scénario référence'!$B$16*5+'Scénario référence'!$B$17*0+'Scénario référence'!$B$18*5</f>
        <v>5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67">
        <f t="shared" si="192"/>
        <v>183.33333333333334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5.6843418860808015E-14</v>
      </c>
      <c r="O198" s="13">
        <f>N198*VLOOKUP('Données projet'!$B$9,Paramètres!$A$1:$I$89,3,0)*VLOOKUP('Données projet'!$B$9,Paramètres!$A$1:$I$89,5,0)</f>
        <v>5.1431925385259088E-14</v>
      </c>
      <c r="P198" s="13">
        <f t="shared" si="203"/>
        <v>8.3482866290946129E-13</v>
      </c>
      <c r="Q198" s="20">
        <f t="shared" si="162"/>
        <v>1.5435705246133045E-12</v>
      </c>
      <c r="R198" s="59">
        <f t="shared" si="191"/>
        <v>290.31211911692003</v>
      </c>
      <c r="S198" s="59">
        <f ca="1">AVERAGE(OFFSET($R$3,0,0,'Données projet'!$E$9+1,1))-AVERAGE(OFFSET($H$3,0,0,'Données projet'!$E$9+1,1))</f>
        <v>214.60547318405733</v>
      </c>
      <c r="T198" s="59">
        <f t="shared" si="204"/>
        <v>306.35874106546646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0.8003019556205152</v>
      </c>
      <c r="AA198" s="21">
        <f>EXP(-LN(2)/25)*AA197+(1-EXP(-LN(2)/25))/(LN(2)/25)*Calculateur!V198*Calculateur!X198*VLOOKUP('Données projet'!$B$9,Paramètres!$A$1:$I$89,3,0)*0.475*44/12</f>
        <v>0.20651566742175134</v>
      </c>
      <c r="AB198" s="21">
        <f>EXP(-LN(2)/2)*AB197+(1-EXP(-LN(2)/2))/(LN(2)/2)*V198*Y198*VLOOKUP('Données projet'!$B$9,Paramètres!$A$1:$I$89,3,0)*0.475*44/12</f>
        <v>3.6503386156860241E-22</v>
      </c>
      <c r="AC198" s="22">
        <f t="shared" si="163"/>
        <v>1.0068176230422665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7.9580786405131221E-13</v>
      </c>
      <c r="AJ198" s="13">
        <f>AI198*VLOOKUP('Données projet'!$B$10,Paramètres!$A$1:$I$89,3,0)*VLOOKUP('Données projet'!$B$10,Paramètres!$A$1:$I$89,5,0)</f>
        <v>8.0694917414803056E-13</v>
      </c>
      <c r="AK198" s="13">
        <f t="shared" si="164"/>
        <v>9.5069530861628001E-12</v>
      </c>
      <c r="AL198" s="20">
        <f t="shared" si="165"/>
        <v>1.7963379770041364E-11</v>
      </c>
      <c r="AM198" s="59">
        <f t="shared" si="193"/>
        <v>290.31211911693646</v>
      </c>
      <c r="AN198" s="59">
        <f ca="1">AVERAGE(OFFSET($AM$3,0,0,'Données projet'!$E$10+1,1))-AVERAGE(OFFSET($H$3,0,0,'Données projet'!$E$10+1,1))</f>
        <v>752.45542076695506</v>
      </c>
      <c r="AO198" s="59">
        <f t="shared" si="205"/>
        <v>329.70629768420724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136.19621556794496</v>
      </c>
      <c r="AV198" s="21">
        <f>EXP(-LN(2)/25)*AV197+(1-EXP(-LN(2)/25))/(LN(2)/25)*Calculateur!AQ198*Calculateur!AS198*VLOOKUP('Données projet'!$B$10,Paramètres!$A$1:$I$89,3,0)*0.475*44/12</f>
        <v>20.683060986696308</v>
      </c>
      <c r="AW198" s="21">
        <f>EXP(-LN(2)/2)*AW197+(1-EXP(-LN(2)/2))/(LN(2)/2)*AQ198*AT198*VLOOKUP('Données projet'!$B$10,Paramètres!$A$1:$I$89,3,0)*0.475*44/12</f>
        <v>0.18604607237608087</v>
      </c>
      <c r="AX198" s="21">
        <f t="shared" si="166"/>
        <v>157.06532262701737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7.9580786405131221E-13</v>
      </c>
      <c r="BE198" s="13">
        <f>BD198*VLOOKUP('Données projet'!$B$11,Paramètres!$A$1:$I$89,3,0)*VLOOKUP('Données projet'!$B$11,Paramètres!$A$1:$I$89,5,0)</f>
        <v>7.2004695539362725E-13</v>
      </c>
      <c r="BF198" s="13">
        <f t="shared" si="167"/>
        <v>8.5963894794935589E-12</v>
      </c>
      <c r="BG198" s="20">
        <f t="shared" si="168"/>
        <v>1.6226126790761848E-11</v>
      </c>
      <c r="BH198" s="59">
        <f t="shared" si="194"/>
        <v>290.3121191169347</v>
      </c>
      <c r="BI198" s="59">
        <f ca="1">AVERAGE(OFFSET($BH$3,0,0,'Données projet'!$E$11+1,1))-AVERAGE(OFFSET($H$3,0,0,'Données projet'!$E$11+1,1))</f>
        <v>681.47578137804555</v>
      </c>
      <c r="BJ198" s="59">
        <f t="shared" si="206"/>
        <v>300.88511065995885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121.52893081447397</v>
      </c>
      <c r="BQ198" s="21">
        <f>EXP(-LN(2)/25)*BQ197+(1-EXP(-LN(2)/25))/(LN(2)/25)*Calculateur!BL198*Calculateur!BN198*VLOOKUP('Données projet'!$B$11,Paramètres!$A$1:$I$89,3,0)*0.475*44/12</f>
        <v>18.455654418898234</v>
      </c>
      <c r="BR198" s="21">
        <f>EXP(-LN(2)/2)*BR197+(1-EXP(-LN(2)/2))/(LN(2)/2)*BL198*BO198*VLOOKUP('Données projet'!$B$11,Paramètres!$A$1:$I$89,3,0)*0.475*44/12</f>
        <v>0.16601034150481075</v>
      </c>
      <c r="BS198" s="22">
        <f t="shared" si="169"/>
        <v>140.150595574877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2.2737367544323206E-13</v>
      </c>
      <c r="BZ198" s="13">
        <f>BY198*VLOOKUP('Données projet'!$B$12,Paramètres!$A$1:$I$89,3,0)*VLOOKUP('Données projet'!$B$12,Paramètres!$A$1:$I$89,5,0)</f>
        <v>1.5252226148732008E-13</v>
      </c>
      <c r="CA198" s="13">
        <f t="shared" si="170"/>
        <v>2.1814502464536512E-12</v>
      </c>
      <c r="CB198" s="20">
        <f t="shared" si="171"/>
        <v>4.0650021179971913E-12</v>
      </c>
      <c r="CC198" s="59">
        <f t="shared" si="195"/>
        <v>290.31211911692259</v>
      </c>
      <c r="CD198" s="59">
        <f ca="1">AVERAGE(OFFSET($CC$3,0,0,'Données projet'!$E$12+1,1))-AVERAGE(OFFSET($H$3,0,0,'Données projet'!$E$12+1,1))</f>
        <v>335.73816489539837</v>
      </c>
      <c r="CE198" s="59">
        <f t="shared" si="207"/>
        <v>254.09787950201044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6.9580852568132379</v>
      </c>
      <c r="CL198" s="21">
        <f>EXP(-LN(2)/25)*CL197+(1-EXP(-LN(2)/25))/(LN(2)/25)*Calculateur!CG198*Calculateur!CI198*VLOOKUP('Données projet'!$B$12,Paramètres!$A$1:$I$89,3,0)*0.475*44/12</f>
        <v>3.5916363490447476</v>
      </c>
      <c r="CM198" s="21">
        <f>EXP(-LN(2)/2)*CM197+(1-EXP(-LN(2)/2))/(LN(2)/2)*CG198*CJ198*VLOOKUP('Données projet'!$B$12,Paramètres!$A$1:$I$89,3,0)*0.475*44/12</f>
        <v>7.8709631213454551E-12</v>
      </c>
      <c r="CN198" s="22">
        <f t="shared" si="172"/>
        <v>10.549721605865857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1.1368683772161603E-13</v>
      </c>
      <c r="CU198" s="17">
        <f>CT198*VLOOKUP('Données projet'!$B$13,Paramètres!$A$1:$I$89,3,0)*VLOOKUP('Données projet'!$B$13,Paramètres!$A$1:$I$89,5,0)</f>
        <v>6.7984728957526396E-14</v>
      </c>
      <c r="CV198" s="13">
        <f t="shared" si="173"/>
        <v>1.0682447123141398E-12</v>
      </c>
      <c r="CW198" s="20">
        <f t="shared" si="174"/>
        <v>1.978932943548152E-12</v>
      </c>
      <c r="CX198" s="59">
        <f t="shared" si="196"/>
        <v>290.31211911692048</v>
      </c>
      <c r="CY198" s="59">
        <f ca="1">AVERAGE(OFFSET($CX$3,0,0,'Données projet'!$E$13+1,1))-AVERAGE(OFFSET($H$3,0,0,'Données projet'!$E$13+1,1))</f>
        <v>318.50474972254085</v>
      </c>
      <c r="CZ198" s="59">
        <f t="shared" si="208"/>
        <v>326.45858332753562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9.5827454332004276</v>
      </c>
      <c r="DG198" s="21">
        <f>EXP(-LN(2)/25)*DG197+(1-EXP(-LN(2)/25))/(LN(2)/25)*Calculateur!DB198*Calculateur!DD198*VLOOKUP('Données projet'!$B$13,Paramètres!$A$1:$I$89,3,0)*0.475*44/12</f>
        <v>1.1472202385158148</v>
      </c>
      <c r="DH198" s="21">
        <f>EXP(-LN(2)/2)*DH197+(1-EXP(-LN(2)/2))/(LN(2)/2)*DB198*DE198*VLOOKUP('Données projet'!$B$13,Paramètres!$A$1:$I$89,3,0)*0.475*44/12</f>
        <v>2.8730776729963893E-19</v>
      </c>
      <c r="DI198" s="22">
        <f t="shared" si="175"/>
        <v>10.729965671716242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3">
        <f>'Scénario référence'!$B$16*5+'Scénario référence'!$B$17*0+'Scénario référence'!$B$18*5</f>
        <v>5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67">
        <f t="shared" si="192"/>
        <v>183.33333333333334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5.6843418860808015E-14</v>
      </c>
      <c r="O199" s="13">
        <f>N199*VLOOKUP('Données projet'!$B$9,Paramètres!$A$1:$I$89,3,0)*VLOOKUP('Données projet'!$B$9,Paramètres!$A$1:$I$89,5,0)</f>
        <v>5.1431925385259088E-14</v>
      </c>
      <c r="P199" s="13">
        <f t="shared" si="203"/>
        <v>8.3482866290946129E-13</v>
      </c>
      <c r="Q199" s="20">
        <f t="shared" si="162"/>
        <v>1.5435705246133045E-12</v>
      </c>
      <c r="R199" s="59">
        <f t="shared" si="191"/>
        <v>290.36453042915173</v>
      </c>
      <c r="S199" s="59">
        <f ca="1">AVERAGE(OFFSET($R$3,0,0,'Données projet'!$E$9+1,1))-AVERAGE(OFFSET($H$3,0,0,'Données projet'!$E$9+1,1))</f>
        <v>214.60547318405733</v>
      </c>
      <c r="T199" s="59">
        <f t="shared" si="204"/>
        <v>306.35874106546646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0.78460852240679035</v>
      </c>
      <c r="AA199" s="21">
        <f>EXP(-LN(2)/25)*AA198+(1-EXP(-LN(2)/25))/(LN(2)/25)*Calculateur!V199*Calculateur!X199*VLOOKUP('Données projet'!$B$9,Paramètres!$A$1:$I$89,3,0)*0.475*44/12</f>
        <v>0.20086848563591661</v>
      </c>
      <c r="AB199" s="21">
        <f>EXP(-LN(2)/2)*AB198+(1-EXP(-LN(2)/2))/(LN(2)/2)*V199*Y199*VLOOKUP('Données projet'!$B$9,Paramètres!$A$1:$I$89,3,0)*0.475*44/12</f>
        <v>2.5811791887787022E-22</v>
      </c>
      <c r="AC199" s="22">
        <f t="shared" si="163"/>
        <v>0.98547700804270699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7.9580786405131221E-13</v>
      </c>
      <c r="AJ199" s="13">
        <f>AI199*VLOOKUP('Données projet'!$B$10,Paramètres!$A$1:$I$89,3,0)*VLOOKUP('Données projet'!$B$10,Paramètres!$A$1:$I$89,5,0)</f>
        <v>8.0694917414803056E-13</v>
      </c>
      <c r="AK199" s="13">
        <f t="shared" si="164"/>
        <v>9.5069530861628001E-12</v>
      </c>
      <c r="AL199" s="20">
        <f t="shared" si="165"/>
        <v>1.7963379770041364E-11</v>
      </c>
      <c r="AM199" s="59">
        <f t="shared" si="193"/>
        <v>290.36453042916816</v>
      </c>
      <c r="AN199" s="59">
        <f ca="1">AVERAGE(OFFSET($AM$3,0,0,'Données projet'!$E$10+1,1))-AVERAGE(OFFSET($H$3,0,0,'Données projet'!$E$10+1,1))</f>
        <v>752.45542076695506</v>
      </c>
      <c r="AO199" s="59">
        <f t="shared" si="205"/>
        <v>329.70629768420724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133.52549085214642</v>
      </c>
      <c r="AV199" s="21">
        <f>EXP(-LN(2)/25)*AV198+(1-EXP(-LN(2)/25))/(LN(2)/25)*Calculateur!AQ199*Calculateur!AS199*VLOOKUP('Données projet'!$B$10,Paramètres!$A$1:$I$89,3,0)*0.475*44/12</f>
        <v>20.117481596340191</v>
      </c>
      <c r="AW199" s="21">
        <f>EXP(-LN(2)/2)*AW198+(1-EXP(-LN(2)/2))/(LN(2)/2)*AQ199*AT199*VLOOKUP('Données projet'!$B$10,Paramètres!$A$1:$I$89,3,0)*0.475*44/12</f>
        <v>0.13155443939024999</v>
      </c>
      <c r="AX199" s="21">
        <f t="shared" si="166"/>
        <v>153.77452688787685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7.9580786405131221E-13</v>
      </c>
      <c r="BE199" s="13">
        <f>BD199*VLOOKUP('Données projet'!$B$11,Paramètres!$A$1:$I$89,3,0)*VLOOKUP('Données projet'!$B$11,Paramètres!$A$1:$I$89,5,0)</f>
        <v>7.2004695539362725E-13</v>
      </c>
      <c r="BF199" s="13">
        <f t="shared" si="167"/>
        <v>8.5963894794935589E-12</v>
      </c>
      <c r="BG199" s="20">
        <f t="shared" si="168"/>
        <v>1.6226126790761848E-11</v>
      </c>
      <c r="BH199" s="59">
        <f t="shared" si="194"/>
        <v>290.36453042916639</v>
      </c>
      <c r="BI199" s="59">
        <f ca="1">AVERAGE(OFFSET($BH$3,0,0,'Données projet'!$E$11+1,1))-AVERAGE(OFFSET($H$3,0,0,'Données projet'!$E$11+1,1))</f>
        <v>681.47578137804555</v>
      </c>
      <c r="BJ199" s="59">
        <f t="shared" si="206"/>
        <v>300.88511065995885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119.14582260653066</v>
      </c>
      <c r="BQ199" s="21">
        <f>EXP(-LN(2)/25)*BQ198+(1-EXP(-LN(2)/25))/(LN(2)/25)*Calculateur!BL199*Calculateur!BN199*VLOOKUP('Données projet'!$B$11,Paramètres!$A$1:$I$89,3,0)*0.475*44/12</f>
        <v>17.950983578272776</v>
      </c>
      <c r="BR199" s="21">
        <f>EXP(-LN(2)/2)*BR198+(1-EXP(-LN(2)/2))/(LN(2)/2)*BL199*BO199*VLOOKUP('Données projet'!$B$11,Paramètres!$A$1:$I$89,3,0)*0.475*44/12</f>
        <v>0.11738703822514625</v>
      </c>
      <c r="BS199" s="22">
        <f t="shared" si="169"/>
        <v>137.21419322302856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2.2737367544323206E-13</v>
      </c>
      <c r="BZ199" s="13">
        <f>BY199*VLOOKUP('Données projet'!$B$12,Paramètres!$A$1:$I$89,3,0)*VLOOKUP('Données projet'!$B$12,Paramètres!$A$1:$I$89,5,0)</f>
        <v>1.5252226148732008E-13</v>
      </c>
      <c r="CA199" s="13">
        <f t="shared" si="170"/>
        <v>2.1814502464536512E-12</v>
      </c>
      <c r="CB199" s="20">
        <f t="shared" si="171"/>
        <v>4.0650021179971913E-12</v>
      </c>
      <c r="CC199" s="59">
        <f t="shared" si="195"/>
        <v>290.36453042915429</v>
      </c>
      <c r="CD199" s="59">
        <f ca="1">AVERAGE(OFFSET($CC$3,0,0,'Données projet'!$E$12+1,1))-AVERAGE(OFFSET($H$3,0,0,'Données projet'!$E$12+1,1))</f>
        <v>335.73816489539837</v>
      </c>
      <c r="CE199" s="59">
        <f t="shared" si="207"/>
        <v>254.09787950201044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6.8216414489400758</v>
      </c>
      <c r="CL199" s="21">
        <f>EXP(-LN(2)/25)*CL198+(1-EXP(-LN(2)/25))/(LN(2)/25)*Calculateur!CG199*Calculateur!CI199*VLOOKUP('Données projet'!$B$12,Paramètres!$A$1:$I$89,3,0)*0.475*44/12</f>
        <v>3.493422864204172</v>
      </c>
      <c r="CM199" s="21">
        <f>EXP(-LN(2)/2)*CM198+(1-EXP(-LN(2)/2))/(LN(2)/2)*CG199*CJ199*VLOOKUP('Données projet'!$B$12,Paramètres!$A$1:$I$89,3,0)*0.475*44/12</f>
        <v>5.5656113975726059E-12</v>
      </c>
      <c r="CN199" s="22">
        <f t="shared" si="172"/>
        <v>10.315064313149813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1.1368683772161603E-13</v>
      </c>
      <c r="CU199" s="17">
        <f>CT199*VLOOKUP('Données projet'!$B$13,Paramètres!$A$1:$I$89,3,0)*VLOOKUP('Données projet'!$B$13,Paramètres!$A$1:$I$89,5,0)</f>
        <v>6.7984728957526396E-14</v>
      </c>
      <c r="CV199" s="13">
        <f t="shared" si="173"/>
        <v>1.0682447123141398E-12</v>
      </c>
      <c r="CW199" s="20">
        <f t="shared" si="174"/>
        <v>1.978932943548152E-12</v>
      </c>
      <c r="CX199" s="59">
        <f t="shared" si="196"/>
        <v>290.36453042915218</v>
      </c>
      <c r="CY199" s="59">
        <f ca="1">AVERAGE(OFFSET($CX$3,0,0,'Données projet'!$E$13+1,1))-AVERAGE(OFFSET($H$3,0,0,'Données projet'!$E$13+1,1))</f>
        <v>318.50474972254085</v>
      </c>
      <c r="CZ199" s="59">
        <f t="shared" si="208"/>
        <v>326.45858332753562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9.394833640152946</v>
      </c>
      <c r="DG199" s="21">
        <f>EXP(-LN(2)/25)*DG198+(1-EXP(-LN(2)/25))/(LN(2)/25)*Calculateur!DB199*Calculateur!DD199*VLOOKUP('Données projet'!$B$13,Paramètres!$A$1:$I$89,3,0)*0.475*44/12</f>
        <v>1.1158494407639095</v>
      </c>
      <c r="DH199" s="21">
        <f>EXP(-LN(2)/2)*DH198+(1-EXP(-LN(2)/2))/(LN(2)/2)*DB199*DE199*VLOOKUP('Données projet'!$B$13,Paramètres!$A$1:$I$89,3,0)*0.475*44/12</f>
        <v>2.031572705451413E-19</v>
      </c>
      <c r="DI199" s="22">
        <f t="shared" si="175"/>
        <v>10.510683080916856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3">
        <f>'Scénario référence'!$B$16*5+'Scénario référence'!$B$17*0+'Scénario référence'!$B$18*5</f>
        <v>5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67">
        <f t="shared" si="192"/>
        <v>183.33333333333334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5.6843418860808015E-14</v>
      </c>
      <c r="O200" s="13">
        <f>N200*VLOOKUP('Données projet'!$B$9,Paramètres!$A$1:$I$89,3,0)*VLOOKUP('Données projet'!$B$9,Paramètres!$A$1:$I$89,5,0)</f>
        <v>5.1431925385259088E-14</v>
      </c>
      <c r="P200" s="13">
        <f t="shared" si="203"/>
        <v>8.3482866290946129E-13</v>
      </c>
      <c r="Q200" s="20">
        <f t="shared" si="162"/>
        <v>1.5435705246133045E-12</v>
      </c>
      <c r="R200" s="59">
        <f t="shared" si="191"/>
        <v>290.41603252229032</v>
      </c>
      <c r="S200" s="59">
        <f ca="1">AVERAGE(OFFSET($R$3,0,0,'Données projet'!$E$9+1,1))-AVERAGE(OFFSET($H$3,0,0,'Données projet'!$E$9+1,1))</f>
        <v>214.60547318405733</v>
      </c>
      <c r="T200" s="59">
        <f t="shared" si="204"/>
        <v>306.35874106546646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0.76922282784633755</v>
      </c>
      <c r="AA200" s="21">
        <f>EXP(-LN(2)/25)*AA199+(1-EXP(-LN(2)/25))/(LN(2)/25)*Calculateur!V200*Calculateur!X200*VLOOKUP('Données projet'!$B$9,Paramètres!$A$1:$I$89,3,0)*0.475*44/12</f>
        <v>0.19537572633298791</v>
      </c>
      <c r="AB200" s="21">
        <f>EXP(-LN(2)/2)*AB199+(1-EXP(-LN(2)/2))/(LN(2)/2)*V200*Y200*VLOOKUP('Données projet'!$B$9,Paramètres!$A$1:$I$89,3,0)*0.475*44/12</f>
        <v>1.8251693078430121E-22</v>
      </c>
      <c r="AC200" s="22">
        <f t="shared" si="163"/>
        <v>0.9645985541793255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7.9580786405131221E-13</v>
      </c>
      <c r="AJ200" s="13">
        <f>AI200*VLOOKUP('Données projet'!$B$10,Paramètres!$A$1:$I$89,3,0)*VLOOKUP('Données projet'!$B$10,Paramètres!$A$1:$I$89,5,0)</f>
        <v>8.0694917414803056E-13</v>
      </c>
      <c r="AK200" s="13">
        <f t="shared" si="164"/>
        <v>9.5069530861628001E-12</v>
      </c>
      <c r="AL200" s="20">
        <f t="shared" si="165"/>
        <v>1.7963379770041364E-11</v>
      </c>
      <c r="AM200" s="59">
        <f t="shared" si="193"/>
        <v>290.41603252230675</v>
      </c>
      <c r="AN200" s="59">
        <f ca="1">AVERAGE(OFFSET($AM$3,0,0,'Données projet'!$E$10+1,1))-AVERAGE(OFFSET($H$3,0,0,'Données projet'!$E$10+1,1))</f>
        <v>752.45542076695506</v>
      </c>
      <c r="AO200" s="59">
        <f t="shared" si="205"/>
        <v>329.70629768420724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130.90713741904347</v>
      </c>
      <c r="AV200" s="21">
        <f>EXP(-LN(2)/25)*AV199+(1-EXP(-LN(2)/25))/(LN(2)/25)*Calculateur!AQ200*Calculateur!AS200*VLOOKUP('Données projet'!$B$10,Paramètres!$A$1:$I$89,3,0)*0.475*44/12</f>
        <v>19.567368004155892</v>
      </c>
      <c r="AW200" s="21">
        <f>EXP(-LN(2)/2)*AW199+(1-EXP(-LN(2)/2))/(LN(2)/2)*AQ200*AT200*VLOOKUP('Données projet'!$B$10,Paramètres!$A$1:$I$89,3,0)*0.475*44/12</f>
        <v>9.3023036188040434E-2</v>
      </c>
      <c r="AX200" s="21">
        <f t="shared" si="166"/>
        <v>150.5675284593874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7.9580786405131221E-13</v>
      </c>
      <c r="BE200" s="13">
        <f>BD200*VLOOKUP('Données projet'!$B$11,Paramètres!$A$1:$I$89,3,0)*VLOOKUP('Données projet'!$B$11,Paramètres!$A$1:$I$89,5,0)</f>
        <v>7.2004695539362725E-13</v>
      </c>
      <c r="BF200" s="13">
        <f t="shared" si="167"/>
        <v>8.5963894794935589E-12</v>
      </c>
      <c r="BG200" s="20">
        <f t="shared" si="168"/>
        <v>1.6226126790761848E-11</v>
      </c>
      <c r="BH200" s="59">
        <f t="shared" si="194"/>
        <v>290.41603252230499</v>
      </c>
      <c r="BI200" s="59">
        <f ca="1">AVERAGE(OFFSET($BH$3,0,0,'Données projet'!$E$11+1,1))-AVERAGE(OFFSET($H$3,0,0,'Données projet'!$E$11+1,1))</f>
        <v>681.47578137804555</v>
      </c>
      <c r="BJ200" s="59">
        <f t="shared" si="206"/>
        <v>300.88511065995885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116.80944569699264</v>
      </c>
      <c r="BQ200" s="21">
        <f>EXP(-LN(2)/25)*BQ199+(1-EXP(-LN(2)/25))/(LN(2)/25)*Calculateur!BL200*Calculateur!BN200*VLOOKUP('Données projet'!$B$11,Paramètres!$A$1:$I$89,3,0)*0.475*44/12</f>
        <v>17.460112988323708</v>
      </c>
      <c r="BR200" s="21">
        <f>EXP(-LN(2)/2)*BR199+(1-EXP(-LN(2)/2))/(LN(2)/2)*BL200*BO200*VLOOKUP('Données projet'!$B$11,Paramètres!$A$1:$I$89,3,0)*0.475*44/12</f>
        <v>8.3005170752405377E-2</v>
      </c>
      <c r="BS200" s="22">
        <f t="shared" si="169"/>
        <v>134.35256385606877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2.2737367544323206E-13</v>
      </c>
      <c r="BZ200" s="13">
        <f>BY200*VLOOKUP('Données projet'!$B$12,Paramètres!$A$1:$I$89,3,0)*VLOOKUP('Données projet'!$B$12,Paramètres!$A$1:$I$89,5,0)</f>
        <v>1.5252226148732008E-13</v>
      </c>
      <c r="CA200" s="13">
        <f t="shared" si="170"/>
        <v>2.1814502464536512E-12</v>
      </c>
      <c r="CB200" s="20">
        <f t="shared" si="171"/>
        <v>4.0650021179971913E-12</v>
      </c>
      <c r="CC200" s="59">
        <f t="shared" si="195"/>
        <v>290.41603252229288</v>
      </c>
      <c r="CD200" s="59">
        <f ca="1">AVERAGE(OFFSET($CC$3,0,0,'Données projet'!$E$12+1,1))-AVERAGE(OFFSET($H$3,0,0,'Données projet'!$E$12+1,1))</f>
        <v>335.73816489539837</v>
      </c>
      <c r="CE200" s="59">
        <f t="shared" si="207"/>
        <v>254.09787950201044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6.687873220916801</v>
      </c>
      <c r="CL200" s="21">
        <f>EXP(-LN(2)/25)*CL199+(1-EXP(-LN(2)/25))/(LN(2)/25)*Calculateur!CG200*Calculateur!CI200*VLOOKUP('Données projet'!$B$12,Paramètres!$A$1:$I$89,3,0)*0.475*44/12</f>
        <v>3.3978950322713848</v>
      </c>
      <c r="CM200" s="21">
        <f>EXP(-LN(2)/2)*CM199+(1-EXP(-LN(2)/2))/(LN(2)/2)*CG200*CJ200*VLOOKUP('Données projet'!$B$12,Paramètres!$A$1:$I$89,3,0)*0.475*44/12</f>
        <v>3.9354815606727275E-12</v>
      </c>
      <c r="CN200" s="22">
        <f t="shared" si="172"/>
        <v>10.08576825319212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1.1368683772161603E-13</v>
      </c>
      <c r="CU200" s="17">
        <f>CT200*VLOOKUP('Données projet'!$B$13,Paramètres!$A$1:$I$89,3,0)*VLOOKUP('Données projet'!$B$13,Paramètres!$A$1:$I$89,5,0)</f>
        <v>6.7984728957526396E-14</v>
      </c>
      <c r="CV200" s="13">
        <f t="shared" si="173"/>
        <v>1.0682447123141398E-12</v>
      </c>
      <c r="CW200" s="20">
        <f t="shared" si="174"/>
        <v>1.978932943548152E-12</v>
      </c>
      <c r="CX200" s="59">
        <f t="shared" si="196"/>
        <v>290.41603252229078</v>
      </c>
      <c r="CY200" s="59">
        <f ca="1">AVERAGE(OFFSET($CX$3,0,0,'Données projet'!$E$13+1,1))-AVERAGE(OFFSET($H$3,0,0,'Données projet'!$E$13+1,1))</f>
        <v>318.50474972254085</v>
      </c>
      <c r="CZ200" s="59">
        <f t="shared" si="208"/>
        <v>326.45858332753562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9.2106066827522479</v>
      </c>
      <c r="DG200" s="21">
        <f>EXP(-LN(2)/25)*DG199+(1-EXP(-LN(2)/25))/(LN(2)/25)*Calculateur!DB200*Calculateur!DD200*VLOOKUP('Données projet'!$B$13,Paramètres!$A$1:$I$89,3,0)*0.475*44/12</f>
        <v>1.0853364791262485</v>
      </c>
      <c r="DH200" s="21">
        <f>EXP(-LN(2)/2)*DH199+(1-EXP(-LN(2)/2))/(LN(2)/2)*DB200*DE200*VLOOKUP('Données projet'!$B$13,Paramètres!$A$1:$I$89,3,0)*0.475*44/12</f>
        <v>1.4365388364981947E-19</v>
      </c>
      <c r="DI200" s="22">
        <f t="shared" si="175"/>
        <v>10.295943161878496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3">
        <f>'Scénario référence'!$B$16*5+'Scénario référence'!$B$17*0+'Scénario référence'!$B$18*5</f>
        <v>5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67">
        <f t="shared" si="192"/>
        <v>183.33333333333334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5.6843418860808015E-14</v>
      </c>
      <c r="O201" s="13">
        <f>N201*VLOOKUP('Données projet'!$B$9,Paramètres!$A$1:$I$89,3,0)*VLOOKUP('Données projet'!$B$9,Paramètres!$A$1:$I$89,5,0)</f>
        <v>5.1431925385259088E-14</v>
      </c>
      <c r="P201" s="13">
        <f t="shared" si="203"/>
        <v>8.3482866290946129E-13</v>
      </c>
      <c r="Q201" s="20">
        <f t="shared" si="162"/>
        <v>1.5435705246133045E-12</v>
      </c>
      <c r="R201" s="59">
        <f t="shared" si="191"/>
        <v>290.46664116925444</v>
      </c>
      <c r="S201" s="59">
        <f ca="1">AVERAGE(OFFSET($R$3,0,0,'Données projet'!$E$9+1,1))-AVERAGE(OFFSET($H$3,0,0,'Données projet'!$E$9+1,1))</f>
        <v>214.60547318405733</v>
      </c>
      <c r="T201" s="59">
        <f t="shared" si="204"/>
        <v>306.35874106546646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0.75413883737186826</v>
      </c>
      <c r="AA201" s="21">
        <f>EXP(-LN(2)/25)*AA200+(1-EXP(-LN(2)/25))/(LN(2)/25)*Calculateur!V201*Calculateur!X201*VLOOKUP('Données projet'!$B$9,Paramètres!$A$1:$I$89,3,0)*0.475*44/12</f>
        <v>0.19003316682204946</v>
      </c>
      <c r="AB201" s="21">
        <f>EXP(-LN(2)/2)*AB200+(1-EXP(-LN(2)/2))/(LN(2)/2)*V201*Y201*VLOOKUP('Données projet'!$B$9,Paramètres!$A$1:$I$89,3,0)*0.475*44/12</f>
        <v>1.2905895943893511E-22</v>
      </c>
      <c r="AC201" s="22">
        <f t="shared" si="163"/>
        <v>0.94417200419391767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7.9580786405131221E-13</v>
      </c>
      <c r="AJ201" s="13">
        <f>AI201*VLOOKUP('Données projet'!$B$10,Paramètres!$A$1:$I$89,3,0)*VLOOKUP('Données projet'!$B$10,Paramètres!$A$1:$I$89,5,0)</f>
        <v>8.0694917414803056E-13</v>
      </c>
      <c r="AK201" s="13">
        <f t="shared" si="164"/>
        <v>9.5069530861628001E-12</v>
      </c>
      <c r="AL201" s="20">
        <f t="shared" si="165"/>
        <v>1.7963379770041364E-11</v>
      </c>
      <c r="AM201" s="59">
        <f t="shared" si="193"/>
        <v>290.46664116927087</v>
      </c>
      <c r="AN201" s="59">
        <f ca="1">AVERAGE(OFFSET($AM$3,0,0,'Données projet'!$E$10+1,1))-AVERAGE(OFFSET($H$3,0,0,'Données projet'!$E$10+1,1))</f>
        <v>752.45542076695506</v>
      </c>
      <c r="AO201" s="59">
        <f t="shared" si="205"/>
        <v>329.70629768420724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128.34012829972576</v>
      </c>
      <c r="AV201" s="21">
        <f>EXP(-LN(2)/25)*AV200+(1-EXP(-LN(2)/25))/(LN(2)/25)*Calculateur!AQ201*Calculateur!AS201*VLOOKUP('Données projet'!$B$10,Paramètres!$A$1:$I$89,3,0)*0.475*44/12</f>
        <v>19.032297297079086</v>
      </c>
      <c r="AW201" s="21">
        <f>EXP(-LN(2)/2)*AW200+(1-EXP(-LN(2)/2))/(LN(2)/2)*AQ201*AT201*VLOOKUP('Données projet'!$B$10,Paramètres!$A$1:$I$89,3,0)*0.475*44/12</f>
        <v>6.5777219695124997E-2</v>
      </c>
      <c r="AX201" s="21">
        <f t="shared" si="166"/>
        <v>147.43820281649997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7.9580786405131221E-13</v>
      </c>
      <c r="BE201" s="13">
        <f>BD201*VLOOKUP('Données projet'!$B$11,Paramètres!$A$1:$I$89,3,0)*VLOOKUP('Données projet'!$B$11,Paramètres!$A$1:$I$89,5,0)</f>
        <v>7.2004695539362725E-13</v>
      </c>
      <c r="BF201" s="13">
        <f t="shared" si="167"/>
        <v>8.5963894794935589E-12</v>
      </c>
      <c r="BG201" s="20">
        <f t="shared" si="168"/>
        <v>1.6226126790761848E-11</v>
      </c>
      <c r="BH201" s="59">
        <f t="shared" si="194"/>
        <v>290.46664116926911</v>
      </c>
      <c r="BI201" s="59">
        <f ca="1">AVERAGE(OFFSET($BH$3,0,0,'Données projet'!$E$11+1,1))-AVERAGE(OFFSET($H$3,0,0,'Données projet'!$E$11+1,1))</f>
        <v>681.47578137804555</v>
      </c>
      <c r="BJ201" s="59">
        <f t="shared" si="206"/>
        <v>300.88511065995885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114.51888371360145</v>
      </c>
      <c r="BQ201" s="21">
        <f>EXP(-LN(2)/25)*BQ200+(1-EXP(-LN(2)/25))/(LN(2)/25)*Calculateur!BL201*Calculateur!BN201*VLOOKUP('Données projet'!$B$11,Paramètres!$A$1:$I$89,3,0)*0.475*44/12</f>
        <v>16.98266528047056</v>
      </c>
      <c r="BR201" s="21">
        <f>EXP(-LN(2)/2)*BR200+(1-EXP(-LN(2)/2))/(LN(2)/2)*BL201*BO201*VLOOKUP('Données projet'!$B$11,Paramètres!$A$1:$I$89,3,0)*0.475*44/12</f>
        <v>5.8693519112573124E-2</v>
      </c>
      <c r="BS201" s="22">
        <f t="shared" si="169"/>
        <v>131.56024251318459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2.2737367544323206E-13</v>
      </c>
      <c r="BZ201" s="13">
        <f>BY201*VLOOKUP('Données projet'!$B$12,Paramètres!$A$1:$I$89,3,0)*VLOOKUP('Données projet'!$B$12,Paramètres!$A$1:$I$89,5,0)</f>
        <v>1.5252226148732008E-13</v>
      </c>
      <c r="CA201" s="13">
        <f t="shared" si="170"/>
        <v>2.1814502464536512E-12</v>
      </c>
      <c r="CB201" s="20">
        <f t="shared" si="171"/>
        <v>4.0650021179971913E-12</v>
      </c>
      <c r="CC201" s="59">
        <f t="shared" si="195"/>
        <v>290.466641169257</v>
      </c>
      <c r="CD201" s="59">
        <f ca="1">AVERAGE(OFFSET($CC$3,0,0,'Données projet'!$E$12+1,1))-AVERAGE(OFFSET($H$3,0,0,'Données projet'!$E$12+1,1))</f>
        <v>335.73816489539837</v>
      </c>
      <c r="CE201" s="59">
        <f t="shared" si="207"/>
        <v>254.09787950201044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6.5567281062545</v>
      </c>
      <c r="CL201" s="21">
        <f>EXP(-LN(2)/25)*CL200+(1-EXP(-LN(2)/25))/(LN(2)/25)*Calculateur!CG201*Calculateur!CI201*VLOOKUP('Données projet'!$B$12,Paramètres!$A$1:$I$89,3,0)*0.475*44/12</f>
        <v>3.3049794139263899</v>
      </c>
      <c r="CM201" s="21">
        <f>EXP(-LN(2)/2)*CM200+(1-EXP(-LN(2)/2))/(LN(2)/2)*CG201*CJ201*VLOOKUP('Données projet'!$B$12,Paramètres!$A$1:$I$89,3,0)*0.475*44/12</f>
        <v>2.782805698786303E-12</v>
      </c>
      <c r="CN201" s="22">
        <f t="shared" si="172"/>
        <v>9.861707520183673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1.1368683772161603E-13</v>
      </c>
      <c r="CU201" s="17">
        <f>CT201*VLOOKUP('Données projet'!$B$13,Paramètres!$A$1:$I$89,3,0)*VLOOKUP('Données projet'!$B$13,Paramètres!$A$1:$I$89,5,0)</f>
        <v>6.7984728957526396E-14</v>
      </c>
      <c r="CV201" s="13">
        <f t="shared" si="173"/>
        <v>1.0682447123141398E-12</v>
      </c>
      <c r="CW201" s="20">
        <f t="shared" si="174"/>
        <v>1.978932943548152E-12</v>
      </c>
      <c r="CX201" s="59">
        <f t="shared" si="196"/>
        <v>290.4666411692549</v>
      </c>
      <c r="CY201" s="59">
        <f ca="1">AVERAGE(OFFSET($CX$3,0,0,'Données projet'!$E$13+1,1))-AVERAGE(OFFSET($H$3,0,0,'Données projet'!$E$13+1,1))</f>
        <v>318.50474972254085</v>
      </c>
      <c r="CZ201" s="59">
        <f t="shared" si="208"/>
        <v>326.45858332753562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9.0299923036188297</v>
      </c>
      <c r="DG201" s="21">
        <f>EXP(-LN(2)/25)*DG200+(1-EXP(-LN(2)/25))/(LN(2)/25)*Calculateur!DB201*Calculateur!DD201*VLOOKUP('Données projet'!$B$13,Paramètres!$A$1:$I$89,3,0)*0.475*44/12</f>
        <v>1.0556578960291765</v>
      </c>
      <c r="DH201" s="21">
        <f>EXP(-LN(2)/2)*DH200+(1-EXP(-LN(2)/2))/(LN(2)/2)*DB201*DE201*VLOOKUP('Données projet'!$B$13,Paramètres!$A$1:$I$89,3,0)*0.475*44/12</f>
        <v>1.0157863527257065E-19</v>
      </c>
      <c r="DI201" s="22">
        <f t="shared" si="175"/>
        <v>10.085650199648006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3">
        <f>'Scénario référence'!$B$16*5+'Scénario référence'!$B$17*0+'Scénario référence'!$B$18*5</f>
        <v>5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67">
        <f t="shared" si="192"/>
        <v>183.33333333333334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5.6843418860808015E-14</v>
      </c>
      <c r="O202" s="13">
        <f>N202*VLOOKUP('Données projet'!$B$9,Paramètres!$A$1:$I$89,3,0)*VLOOKUP('Données projet'!$B$9,Paramètres!$A$1:$I$89,5,0)</f>
        <v>5.1431925385259088E-14</v>
      </c>
      <c r="P202" s="13">
        <f t="shared" si="203"/>
        <v>8.3482866290946129E-13</v>
      </c>
      <c r="Q202" s="20">
        <f t="shared" si="162"/>
        <v>1.5435705246133045E-12</v>
      </c>
      <c r="R202" s="59">
        <f t="shared" si="191"/>
        <v>290.51637186933766</v>
      </c>
      <c r="S202" s="59">
        <f ca="1">AVERAGE(OFFSET($R$3,0,0,'Données projet'!$E$9+1,1))-AVERAGE(OFFSET($H$3,0,0,'Données projet'!$E$9+1,1))</f>
        <v>214.60547318405733</v>
      </c>
      <c r="T202" s="59">
        <f t="shared" si="204"/>
        <v>306.35874106546646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0.73935063475027751</v>
      </c>
      <c r="AA202" s="21">
        <f>EXP(-LN(2)/25)*AA201+(1-EXP(-LN(2)/25))/(LN(2)/25)*Calculateur!V202*Calculateur!X202*VLOOKUP('Données projet'!$B$9,Paramètres!$A$1:$I$89,3,0)*0.475*44/12</f>
        <v>0.18483669988189061</v>
      </c>
      <c r="AB202" s="21">
        <f>EXP(-LN(2)/2)*AB201+(1-EXP(-LN(2)/2))/(LN(2)/2)*V202*Y202*VLOOKUP('Données projet'!$B$9,Paramètres!$A$1:$I$89,3,0)*0.475*44/12</f>
        <v>9.1258465392150603E-23</v>
      </c>
      <c r="AC202" s="22">
        <f t="shared" si="163"/>
        <v>0.92418733463216807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7.9580786405131221E-13</v>
      </c>
      <c r="AJ202" s="13">
        <f>AI202*VLOOKUP('Données projet'!$B$10,Paramètres!$A$1:$I$89,3,0)*VLOOKUP('Données projet'!$B$10,Paramètres!$A$1:$I$89,5,0)</f>
        <v>8.0694917414803056E-13</v>
      </c>
      <c r="AK202" s="13">
        <f t="shared" si="164"/>
        <v>9.5069530861628001E-12</v>
      </c>
      <c r="AL202" s="20">
        <f t="shared" si="165"/>
        <v>1.7963379770041364E-11</v>
      </c>
      <c r="AM202" s="59">
        <f t="shared" si="193"/>
        <v>290.51637186935409</v>
      </c>
      <c r="AN202" s="59">
        <f ca="1">AVERAGE(OFFSET($AM$3,0,0,'Données projet'!$E$10+1,1))-AVERAGE(OFFSET($H$3,0,0,'Données projet'!$E$10+1,1))</f>
        <v>752.45542076695506</v>
      </c>
      <c r="AO202" s="59">
        <f t="shared" si="205"/>
        <v>329.70629768420724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125.82345666351692</v>
      </c>
      <c r="AV202" s="21">
        <f>EXP(-LN(2)/25)*AV201+(1-EXP(-LN(2)/25))/(LN(2)/25)*Calculateur!AQ202*Calculateur!AS202*VLOOKUP('Données projet'!$B$10,Paramètres!$A$1:$I$89,3,0)*0.475*44/12</f>
        <v>18.511858126625444</v>
      </c>
      <c r="AW202" s="21">
        <f>EXP(-LN(2)/2)*AW201+(1-EXP(-LN(2)/2))/(LN(2)/2)*AQ202*AT202*VLOOKUP('Données projet'!$B$10,Paramètres!$A$1:$I$89,3,0)*0.475*44/12</f>
        <v>4.6511518094020217E-2</v>
      </c>
      <c r="AX202" s="21">
        <f t="shared" si="166"/>
        <v>144.38182630823638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7.9580786405131221E-13</v>
      </c>
      <c r="BE202" s="13">
        <f>BD202*VLOOKUP('Données projet'!$B$11,Paramètres!$A$1:$I$89,3,0)*VLOOKUP('Données projet'!$B$11,Paramètres!$A$1:$I$89,5,0)</f>
        <v>7.2004695539362725E-13</v>
      </c>
      <c r="BF202" s="13">
        <f t="shared" si="167"/>
        <v>8.5963894794935589E-12</v>
      </c>
      <c r="BG202" s="20">
        <f t="shared" si="168"/>
        <v>1.6226126790761848E-11</v>
      </c>
      <c r="BH202" s="59">
        <f t="shared" si="194"/>
        <v>290.51637186935233</v>
      </c>
      <c r="BI202" s="59">
        <f ca="1">AVERAGE(OFFSET($BH$3,0,0,'Données projet'!$E$11+1,1))-AVERAGE(OFFSET($H$3,0,0,'Données projet'!$E$11+1,1))</f>
        <v>681.47578137804555</v>
      </c>
      <c r="BJ202" s="59">
        <f t="shared" si="206"/>
        <v>300.88511065995885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112.27323825359971</v>
      </c>
      <c r="BQ202" s="21">
        <f>EXP(-LN(2)/25)*BQ201+(1-EXP(-LN(2)/25))/(LN(2)/25)*Calculateur!BL202*Calculateur!BN202*VLOOKUP('Données projet'!$B$11,Paramètres!$A$1:$I$89,3,0)*0.475*44/12</f>
        <v>16.51827340529654</v>
      </c>
      <c r="BR202" s="21">
        <f>EXP(-LN(2)/2)*BR201+(1-EXP(-LN(2)/2))/(LN(2)/2)*BL202*BO202*VLOOKUP('Données projet'!$B$11,Paramètres!$A$1:$I$89,3,0)*0.475*44/12</f>
        <v>4.1502585376202689E-2</v>
      </c>
      <c r="BS202" s="22">
        <f t="shared" si="169"/>
        <v>128.83301424427245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2.2737367544323206E-13</v>
      </c>
      <c r="BZ202" s="13">
        <f>BY202*VLOOKUP('Données projet'!$B$12,Paramètres!$A$1:$I$89,3,0)*VLOOKUP('Données projet'!$B$12,Paramètres!$A$1:$I$89,5,0)</f>
        <v>1.5252226148732008E-13</v>
      </c>
      <c r="CA202" s="13">
        <f t="shared" si="170"/>
        <v>2.1814502464536512E-12</v>
      </c>
      <c r="CB202" s="20">
        <f t="shared" si="171"/>
        <v>4.0650021179971913E-12</v>
      </c>
      <c r="CC202" s="59">
        <f t="shared" si="195"/>
        <v>290.51637186934022</v>
      </c>
      <c r="CD202" s="59">
        <f ca="1">AVERAGE(OFFSET($CC$3,0,0,'Données projet'!$E$12+1,1))-AVERAGE(OFFSET($H$3,0,0,'Données projet'!$E$12+1,1))</f>
        <v>335.73816489539837</v>
      </c>
      <c r="CE202" s="59">
        <f t="shared" si="207"/>
        <v>254.09787950201044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6.4281546673001051</v>
      </c>
      <c r="CL202" s="21">
        <f>EXP(-LN(2)/25)*CL201+(1-EXP(-LN(2)/25))/(LN(2)/25)*Calculateur!CG202*Calculateur!CI202*VLOOKUP('Données projet'!$B$12,Paramètres!$A$1:$I$89,3,0)*0.475*44/12</f>
        <v>3.2146045780512589</v>
      </c>
      <c r="CM202" s="21">
        <f>EXP(-LN(2)/2)*CM201+(1-EXP(-LN(2)/2))/(LN(2)/2)*CG202*CJ202*VLOOKUP('Données projet'!$B$12,Paramètres!$A$1:$I$89,3,0)*0.475*44/12</f>
        <v>1.9677407803363638E-12</v>
      </c>
      <c r="CN202" s="22">
        <f t="shared" si="172"/>
        <v>9.6427592453533322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1.1368683772161603E-13</v>
      </c>
      <c r="CU202" s="17">
        <f>CT202*VLOOKUP('Données projet'!$B$13,Paramètres!$A$1:$I$89,3,0)*VLOOKUP('Données projet'!$B$13,Paramètres!$A$1:$I$89,5,0)</f>
        <v>6.7984728957526396E-14</v>
      </c>
      <c r="CV202" s="13">
        <f t="shared" si="173"/>
        <v>1.0682447123141398E-12</v>
      </c>
      <c r="CW202" s="20">
        <f t="shared" si="174"/>
        <v>1.978932943548152E-12</v>
      </c>
      <c r="CX202" s="59">
        <f t="shared" si="196"/>
        <v>290.51637186933812</v>
      </c>
      <c r="CY202" s="59">
        <f ca="1">AVERAGE(OFFSET($CX$3,0,0,'Données projet'!$E$13+1,1))-AVERAGE(OFFSET($H$3,0,0,'Données projet'!$E$13+1,1))</f>
        <v>318.50474972254085</v>
      </c>
      <c r="CZ202" s="59">
        <f t="shared" si="208"/>
        <v>326.45858332753562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8.8529196622963244</v>
      </c>
      <c r="DG202" s="21">
        <f>EXP(-LN(2)/25)*DG201+(1-EXP(-LN(2)/25))/(LN(2)/25)*Calculateur!DB202*Calculateur!DD202*VLOOKUP('Données projet'!$B$13,Paramètres!$A$1:$I$89,3,0)*0.475*44/12</f>
        <v>1.0267908753476227</v>
      </c>
      <c r="DH202" s="21">
        <f>EXP(-LN(2)/2)*DH201+(1-EXP(-LN(2)/2))/(LN(2)/2)*DB202*DE202*VLOOKUP('Données projet'!$B$13,Paramètres!$A$1:$I$89,3,0)*0.475*44/12</f>
        <v>7.1826941824909733E-20</v>
      </c>
      <c r="DI202" s="22">
        <f t="shared" si="175"/>
        <v>9.8797105376439465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3">
        <f>'Scénario référence'!$B$16*5+'Scénario référence'!$B$17*0+'Scénario référence'!$B$18*5</f>
        <v>5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67">
        <f t="shared" si="192"/>
        <v>183.33333333333334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5.6843418860808015E-14</v>
      </c>
      <c r="O203" s="13">
        <f>N203*VLOOKUP('Données projet'!$B$9,Paramètres!$A$1:$I$89,3,0)*VLOOKUP('Données projet'!$B$9,Paramètres!$A$1:$I$89,5,0)</f>
        <v>5.1431925385259088E-14</v>
      </c>
      <c r="P203" s="13">
        <f t="shared" si="203"/>
        <v>8.3482866290946129E-13</v>
      </c>
      <c r="Q203" s="20">
        <f t="shared" si="162"/>
        <v>1.5435705246133045E-12</v>
      </c>
      <c r="R203" s="59">
        <f t="shared" si="191"/>
        <v>290.56523985295564</v>
      </c>
      <c r="S203" s="59">
        <f ca="1">AVERAGE(OFFSET($R$3,0,0,'Données projet'!$E$9+1,1))-AVERAGE(OFFSET($H$3,0,0,'Données projet'!$E$9+1,1))</f>
        <v>214.60547318405733</v>
      </c>
      <c r="T203" s="59">
        <f t="shared" si="204"/>
        <v>306.35874106546646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0.72485241976218318</v>
      </c>
      <c r="AA203" s="21">
        <f>EXP(-LN(2)/25)*AA202+(1-EXP(-LN(2)/25))/(LN(2)/25)*Calculateur!V203*Calculateur!X203*VLOOKUP('Données projet'!$B$9,Paramètres!$A$1:$I$89,3,0)*0.475*44/12</f>
        <v>0.1797823306034807</v>
      </c>
      <c r="AB203" s="21">
        <f>EXP(-LN(2)/2)*AB202+(1-EXP(-LN(2)/2))/(LN(2)/2)*V203*Y203*VLOOKUP('Données projet'!$B$9,Paramètres!$A$1:$I$89,3,0)*0.475*44/12</f>
        <v>6.4529479719467556E-23</v>
      </c>
      <c r="AC203" s="22">
        <f t="shared" si="163"/>
        <v>0.90463475036566388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7.9580786405131221E-13</v>
      </c>
      <c r="AJ203" s="13">
        <f>AI203*VLOOKUP('Données projet'!$B$10,Paramètres!$A$1:$I$89,3,0)*VLOOKUP('Données projet'!$B$10,Paramètres!$A$1:$I$89,5,0)</f>
        <v>8.0694917414803056E-13</v>
      </c>
      <c r="AK203" s="13">
        <f t="shared" si="164"/>
        <v>9.5069530861628001E-12</v>
      </c>
      <c r="AL203" s="20">
        <f t="shared" si="165"/>
        <v>1.7963379770041364E-11</v>
      </c>
      <c r="AM203" s="59">
        <f t="shared" si="193"/>
        <v>290.56523985297207</v>
      </c>
      <c r="AN203" s="59">
        <f ca="1">AVERAGE(OFFSET($AM$3,0,0,'Données projet'!$E$10+1,1))-AVERAGE(OFFSET($H$3,0,0,'Données projet'!$E$10+1,1))</f>
        <v>752.45542076695506</v>
      </c>
      <c r="AO203" s="59">
        <f t="shared" si="205"/>
        <v>329.70629768420724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123.35613542307601</v>
      </c>
      <c r="AV203" s="21">
        <f>EXP(-LN(2)/25)*AV202+(1-EXP(-LN(2)/25))/(LN(2)/25)*Calculateur!AQ203*Calculateur!AS203*VLOOKUP('Données projet'!$B$10,Paramètres!$A$1:$I$89,3,0)*0.475*44/12</f>
        <v>18.005650392656563</v>
      </c>
      <c r="AW203" s="21">
        <f>EXP(-LN(2)/2)*AW202+(1-EXP(-LN(2)/2))/(LN(2)/2)*AQ203*AT203*VLOOKUP('Données projet'!$B$10,Paramètres!$A$1:$I$89,3,0)*0.475*44/12</f>
        <v>3.2888609847562499E-2</v>
      </c>
      <c r="AX203" s="21">
        <f t="shared" si="166"/>
        <v>141.39467442558012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7.9580786405131221E-13</v>
      </c>
      <c r="BE203" s="13">
        <f>BD203*VLOOKUP('Données projet'!$B$11,Paramètres!$A$1:$I$89,3,0)*VLOOKUP('Données projet'!$B$11,Paramètres!$A$1:$I$89,5,0)</f>
        <v>7.2004695539362725E-13</v>
      </c>
      <c r="BF203" s="13">
        <f t="shared" si="167"/>
        <v>8.5963894794935589E-12</v>
      </c>
      <c r="BG203" s="20">
        <f t="shared" si="168"/>
        <v>1.6226126790761848E-11</v>
      </c>
      <c r="BH203" s="59">
        <f t="shared" si="194"/>
        <v>290.56523985297031</v>
      </c>
      <c r="BI203" s="59">
        <f ca="1">AVERAGE(OFFSET($BH$3,0,0,'Données projet'!$E$11+1,1))-AVERAGE(OFFSET($H$3,0,0,'Données projet'!$E$11+1,1))</f>
        <v>681.47578137804555</v>
      </c>
      <c r="BJ203" s="59">
        <f t="shared" si="206"/>
        <v>300.88511065995885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110.07162853136013</v>
      </c>
      <c r="BQ203" s="21">
        <f>EXP(-LN(2)/25)*BQ202+(1-EXP(-LN(2)/25))/(LN(2)/25)*Calculateur!BL203*Calculateur!BN203*VLOOKUP('Données projet'!$B$11,Paramètres!$A$1:$I$89,3,0)*0.475*44/12</f>
        <v>16.066580350370462</v>
      </c>
      <c r="BR203" s="21">
        <f>EXP(-LN(2)/2)*BR202+(1-EXP(-LN(2)/2))/(LN(2)/2)*BL203*BO203*VLOOKUP('Données projet'!$B$11,Paramètres!$A$1:$I$89,3,0)*0.475*44/12</f>
        <v>2.9346759556286562E-2</v>
      </c>
      <c r="BS203" s="22">
        <f t="shared" si="169"/>
        <v>126.16755564128688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2.2737367544323206E-13</v>
      </c>
      <c r="BZ203" s="13">
        <f>BY203*VLOOKUP('Données projet'!$B$12,Paramètres!$A$1:$I$89,3,0)*VLOOKUP('Données projet'!$B$12,Paramètres!$A$1:$I$89,5,0)</f>
        <v>1.5252226148732008E-13</v>
      </c>
      <c r="CA203" s="13">
        <f t="shared" si="170"/>
        <v>2.1814502464536512E-12</v>
      </c>
      <c r="CB203" s="20">
        <f t="shared" si="171"/>
        <v>4.0650021179971913E-12</v>
      </c>
      <c r="CC203" s="59">
        <f t="shared" si="195"/>
        <v>290.5652398529582</v>
      </c>
      <c r="CD203" s="59">
        <f ca="1">AVERAGE(OFFSET($CC$3,0,0,'Données projet'!$E$12+1,1))-AVERAGE(OFFSET($H$3,0,0,'Données projet'!$E$12+1,1))</f>
        <v>335.73816489539837</v>
      </c>
      <c r="CE203" s="59">
        <f t="shared" si="207"/>
        <v>254.09787950201044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6.3021024750615515</v>
      </c>
      <c r="CL203" s="21">
        <f>EXP(-LN(2)/25)*CL202+(1-EXP(-LN(2)/25))/(LN(2)/25)*Calculateur!CG203*Calculateur!CI203*VLOOKUP('Données projet'!$B$12,Paramètres!$A$1:$I$89,3,0)*0.475*44/12</f>
        <v>3.1267010468157395</v>
      </c>
      <c r="CM203" s="21">
        <f>EXP(-LN(2)/2)*CM202+(1-EXP(-LN(2)/2))/(LN(2)/2)*CG203*CJ203*VLOOKUP('Données projet'!$B$12,Paramètres!$A$1:$I$89,3,0)*0.475*44/12</f>
        <v>1.3914028493931515E-12</v>
      </c>
      <c r="CN203" s="22">
        <f t="shared" si="172"/>
        <v>9.4288035218786828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1.1368683772161603E-13</v>
      </c>
      <c r="CU203" s="17">
        <f>CT203*VLOOKUP('Données projet'!$B$13,Paramètres!$A$1:$I$89,3,0)*VLOOKUP('Données projet'!$B$13,Paramètres!$A$1:$I$89,5,0)</f>
        <v>6.7984728957526396E-14</v>
      </c>
      <c r="CV203" s="13">
        <f t="shared" si="173"/>
        <v>1.0682447123141398E-12</v>
      </c>
      <c r="CW203" s="20">
        <f t="shared" si="174"/>
        <v>1.978932943548152E-12</v>
      </c>
      <c r="CX203" s="59">
        <f t="shared" si="196"/>
        <v>290.5652398529561</v>
      </c>
      <c r="CY203" s="59">
        <f ca="1">AVERAGE(OFFSET($CX$3,0,0,'Données projet'!$E$13+1,1))-AVERAGE(OFFSET($H$3,0,0,'Données projet'!$E$13+1,1))</f>
        <v>318.50474972254085</v>
      </c>
      <c r="CZ203" s="59">
        <f t="shared" si="208"/>
        <v>326.45858332753562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8.6793193074665069</v>
      </c>
      <c r="DG203" s="21">
        <f>EXP(-LN(2)/25)*DG202+(1-EXP(-LN(2)/25))/(LN(2)/25)*Calculateur!DB203*Calculateur!DD203*VLOOKUP('Données projet'!$B$13,Paramètres!$A$1:$I$89,3,0)*0.475*44/12</f>
        <v>0.99871322486465663</v>
      </c>
      <c r="DH203" s="21">
        <f>EXP(-LN(2)/2)*DH202+(1-EXP(-LN(2)/2))/(LN(2)/2)*DB203*DE203*VLOOKUP('Données projet'!$B$13,Paramètres!$A$1:$I$89,3,0)*0.475*44/12</f>
        <v>5.0789317636285325E-20</v>
      </c>
      <c r="DI203" s="22">
        <f t="shared" si="175"/>
        <v>9.678032532331164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4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1.7815855705624291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1.1303799945549604</v>
      </c>
      <c r="BA205" s="82">
        <f>EXP(LN('Données projet'!B88)/'Données projet'!A88)</f>
        <v>1.1303799945549604</v>
      </c>
      <c r="BV205" s="82">
        <f>EXP(LN('Données projet'!B114)/'Données projet'!A114)</f>
        <v>1.2979700365523266</v>
      </c>
      <c r="CQ205" s="82">
        <f>EXP(LN('Données projet'!B140)/'Données projet'!A140)</f>
        <v>1.3275965341357465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13" workbookViewId="0">
      <selection activeCell="B26" sqref="B26"/>
    </sheetView>
  </sheetViews>
  <sheetFormatPr baseColWidth="10" defaultColWidth="11.453125" defaultRowHeight="14.5" x14ac:dyDescent="0.35"/>
  <cols>
    <col min="1" max="1" width="23.453125" style="4" bestFit="1" customWidth="1"/>
    <col min="2" max="2" width="27.6328125" style="4" bestFit="1" customWidth="1"/>
    <col min="3" max="3" width="11.90625" style="4" bestFit="1" customWidth="1"/>
    <col min="4" max="4" width="40" style="4" bestFit="1" customWidth="1"/>
    <col min="5" max="5" width="11.90625" style="4" bestFit="1" customWidth="1"/>
    <col min="6" max="6" width="13.6328125" style="4" bestFit="1" customWidth="1"/>
    <col min="7" max="7" width="11.453125" style="4" bestFit="1" customWidth="1"/>
    <col min="8" max="8" width="39" style="4" bestFit="1" customWidth="1"/>
    <col min="9" max="9" width="16.63281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3" t="s">
        <v>238</v>
      </c>
      <c r="P2" s="121">
        <v>0</v>
      </c>
    </row>
    <row r="3" spans="1:16" ht="15" thickBot="1" x14ac:dyDescent="0.4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4"/>
      <c r="P3" s="128">
        <v>0.2</v>
      </c>
    </row>
    <row r="4" spans="1:16" ht="15" thickBot="1" x14ac:dyDescent="0.4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3" t="s">
        <v>237</v>
      </c>
      <c r="P5" s="121">
        <v>0</v>
      </c>
    </row>
    <row r="6" spans="1:16" x14ac:dyDescent="0.3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5"/>
      <c r="P6" s="129">
        <v>0.05</v>
      </c>
    </row>
    <row r="7" spans="1:16" x14ac:dyDescent="0.3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5"/>
      <c r="P7" s="129">
        <v>0.1</v>
      </c>
    </row>
    <row r="8" spans="1:16" ht="15" thickBot="1" x14ac:dyDescent="0.4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4"/>
      <c r="P8" s="128">
        <v>0.15</v>
      </c>
    </row>
    <row r="9" spans="1:16" ht="15" thickBot="1" x14ac:dyDescent="0.4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3" t="s">
        <v>236</v>
      </c>
      <c r="P10" s="121">
        <v>0</v>
      </c>
    </row>
    <row r="11" spans="1:16" ht="15" thickBot="1" x14ac:dyDescent="0.4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4"/>
      <c r="P11" s="128">
        <v>0.1</v>
      </c>
    </row>
    <row r="12" spans="1:16" x14ac:dyDescent="0.3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4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5">
      <c r="A93" s="122" t="s">
        <v>208</v>
      </c>
    </row>
    <row r="94" spans="1:14" x14ac:dyDescent="0.35">
      <c r="A94" s="122" t="s">
        <v>209</v>
      </c>
    </row>
    <row r="95" spans="1:14" x14ac:dyDescent="0.3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90" zoomScaleNormal="90" workbookViewId="0">
      <selection activeCell="N5" sqref="N5"/>
    </sheetView>
  </sheetViews>
  <sheetFormatPr baseColWidth="10" defaultColWidth="11.453125" defaultRowHeight="14.5" x14ac:dyDescent="0.35"/>
  <cols>
    <col min="1" max="1" width="22.9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60" t="s">
        <v>271</v>
      </c>
      <c r="B2" s="261"/>
      <c r="C2" s="261"/>
      <c r="D2" s="261"/>
      <c r="E2" s="261"/>
      <c r="F2" s="261"/>
      <c r="G2" s="261"/>
      <c r="H2" s="261"/>
      <c r="I2" s="261"/>
      <c r="J2" s="261"/>
      <c r="K2" s="261"/>
      <c r="L2" s="262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5" thickBot="1" x14ac:dyDescent="0.4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5" t="str">
        <f>IF('Données projet'!$B$9="","",'Données projet'!$B$9)</f>
        <v>Robinier faux-acacia</v>
      </c>
      <c r="B6" s="146">
        <f>'Données projet'!D9</f>
        <v>0.24529999999999999</v>
      </c>
      <c r="C6" s="147">
        <f ca="1">IF(OR('Données projet'!B9="",'Données projet'!C9="",'Données projet'!C9=0%),0,Calculateur!S3)</f>
        <v>214.60547318405733</v>
      </c>
      <c r="D6" s="147">
        <f>IF(OR('Données projet'!B9="",'Données projet'!C9="",'Données projet'!C9=0%),0,Calculateur!T3)</f>
        <v>306.35874106546646</v>
      </c>
      <c r="E6" s="147">
        <f ca="1">MIN(C6,D6)</f>
        <v>214.60547318405733</v>
      </c>
      <c r="F6" s="147">
        <f ca="1">E6*B6</f>
        <v>52.642722572049259</v>
      </c>
      <c r="G6" s="147">
        <f ca="1">F6*(100%-'Données projet'!$C$24)*(100%-'Données projet'!$C$25)*(100%-'Données projet'!$C$26)*(100%-'Données projet'!$C$27)</f>
        <v>40.271682767617683</v>
      </c>
      <c r="H6" s="148">
        <f>IF(OR('Données projet'!B9="",'Données projet'!C9="",'Données projet'!C9=0%),0,AVERAGE(Calculateur!$AC$3:$AC$33)*B6)</f>
        <v>0.6466430777802169</v>
      </c>
      <c r="I6" s="149">
        <f>H6*(100%-'Données projet'!$C$24)*(100%-'Données projet'!$C$25)*(100%-'Données projet'!$C$26)*(100%-'Données projet'!$C$27)</f>
        <v>0.49468195450186592</v>
      </c>
      <c r="J6" s="150">
        <f>IF(OR('Données projet'!B9="",'Données projet'!C9="",'Données projet'!C9=0%),0,SUM(Calculateur!$V$3:$V$33)*VLOOKUP('Données projet'!$B$9,Paramètres!$A$1:$I$89,9,0)*B6)</f>
        <v>2.987628205128205</v>
      </c>
      <c r="K6" s="151">
        <f>J6*(100%-'Données projet'!$C$24)*(100%-'Données projet'!$C$25)*(100%-'Données projet'!$C$26)*(100%-'Données projet'!$C$27)</f>
        <v>2.2855355769230767</v>
      </c>
      <c r="L6" s="152">
        <f ca="1">G6+I6+K6</f>
        <v>43.051900299042622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3" t="str">
        <f>IF('Données projet'!$B$10="","",'Données projet'!$B$10)</f>
        <v>Chêne pubescent</v>
      </c>
      <c r="B7" s="154">
        <f>'Données projet'!D10</f>
        <v>0.28989999999999999</v>
      </c>
      <c r="C7" s="147">
        <f ca="1">IF(OR('Données projet'!B10="",'Données projet'!C10="",'Données projet'!C10=0%),0,Calculateur!AN3)</f>
        <v>752.45542076695506</v>
      </c>
      <c r="D7" s="147">
        <f>IF(OR('Données projet'!B10="",'Données projet'!C10="",'Données projet'!C10=0%),0,Calculateur!AO3)</f>
        <v>329.70629768420724</v>
      </c>
      <c r="E7" s="147">
        <f t="shared" ref="E7:E15" ca="1" si="0">MIN(C7,D7)</f>
        <v>329.70629768420724</v>
      </c>
      <c r="F7" s="147">
        <f t="shared" ref="F7:F15" ca="1" si="1">E7*B7</f>
        <v>95.58185569865168</v>
      </c>
      <c r="G7" s="147">
        <f ca="1">F7*(100%-'Données projet'!$C$24)*(100%-'Données projet'!$C$25)*(100%-'Données projet'!$C$26)*(100%-'Données projet'!$C$27)</f>
        <v>73.120119609468546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ca="1" si="2">G7+I7+K7</f>
        <v>73.120119609468546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3" t="str">
        <f>IF('Données projet'!$B$11="","",'Données projet'!$B$11)</f>
        <v>Chêne sessile</v>
      </c>
      <c r="B8" s="154">
        <f>'Données projet'!D11</f>
        <v>0.28989999999999999</v>
      </c>
      <c r="C8" s="147">
        <f ca="1">IF(OR('Données projet'!B11="",'Données projet'!C11="",'Données projet'!C11=0%),0,Calculateur!BI3)</f>
        <v>681.47578137804555</v>
      </c>
      <c r="D8" s="147">
        <f>IF(OR('Données projet'!B11="",'Données projet'!C11="",'Données projet'!C11=0%),0,Calculateur!BJ3)</f>
        <v>300.88511065995885</v>
      </c>
      <c r="E8" s="147">
        <f t="shared" ca="1" si="0"/>
        <v>300.88511065995885</v>
      </c>
      <c r="F8" s="147">
        <f t="shared" ca="1" si="1"/>
        <v>87.226593580322074</v>
      </c>
      <c r="G8" s="147">
        <f ca="1">F8*(100%-'Données projet'!$C$24)*(100%-'Données projet'!$C$25)*(100%-'Données projet'!$C$26)*(100%-'Données projet'!$C$27)</f>
        <v>66.728344088946386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ca="1" si="2"/>
        <v>66.728344088946386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3" t="str">
        <f>IF('Données projet'!$B$12="","",'Données projet'!$B$12)</f>
        <v>Tilleul</v>
      </c>
      <c r="B9" s="154">
        <f>'Données projet'!D12</f>
        <v>2.23E-2</v>
      </c>
      <c r="C9" s="147">
        <f ca="1">IF(OR('Données projet'!B12="",'Données projet'!C12="",'Données projet'!C12=0%),0,Calculateur!CD3)</f>
        <v>335.73816489539837</v>
      </c>
      <c r="D9" s="147">
        <f>IF(OR('Données projet'!B12="",'Données projet'!C12="",'Données projet'!C12=0%),0,Calculateur!CE3)</f>
        <v>254.09787950201044</v>
      </c>
      <c r="E9" s="147">
        <f t="shared" ca="1" si="0"/>
        <v>254.09787950201044</v>
      </c>
      <c r="F9" s="147">
        <f t="shared" ca="1" si="1"/>
        <v>5.6663827128948325</v>
      </c>
      <c r="G9" s="147">
        <f ca="1">F9*(100%-'Données projet'!$C$24)*(100%-'Données projet'!$C$25)*(100%-'Données projet'!$C$26)*(100%-'Données projet'!$C$27)</f>
        <v>4.3347827753645465</v>
      </c>
      <c r="H9" s="155">
        <f>IF(OR('Données projet'!B12="",'Données projet'!C12="",'Données projet'!C12=0%),0,AVERAGE(Calculateur!$CN$3:$CN$33)*B9)</f>
        <v>4.3177691562148894E-2</v>
      </c>
      <c r="I9" s="149">
        <f>H9*(100%-'Données projet'!$C$24)*(100%-'Données projet'!$C$25)*(100%-'Données projet'!$C$26)*(100%-'Données projet'!$C$27)</f>
        <v>3.3030934045043904E-2</v>
      </c>
      <c r="J9" s="150">
        <f>IF(OR('Données projet'!B12="",'Données projet'!C12="",'Données projet'!C12=0%),0,SUM(Calculateur!$CG$3:$CG$33)*VLOOKUP('Données projet'!$B$12,Paramètres!$A$1:$I$89,9,0)*B9)</f>
        <v>0.31806089743589749</v>
      </c>
      <c r="K9" s="151">
        <f>J9*(100%-'Données projet'!$C$24)*(100%-'Données projet'!$C$25)*(100%-'Données projet'!$C$26)*(100%-'Données projet'!$C$27)</f>
        <v>0.24331658653846158</v>
      </c>
      <c r="L9" s="152">
        <f t="shared" ca="1" si="2"/>
        <v>4.611130295948052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3" t="str">
        <f>IF('Données projet'!$B$13="","",'Données projet'!$B$13)</f>
        <v>Pin maritime</v>
      </c>
      <c r="B10" s="154">
        <f>'Données projet'!D13</f>
        <v>1.3826000000000001</v>
      </c>
      <c r="C10" s="147">
        <f ca="1">IF(OR('Données projet'!B13="",'Données projet'!C13="",'Données projet'!C13=0%),0,Calculateur!CY3)</f>
        <v>318.50474972254085</v>
      </c>
      <c r="D10" s="147">
        <f>IF(OR('Données projet'!B13="",'Données projet'!C13="",'Données projet'!C13=0%),0,Calculateur!CZ3)</f>
        <v>326.45858332753562</v>
      </c>
      <c r="E10" s="147">
        <f t="shared" ca="1" si="0"/>
        <v>318.50474972254085</v>
      </c>
      <c r="F10" s="147">
        <f t="shared" ca="1" si="1"/>
        <v>440.36466696638502</v>
      </c>
      <c r="G10" s="147">
        <f ca="1">F10*(100%-'Données projet'!$C$24)*(100%-'Données projet'!$C$25)*(100%-'Données projet'!$C$26)*(100%-'Données projet'!$C$27)</f>
        <v>336.8789702292845</v>
      </c>
      <c r="H10" s="155">
        <f>IF(OR('Données projet'!B13="",'Données projet'!C13="",'Données projet'!C13=0%),0,AVERAGE(Calculateur!$DI$3:$DI$33)*B10)</f>
        <v>14.26973294188992</v>
      </c>
      <c r="I10" s="149">
        <f>H10*(100%-'Données projet'!$C$24)*(100%-'Données projet'!$C$25)*(100%-'Données projet'!$C$26)*(100%-'Données projet'!$C$27)</f>
        <v>10.916345700545788</v>
      </c>
      <c r="J10" s="150">
        <f>IF(OR('Données projet'!B13="",'Données projet'!C13="",'Données projet'!C13=0%),0,SUM(Calculateur!$DB$3:$DB$33)*VLOOKUP('Données projet'!$B$13,Paramètres!$A$1:$I$89,9,0)*B10)</f>
        <v>126.04721767999997</v>
      </c>
      <c r="K10" s="151">
        <f>J10*(100%-'Données projet'!$C$24)*(100%-'Données projet'!$C$25)*(100%-'Données projet'!$C$26)*(100%-'Données projet'!$C$27)</f>
        <v>96.426121525199989</v>
      </c>
      <c r="L10" s="152">
        <f t="shared" ca="1" si="2"/>
        <v>444.22143745503024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9"/>
      <c r="B16" s="213"/>
      <c r="C16" s="214"/>
      <c r="D16" s="23"/>
      <c r="E16" s="23"/>
      <c r="F16" s="165">
        <f t="shared" ref="F16:L16" ca="1" si="3">SUM(F6:F15)</f>
        <v>681.48222153030281</v>
      </c>
      <c r="G16" s="166">
        <f t="shared" ca="1" si="3"/>
        <v>521.33389947068167</v>
      </c>
      <c r="H16" s="167">
        <f t="shared" si="3"/>
        <v>14.959553711232285</v>
      </c>
      <c r="I16" s="167">
        <f t="shared" si="3"/>
        <v>11.444058589092698</v>
      </c>
      <c r="J16" s="168">
        <f t="shared" si="3"/>
        <v>129.35290678256408</v>
      </c>
      <c r="K16" s="168">
        <f t="shared" si="3"/>
        <v>98.954973688661525</v>
      </c>
      <c r="L16" s="169">
        <f t="shared" ca="1" si="3"/>
        <v>631.73293174843582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9"/>
      <c r="B17" s="213"/>
      <c r="C17" s="214"/>
      <c r="D17" s="23"/>
      <c r="E17" s="23"/>
      <c r="F17" s="257" t="s">
        <v>246</v>
      </c>
      <c r="G17" s="258"/>
      <c r="H17" s="258"/>
      <c r="I17" s="258"/>
      <c r="J17" s="258"/>
      <c r="K17" s="258"/>
      <c r="L17" s="258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9"/>
      <c r="B18" s="213"/>
      <c r="C18" s="214"/>
      <c r="D18" s="23"/>
      <c r="E18" s="23"/>
      <c r="F18" s="259"/>
      <c r="G18" s="259"/>
      <c r="H18" s="259"/>
      <c r="I18" s="259"/>
      <c r="J18" s="259"/>
      <c r="K18" s="259"/>
      <c r="L18" s="259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70" t="str">
        <f>A6</f>
        <v>Robinier faux-acacia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70" t="str">
        <f>A7</f>
        <v>Chêne pubescent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70" t="str">
        <f>A8</f>
        <v>Chêne sessile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70" t="str">
        <f>A9</f>
        <v>Tilleul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70" t="str">
        <f>A10</f>
        <v>Pin maritime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M7" zoomScale="80" zoomScaleNormal="80" workbookViewId="0">
      <selection activeCell="Q25" sqref="Q25"/>
    </sheetView>
  </sheetViews>
  <sheetFormatPr baseColWidth="10" defaultColWidth="11.453125" defaultRowHeight="14.5" x14ac:dyDescent="0.35"/>
  <cols>
    <col min="1" max="1" width="11.453125" style="1"/>
    <col min="2" max="2" width="30.90625" style="1" bestFit="1" customWidth="1"/>
    <col min="3" max="3" width="18.08984375" style="1" bestFit="1" customWidth="1"/>
    <col min="4" max="5" width="11.453125" style="1"/>
    <col min="6" max="6" width="14" style="1" customWidth="1"/>
    <col min="7" max="7" width="17.54296875" style="1" customWidth="1"/>
    <col min="8" max="8" width="21.6328125" style="1" customWidth="1"/>
    <col min="9" max="9" width="37" style="1" customWidth="1"/>
    <col min="10" max="10" width="11.453125" style="1"/>
    <col min="11" max="11" width="8.9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08984375" style="1" customWidth="1"/>
    <col min="21" max="21" width="16.453125" style="1" customWidth="1"/>
    <col min="22" max="22" width="17.9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60" t="s">
        <v>272</v>
      </c>
      <c r="C2" s="261"/>
      <c r="D2" s="261"/>
      <c r="E2" s="261"/>
      <c r="F2" s="261"/>
      <c r="G2" s="261"/>
      <c r="H2" s="261"/>
      <c r="I2" s="261"/>
      <c r="J2" s="261"/>
      <c r="K2" s="261"/>
      <c r="L2" s="261"/>
      <c r="M2" s="261"/>
      <c r="N2" s="261"/>
      <c r="O2" s="261"/>
      <c r="P2" s="262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68" t="s">
        <v>315</v>
      </c>
      <c r="I4" s="268"/>
      <c r="K4" s="286" t="s">
        <v>253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6" t="s">
        <v>310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Robinier faux-acacia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865.29688711782762</v>
      </c>
      <c r="U10" s="178">
        <f>'Données projet'!D9</f>
        <v>0.24529999999999999</v>
      </c>
      <c r="V10" s="177">
        <f>U10*T10</f>
        <v>212.25732641000312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Chêne pubescent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286.88197168542297</v>
      </c>
      <c r="U11" s="178">
        <f>'Données projet'!D10</f>
        <v>0.28989999999999999</v>
      </c>
      <c r="V11" s="177">
        <f t="shared" ref="V11" si="0">U11*T11</f>
        <v>83.167083591604111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Chêne sessile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861.73618777225249</v>
      </c>
      <c r="U12" s="178">
        <f>'Données projet'!D11</f>
        <v>0.28989999999999999</v>
      </c>
      <c r="V12" s="177">
        <f t="shared" ref="V12:V19" si="1">U12*T12</f>
        <v>249.81732083517599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Tilleul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343.82850893088289</v>
      </c>
      <c r="U13" s="178">
        <f>'Données projet'!D12</f>
        <v>2.23E-2</v>
      </c>
      <c r="V13" s="177">
        <f t="shared" si="1"/>
        <v>7.6673757491586887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165</v>
      </c>
      <c r="B14" s="174" t="str">
        <f>IF('Données projet'!$B$9="","",'Données projet'!$B$9)</f>
        <v>Robinier faux-acacia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Pin maritime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2332.8982760692688</v>
      </c>
      <c r="U14" s="178">
        <f>'Données projet'!D13</f>
        <v>1.3826000000000001</v>
      </c>
      <c r="V14" s="177">
        <f t="shared" si="1"/>
        <v>3225.4651564933711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30"/>
      <c r="G15" s="289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89"/>
      <c r="H16" s="190"/>
      <c r="I16" s="191"/>
      <c r="J16" s="202"/>
      <c r="K16" s="208"/>
      <c r="L16" s="286" t="s">
        <v>254</v>
      </c>
      <c r="M16" s="287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289"/>
      <c r="J17" s="202"/>
      <c r="K17" s="208"/>
      <c r="L17" s="265" t="s">
        <v>289</v>
      </c>
      <c r="M17" s="267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89"/>
      <c r="J18" s="202"/>
      <c r="K18" s="208"/>
      <c r="L18" s="265" t="s">
        <v>255</v>
      </c>
      <c r="M18" s="267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89"/>
      <c r="H19" s="212" t="s">
        <v>178</v>
      </c>
      <c r="I19" s="212" t="s">
        <v>287</v>
      </c>
      <c r="J19" s="93"/>
      <c r="K19" s="173"/>
      <c r="L19" s="286" t="s">
        <v>288</v>
      </c>
      <c r="M19" s="287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89"/>
      <c r="H20" s="190">
        <v>1</v>
      </c>
      <c r="I20" s="191">
        <v>3290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2</v>
      </c>
      <c r="I21" s="191">
        <v>470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v>470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80">
        <f>'Données projet'!A36</f>
        <v>5</v>
      </c>
      <c r="B23" s="181">
        <f>'Données projet'!D36</f>
        <v>2.5641025641025639</v>
      </c>
      <c r="C23" s="193">
        <v>12.85</v>
      </c>
      <c r="D23" s="182">
        <f>B23*C23</f>
        <v>32.948717948717942</v>
      </c>
      <c r="E23" s="193">
        <v>60</v>
      </c>
      <c r="F23" s="230"/>
      <c r="H23" s="190">
        <v>4</v>
      </c>
      <c r="I23" s="191">
        <v>470</v>
      </c>
      <c r="K23" s="208"/>
      <c r="L23" s="288" t="s">
        <v>260</v>
      </c>
      <c r="M23" s="288"/>
      <c r="N23" s="288"/>
      <c r="O23" s="23"/>
      <c r="P23" s="23"/>
      <c r="Q23" s="234"/>
      <c r="R23" s="23"/>
      <c r="S23" s="36" t="s">
        <v>264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-6840.5594058191873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80">
        <f>'Données projet'!A37</f>
        <v>10</v>
      </c>
      <c r="B24" s="181">
        <f>'Données projet'!D37</f>
        <v>13.461538461538462</v>
      </c>
      <c r="C24" s="193">
        <v>12.85</v>
      </c>
      <c r="D24" s="182">
        <f t="shared" ref="D24:D42" si="2">B24*C24</f>
        <v>172.98076923076923</v>
      </c>
      <c r="E24" s="193">
        <v>60</v>
      </c>
      <c r="F24" s="233"/>
      <c r="H24" s="190">
        <v>5</v>
      </c>
      <c r="I24" s="191">
        <v>470</v>
      </c>
      <c r="K24" s="208"/>
      <c r="O24" s="23"/>
      <c r="P24" s="23"/>
      <c r="Q24" s="234"/>
      <c r="R24" s="23"/>
      <c r="S24" s="36" t="s">
        <v>261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5393.8385695260349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80">
        <f>'Données projet'!A38</f>
        <v>15</v>
      </c>
      <c r="B25" s="181">
        <f>'Données projet'!D38</f>
        <v>10.897435897435898</v>
      </c>
      <c r="C25" s="193">
        <v>12.85</v>
      </c>
      <c r="D25" s="182">
        <f t="shared" si="2"/>
        <v>140.03205128205127</v>
      </c>
      <c r="E25" s="193">
        <v>60</v>
      </c>
      <c r="F25" s="233"/>
      <c r="H25" s="190"/>
      <c r="I25" s="191"/>
      <c r="K25" s="208"/>
      <c r="L25" s="130" t="s">
        <v>285</v>
      </c>
      <c r="M25" s="130"/>
      <c r="N25" s="130"/>
      <c r="O25" s="130"/>
      <c r="P25" s="192">
        <v>120</v>
      </c>
      <c r="Q25" s="234"/>
      <c r="R25" s="23"/>
      <c r="S25" s="186" t="s">
        <v>266</v>
      </c>
      <c r="T25" s="303">
        <f ca="1">T23-T24</f>
        <v>-12234.397975345222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80">
        <f>'Données projet'!A39</f>
        <v>20</v>
      </c>
      <c r="B26" s="181">
        <f>'Données projet'!D39</f>
        <v>8.9743589743589745</v>
      </c>
      <c r="C26" s="193">
        <v>12.85</v>
      </c>
      <c r="D26" s="182">
        <f t="shared" si="2"/>
        <v>115.32051282051282</v>
      </c>
      <c r="E26" s="193">
        <v>60</v>
      </c>
      <c r="F26" s="233"/>
      <c r="G26" s="229"/>
      <c r="H26" s="190"/>
      <c r="I26" s="191"/>
      <c r="K26" s="208"/>
      <c r="L26" s="290" t="s">
        <v>258</v>
      </c>
      <c r="M26" s="291"/>
      <c r="N26" s="291"/>
      <c r="O26" s="291"/>
      <c r="P26" s="292"/>
      <c r="Q26" s="234"/>
      <c r="R26" s="23"/>
      <c r="S26" s="186" t="s">
        <v>265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80">
        <f>'Données projet'!A40</f>
        <v>25</v>
      </c>
      <c r="B27" s="181">
        <f>'Données projet'!D40</f>
        <v>7.0512820512820511</v>
      </c>
      <c r="C27" s="193">
        <v>12.85</v>
      </c>
      <c r="D27" s="182">
        <f t="shared" si="2"/>
        <v>90.608974358974351</v>
      </c>
      <c r="E27" s="193">
        <v>60</v>
      </c>
      <c r="F27" s="233"/>
      <c r="G27" s="229"/>
      <c r="H27" s="190"/>
      <c r="I27" s="191"/>
      <c r="K27" s="208"/>
      <c r="L27" s="293"/>
      <c r="M27" s="294"/>
      <c r="N27" s="294"/>
      <c r="O27" s="294"/>
      <c r="P27" s="295"/>
      <c r="Q27" s="234"/>
      <c r="R27" s="23"/>
      <c r="S27" s="299" t="s">
        <v>267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80">
        <f>'Données projet'!A41</f>
        <v>30</v>
      </c>
      <c r="B28" s="181">
        <f>'Données projet'!D41</f>
        <v>5.7692307692307692</v>
      </c>
      <c r="C28" s="193">
        <v>12.85</v>
      </c>
      <c r="D28" s="182">
        <f t="shared" si="2"/>
        <v>74.134615384615387</v>
      </c>
      <c r="E28" s="193">
        <v>60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80">
        <f>'Données projet'!A42</f>
        <v>35</v>
      </c>
      <c r="B29" s="181">
        <f>'Données projet'!D42</f>
        <v>4.4871794871794872</v>
      </c>
      <c r="C29" s="193">
        <v>12.85</v>
      </c>
      <c r="D29" s="182">
        <f t="shared" si="2"/>
        <v>57.660256410256409</v>
      </c>
      <c r="E29" s="193">
        <v>60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80">
        <f>'Données projet'!A43</f>
        <v>40</v>
      </c>
      <c r="B30" s="181">
        <f>'Données projet'!D43</f>
        <v>3.8461538461538458</v>
      </c>
      <c r="C30" s="193">
        <v>12.85</v>
      </c>
      <c r="D30" s="182">
        <f t="shared" si="2"/>
        <v>49.42307692307692</v>
      </c>
      <c r="E30" s="193">
        <v>60</v>
      </c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2418.7616903704193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80">
        <f>'Données projet'!A44</f>
        <v>45</v>
      </c>
      <c r="B31" s="181">
        <f>'Données projet'!D44</f>
        <v>161.53846153846152</v>
      </c>
      <c r="C31" s="193">
        <v>33.5</v>
      </c>
      <c r="D31" s="182">
        <f t="shared" si="2"/>
        <v>5411.538461538461</v>
      </c>
      <c r="E31" s="193">
        <v>60</v>
      </c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120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114.83253588516747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109.88759414848563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105.15559248658911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100.62736123118579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96.294125580082095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92.147488593380018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88.179414921894747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84.382215236262937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80.748531326567416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77.271321843605193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73.943848654167653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166</v>
      </c>
      <c r="B45" s="174" t="str">
        <f>IF('Données projet'!$B$10="","",'Données projet'!$B$10)</f>
        <v>Chêne pubescent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70.759663783892506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67.71259692238516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64.796743466397302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62.006453077892154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59.336318734825049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56.781166253421098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54.336044261646997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51.996214604446891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49.757143162150143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80">
        <f>'Données projet'!A62</f>
        <v>42</v>
      </c>
      <c r="B54" s="181">
        <f>'Données projet'!D62</f>
        <v>44.510000000000005</v>
      </c>
      <c r="C54" s="191">
        <v>13.5625</v>
      </c>
      <c r="D54" s="179">
        <f>B54*C54</f>
        <v>603.66687500000012</v>
      </c>
      <c r="E54" s="193">
        <v>60</v>
      </c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47.614491064258509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80">
        <f>'Données projet'!A63</f>
        <v>50</v>
      </c>
      <c r="B55" s="181">
        <f>'Données projet'!D63</f>
        <v>37.54000000000002</v>
      </c>
      <c r="C55" s="191">
        <v>13.5625</v>
      </c>
      <c r="D55" s="179">
        <f t="shared" ref="D55:D73" si="4">B55*C55</f>
        <v>509.1362500000003</v>
      </c>
      <c r="E55" s="193">
        <v>60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45.564106281587101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80">
        <f>'Données projet'!A64</f>
        <v>58</v>
      </c>
      <c r="B56" s="181">
        <f>'Données projet'!D64</f>
        <v>47.789999999999992</v>
      </c>
      <c r="C56" s="191">
        <v>13.5625</v>
      </c>
      <c r="D56" s="179">
        <f t="shared" si="4"/>
        <v>648.1518749999999</v>
      </c>
      <c r="E56" s="193">
        <v>60</v>
      </c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43.602015580466123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80">
        <f>'Données projet'!A65</f>
        <v>66</v>
      </c>
      <c r="B57" s="181">
        <f>'Données projet'!D65</f>
        <v>53.679999999999978</v>
      </c>
      <c r="C57" s="191">
        <v>13.5625</v>
      </c>
      <c r="D57" s="179">
        <f t="shared" si="4"/>
        <v>728.03499999999974</v>
      </c>
      <c r="E57" s="193">
        <v>60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41.724416823412568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80">
        <f>'Données projet'!A66</f>
        <v>74</v>
      </c>
      <c r="B58" s="181">
        <f>'Données projet'!D66</f>
        <v>51.339999999999975</v>
      </c>
      <c r="C58" s="191">
        <v>13.5625</v>
      </c>
      <c r="D58" s="179">
        <f t="shared" si="4"/>
        <v>696.2987499999997</v>
      </c>
      <c r="E58" s="193">
        <v>60</v>
      </c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39.92767160135174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80">
        <f>'Données projet'!A67</f>
        <v>84</v>
      </c>
      <c r="B59" s="181">
        <f>'Données projet'!D67</f>
        <v>66.69</v>
      </c>
      <c r="C59" s="191">
        <v>13.5625</v>
      </c>
      <c r="D59" s="179">
        <f t="shared" si="4"/>
        <v>904.48312499999997</v>
      </c>
      <c r="E59" s="193">
        <v>60</v>
      </c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38.208298183111729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80">
        <f>'Données projet'!A68</f>
        <v>94</v>
      </c>
      <c r="B60" s="181">
        <f>'Données projet'!D68</f>
        <v>67.350000000000023</v>
      </c>
      <c r="C60" s="191">
        <v>13.5625</v>
      </c>
      <c r="D60" s="179">
        <f t="shared" si="4"/>
        <v>913.43437500000027</v>
      </c>
      <c r="E60" s="193">
        <v>60</v>
      </c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36.562964768527969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80">
        <f>'Données projet'!A69</f>
        <v>104</v>
      </c>
      <c r="B61" s="181">
        <f>'Données projet'!D69</f>
        <v>66.089999999999975</v>
      </c>
      <c r="C61" s="191">
        <v>13.5625</v>
      </c>
      <c r="D61" s="179">
        <f t="shared" si="4"/>
        <v>896.3456249999997</v>
      </c>
      <c r="E61" s="193">
        <v>60</v>
      </c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34.98848303208419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80">
        <f>'Données projet'!A70</f>
        <v>114</v>
      </c>
      <c r="B62" s="181">
        <f>'Données projet'!D70</f>
        <v>61.860000000000014</v>
      </c>
      <c r="C62" s="191">
        <v>40.0625</v>
      </c>
      <c r="D62" s="179">
        <f t="shared" si="4"/>
        <v>2478.2662500000006</v>
      </c>
      <c r="E62" s="193">
        <v>60</v>
      </c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33.481801944578166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80">
        <f>'Données projet'!A71</f>
        <v>124</v>
      </c>
      <c r="B63" s="181">
        <f>'Données projet'!D71</f>
        <v>57.81</v>
      </c>
      <c r="C63" s="191">
        <v>40.0625</v>
      </c>
      <c r="D63" s="179">
        <f t="shared" si="4"/>
        <v>2316.0131249999999</v>
      </c>
      <c r="E63" s="193">
        <v>60</v>
      </c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32.040001860840363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80">
        <f>'Données projet'!A72</f>
        <v>134</v>
      </c>
      <c r="B64" s="181">
        <f>'Données projet'!D72</f>
        <v>60.779999999999973</v>
      </c>
      <c r="C64" s="191">
        <v>40.0625</v>
      </c>
      <c r="D64" s="179">
        <f t="shared" si="4"/>
        <v>2434.9987499999988</v>
      </c>
      <c r="E64" s="193">
        <v>60</v>
      </c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30.660288862048187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80">
        <f>'Données projet'!A73</f>
        <v>144</v>
      </c>
      <c r="B65" s="181">
        <f>'Données projet'!D73</f>
        <v>61.800000000000068</v>
      </c>
      <c r="C65" s="191">
        <v>40.0625</v>
      </c>
      <c r="D65" s="179">
        <f t="shared" si="4"/>
        <v>2475.8625000000029</v>
      </c>
      <c r="E65" s="193">
        <v>60</v>
      </c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29.339989341672922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80">
        <f>'Données projet'!A74</f>
        <v>154</v>
      </c>
      <c r="B66" s="181">
        <f>'Données projet'!D74</f>
        <v>61.050000000000011</v>
      </c>
      <c r="C66" s="191">
        <v>40.0625</v>
      </c>
      <c r="D66" s="179">
        <f t="shared" si="4"/>
        <v>2445.8156250000006</v>
      </c>
      <c r="E66" s="193">
        <v>60</v>
      </c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28.076544824567392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80">
        <f>'Données projet'!A75</f>
        <v>164</v>
      </c>
      <c r="B67" s="181">
        <f>'Données projet'!D75</f>
        <v>66.020000000000095</v>
      </c>
      <c r="C67" s="191">
        <v>40.0625</v>
      </c>
      <c r="D67" s="179">
        <f t="shared" si="4"/>
        <v>2644.9262500000036</v>
      </c>
      <c r="E67" s="193">
        <v>60</v>
      </c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26.867507009155403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80">
        <f>'Données projet'!A76</f>
        <v>174</v>
      </c>
      <c r="B68" s="181">
        <f>'Données projet'!D76</f>
        <v>240</v>
      </c>
      <c r="C68" s="191">
        <v>40.0625</v>
      </c>
      <c r="D68" s="179">
        <f t="shared" si="4"/>
        <v>9615</v>
      </c>
      <c r="E68" s="193">
        <v>60</v>
      </c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25.710533023115218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80">
        <f>'Données projet'!A77</f>
        <v>177</v>
      </c>
      <c r="B69" s="181">
        <f>'Données projet'!D77</f>
        <v>128.66000000000003</v>
      </c>
      <c r="C69" s="191">
        <v>40.0625</v>
      </c>
      <c r="D69" s="179">
        <f t="shared" si="4"/>
        <v>5154.4412500000008</v>
      </c>
      <c r="E69" s="193">
        <v>60</v>
      </c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24.603380883363851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80">
        <f>'Données projet'!A78</f>
        <v>180</v>
      </c>
      <c r="B70" s="181">
        <f>'Données projet'!D78</f>
        <v>86.97</v>
      </c>
      <c r="C70" s="191">
        <v>40.0625</v>
      </c>
      <c r="D70" s="179">
        <f t="shared" si="4"/>
        <v>3484.2356249999998</v>
      </c>
      <c r="E70" s="193">
        <v>60</v>
      </c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23.543905151544354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80">
        <f>'Données projet'!A79</f>
        <v>183</v>
      </c>
      <c r="B71" s="181">
        <f>'Données projet'!D79</f>
        <v>191.47</v>
      </c>
      <c r="C71" s="191">
        <v>40.0625</v>
      </c>
      <c r="D71" s="179">
        <f t="shared" si="4"/>
        <v>7670.7668750000003</v>
      </c>
      <c r="E71" s="193">
        <v>60</v>
      </c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22.530052776597472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21.559859116361217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20.631444130489207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19.743008737310252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18.89283132756962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167</v>
      </c>
      <c r="B76" s="174" t="str">
        <f>IF('Données projet'!B11="","",'Données projet'!B11)</f>
        <v>Chêne sessile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18.079264428296288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17.300731510331378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16.555723933331461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 t="str">
        <f>IF(O78+1&lt;=MIN('Données projet'!$E$9:$E$18),O78+1,"STOP")</f>
        <v>STOP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80">
        <f>'Données projet'!A88</f>
        <v>42</v>
      </c>
      <c r="B85" s="181">
        <f>'Données projet'!D88</f>
        <v>44.510000000000005</v>
      </c>
      <c r="C85" s="191">
        <v>15</v>
      </c>
      <c r="D85" s="179">
        <f>B85*C85</f>
        <v>667.65000000000009</v>
      </c>
      <c r="E85" s="193">
        <v>60</v>
      </c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80">
        <f>'Données projet'!A89</f>
        <v>50</v>
      </c>
      <c r="B86" s="181">
        <f>'Données projet'!D89</f>
        <v>37.54000000000002</v>
      </c>
      <c r="C86" s="191">
        <v>15</v>
      </c>
      <c r="D86" s="179">
        <f t="shared" ref="D86:D104" si="6">B86*C86</f>
        <v>563.10000000000036</v>
      </c>
      <c r="E86" s="193">
        <v>60</v>
      </c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80">
        <f>'Données projet'!A90</f>
        <v>58</v>
      </c>
      <c r="B87" s="181">
        <f>'Données projet'!D90</f>
        <v>47.789999999999992</v>
      </c>
      <c r="C87" s="191">
        <v>15</v>
      </c>
      <c r="D87" s="179">
        <f t="shared" si="6"/>
        <v>716.84999999999991</v>
      </c>
      <c r="E87" s="193">
        <v>60</v>
      </c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80">
        <f>'Données projet'!A91</f>
        <v>66</v>
      </c>
      <c r="B88" s="181">
        <f>'Données projet'!D91</f>
        <v>53.679999999999978</v>
      </c>
      <c r="C88" s="191">
        <v>59.875</v>
      </c>
      <c r="D88" s="179">
        <f t="shared" si="6"/>
        <v>3214.0899999999988</v>
      </c>
      <c r="E88" s="193">
        <v>60</v>
      </c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80">
        <f>'Données projet'!A92</f>
        <v>74</v>
      </c>
      <c r="B89" s="181">
        <f>'Données projet'!D92</f>
        <v>51.339999999999975</v>
      </c>
      <c r="C89" s="191">
        <v>59.875</v>
      </c>
      <c r="D89" s="179">
        <f t="shared" si="6"/>
        <v>3073.9824999999987</v>
      </c>
      <c r="E89" s="193">
        <v>60</v>
      </c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80">
        <f>'Données projet'!A93</f>
        <v>84</v>
      </c>
      <c r="B90" s="181">
        <f>'Données projet'!D93</f>
        <v>66.69</v>
      </c>
      <c r="C90" s="191">
        <v>59.875</v>
      </c>
      <c r="D90" s="179">
        <f t="shared" si="6"/>
        <v>3993.0637499999998</v>
      </c>
      <c r="E90" s="193">
        <v>60</v>
      </c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80">
        <f>'Données projet'!A94</f>
        <v>94</v>
      </c>
      <c r="B91" s="181">
        <f>'Données projet'!D94</f>
        <v>67.350000000000023</v>
      </c>
      <c r="C91" s="191">
        <v>59.875</v>
      </c>
      <c r="D91" s="179">
        <f t="shared" si="6"/>
        <v>4032.5812500000015</v>
      </c>
      <c r="E91" s="193">
        <v>60</v>
      </c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80">
        <f>'Données projet'!A95</f>
        <v>104</v>
      </c>
      <c r="B92" s="181">
        <f>'Données projet'!D95</f>
        <v>66.089999999999975</v>
      </c>
      <c r="C92" s="191">
        <v>59.875</v>
      </c>
      <c r="D92" s="179">
        <f t="shared" si="6"/>
        <v>3957.1387499999987</v>
      </c>
      <c r="E92" s="193">
        <v>60</v>
      </c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80">
        <f>'Données projet'!A96</f>
        <v>114</v>
      </c>
      <c r="B93" s="181">
        <f>'Données projet'!D96</f>
        <v>61.860000000000014</v>
      </c>
      <c r="C93" s="191">
        <v>59.875</v>
      </c>
      <c r="D93" s="179">
        <f t="shared" si="6"/>
        <v>3703.8675000000007</v>
      </c>
      <c r="E93" s="193">
        <v>60</v>
      </c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80">
        <f>'Données projet'!A97</f>
        <v>124</v>
      </c>
      <c r="B94" s="181">
        <f>'Données projet'!D97</f>
        <v>57.81</v>
      </c>
      <c r="C94" s="191">
        <v>60</v>
      </c>
      <c r="D94" s="179">
        <f t="shared" si="6"/>
        <v>3468.6000000000004</v>
      </c>
      <c r="E94" s="193">
        <v>60</v>
      </c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80">
        <f>'Données projet'!A98</f>
        <v>134</v>
      </c>
      <c r="B95" s="181">
        <f>'Données projet'!D98</f>
        <v>60.779999999999973</v>
      </c>
      <c r="C95" s="191">
        <v>180</v>
      </c>
      <c r="D95" s="179">
        <f t="shared" si="6"/>
        <v>10940.399999999994</v>
      </c>
      <c r="E95" s="193">
        <v>60</v>
      </c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80">
        <f>'Données projet'!A99</f>
        <v>144</v>
      </c>
      <c r="B96" s="181">
        <f>'Données projet'!D99</f>
        <v>61.800000000000068</v>
      </c>
      <c r="C96" s="191">
        <v>180</v>
      </c>
      <c r="D96" s="179">
        <f t="shared" si="6"/>
        <v>11124.000000000013</v>
      </c>
      <c r="E96" s="193">
        <v>60</v>
      </c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80">
        <f>'Données projet'!A100</f>
        <v>154</v>
      </c>
      <c r="B97" s="181">
        <f>'Données projet'!D100</f>
        <v>61.050000000000011</v>
      </c>
      <c r="C97" s="191">
        <v>180</v>
      </c>
      <c r="D97" s="179">
        <f t="shared" si="6"/>
        <v>10989.000000000002</v>
      </c>
      <c r="E97" s="193">
        <v>60</v>
      </c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80">
        <f>'Données projet'!A101</f>
        <v>164</v>
      </c>
      <c r="B98" s="181">
        <f>'Données projet'!D101</f>
        <v>66.020000000000095</v>
      </c>
      <c r="C98" s="191">
        <v>180</v>
      </c>
      <c r="D98" s="179">
        <f t="shared" si="6"/>
        <v>11883.600000000017</v>
      </c>
      <c r="E98" s="193">
        <v>60</v>
      </c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80">
        <f>'Données projet'!A102</f>
        <v>174</v>
      </c>
      <c r="B99" s="181">
        <f>'Données projet'!D102</f>
        <v>240</v>
      </c>
      <c r="C99" s="191">
        <v>234</v>
      </c>
      <c r="D99" s="179">
        <f t="shared" si="6"/>
        <v>56160</v>
      </c>
      <c r="E99" s="193">
        <v>60</v>
      </c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80">
        <f>'Données projet'!A103</f>
        <v>177</v>
      </c>
      <c r="B100" s="181">
        <f>'Données projet'!D103</f>
        <v>128.66000000000003</v>
      </c>
      <c r="C100" s="191">
        <v>234</v>
      </c>
      <c r="D100" s="179">
        <f t="shared" si="6"/>
        <v>30106.440000000006</v>
      </c>
      <c r="E100" s="193">
        <v>60</v>
      </c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80">
        <f>'Données projet'!A104</f>
        <v>180</v>
      </c>
      <c r="B101" s="181">
        <f>'Données projet'!D104</f>
        <v>86.97</v>
      </c>
      <c r="C101" s="191">
        <v>234</v>
      </c>
      <c r="D101" s="179">
        <f t="shared" si="6"/>
        <v>20350.98</v>
      </c>
      <c r="E101" s="193">
        <v>60</v>
      </c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80">
        <f>'Données projet'!A105</f>
        <v>183</v>
      </c>
      <c r="B102" s="181">
        <f>'Données projet'!D105</f>
        <v>191.47</v>
      </c>
      <c r="C102" s="191">
        <v>234</v>
      </c>
      <c r="D102" s="179">
        <f t="shared" si="6"/>
        <v>44803.98</v>
      </c>
      <c r="E102" s="193">
        <v>60</v>
      </c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168</v>
      </c>
      <c r="B107" s="174" t="str">
        <f>IF('Données projet'!B12="","",'Données projet'!B12)</f>
        <v>Tilleul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80">
        <f>'Données projet'!A114</f>
        <v>15</v>
      </c>
      <c r="B116" s="181">
        <f>'Données projet'!D114</f>
        <v>10.256410256410255</v>
      </c>
      <c r="C116" s="191">
        <v>10.75</v>
      </c>
      <c r="D116" s="179">
        <f>B116*C116</f>
        <v>110.25641025641025</v>
      </c>
      <c r="E116" s="193">
        <v>60</v>
      </c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80">
        <f>'Données projet'!A115</f>
        <v>20</v>
      </c>
      <c r="B117" s="181">
        <f>'Données projet'!D115</f>
        <v>14.102564102564102</v>
      </c>
      <c r="C117" s="191">
        <v>10.75</v>
      </c>
      <c r="D117" s="179">
        <f t="shared" ref="D117:D135" si="8">B117*C117</f>
        <v>151.60256410256409</v>
      </c>
      <c r="E117" s="193">
        <v>60</v>
      </c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80">
        <f>'Données projet'!A116</f>
        <v>25</v>
      </c>
      <c r="B118" s="181">
        <f>'Données projet'!D116</f>
        <v>16.025641025641026</v>
      </c>
      <c r="C118" s="191">
        <v>10.75</v>
      </c>
      <c r="D118" s="179">
        <f t="shared" si="8"/>
        <v>172.27564102564102</v>
      </c>
      <c r="E118" s="193">
        <v>60</v>
      </c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80">
        <f>'Données projet'!A117</f>
        <v>30</v>
      </c>
      <c r="B119" s="181">
        <f>'Données projet'!D117</f>
        <v>16.666666666666668</v>
      </c>
      <c r="C119" s="191">
        <v>10.75</v>
      </c>
      <c r="D119" s="179">
        <f t="shared" si="8"/>
        <v>179.16666666666669</v>
      </c>
      <c r="E119" s="193">
        <v>60</v>
      </c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80">
        <f>'Données projet'!A118</f>
        <v>35</v>
      </c>
      <c r="B120" s="181">
        <f>'Données projet'!D118</f>
        <v>17.307692307692307</v>
      </c>
      <c r="C120" s="191">
        <v>10.75</v>
      </c>
      <c r="D120" s="179">
        <f t="shared" si="8"/>
        <v>186.05769230769229</v>
      </c>
      <c r="E120" s="193">
        <v>60</v>
      </c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80">
        <f>'Données projet'!A119</f>
        <v>40</v>
      </c>
      <c r="B121" s="181">
        <f>'Données projet'!D119</f>
        <v>17.307692307692307</v>
      </c>
      <c r="C121" s="191">
        <v>10.75</v>
      </c>
      <c r="D121" s="179">
        <f t="shared" si="8"/>
        <v>186.05769230769229</v>
      </c>
      <c r="E121" s="193">
        <v>60</v>
      </c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80">
        <f>'Données projet'!A120</f>
        <v>45</v>
      </c>
      <c r="B122" s="181">
        <f>'Données projet'!D120</f>
        <v>16.666666666666668</v>
      </c>
      <c r="C122" s="191">
        <v>10.75</v>
      </c>
      <c r="D122" s="179">
        <f t="shared" si="8"/>
        <v>179.16666666666669</v>
      </c>
      <c r="E122" s="193">
        <v>60</v>
      </c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80">
        <f>'Données projet'!A121</f>
        <v>50</v>
      </c>
      <c r="B123" s="181">
        <f>'Données projet'!D121</f>
        <v>16.025641025641026</v>
      </c>
      <c r="C123" s="191">
        <v>10.75</v>
      </c>
      <c r="D123" s="179">
        <f t="shared" si="8"/>
        <v>172.27564102564102</v>
      </c>
      <c r="E123" s="193">
        <v>60</v>
      </c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80">
        <f>'Données projet'!A122</f>
        <v>55</v>
      </c>
      <c r="B124" s="181">
        <f>'Données projet'!D122</f>
        <v>15.384615384615383</v>
      </c>
      <c r="C124" s="191">
        <v>10.75</v>
      </c>
      <c r="D124" s="179">
        <f t="shared" si="8"/>
        <v>165.38461538461536</v>
      </c>
      <c r="E124" s="193">
        <v>60</v>
      </c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80">
        <f>'Données projet'!A123</f>
        <v>60</v>
      </c>
      <c r="B125" s="181">
        <f>'Données projet'!D123</f>
        <v>14.743589743589743</v>
      </c>
      <c r="C125" s="191">
        <v>21.40625</v>
      </c>
      <c r="D125" s="179">
        <f t="shared" si="8"/>
        <v>315.60496794871796</v>
      </c>
      <c r="E125" s="193">
        <v>60</v>
      </c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80">
        <f>'Données projet'!A124</f>
        <v>65</v>
      </c>
      <c r="B126" s="181">
        <f>'Données projet'!D124</f>
        <v>13.461538461538462</v>
      </c>
      <c r="C126" s="191">
        <v>21.40625</v>
      </c>
      <c r="D126" s="179">
        <f t="shared" si="8"/>
        <v>288.16105769230768</v>
      </c>
      <c r="E126" s="193">
        <v>60</v>
      </c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80">
        <f>'Données projet'!A125</f>
        <v>70</v>
      </c>
      <c r="B127" s="181">
        <f>'Données projet'!D125</f>
        <v>14.102564102564102</v>
      </c>
      <c r="C127" s="191">
        <v>21.40625</v>
      </c>
      <c r="D127" s="179">
        <f t="shared" si="8"/>
        <v>301.88301282051282</v>
      </c>
      <c r="E127" s="193">
        <v>60</v>
      </c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80">
        <f>'Données projet'!A126</f>
        <v>75</v>
      </c>
      <c r="B128" s="181">
        <f>'Données projet'!D126</f>
        <v>13.461538461538462</v>
      </c>
      <c r="C128" s="191">
        <v>21.40625</v>
      </c>
      <c r="D128" s="179">
        <f t="shared" si="8"/>
        <v>288.16105769230768</v>
      </c>
      <c r="E128" s="193">
        <v>60</v>
      </c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80">
        <f>'Données projet'!A127</f>
        <v>80</v>
      </c>
      <c r="B129" s="181">
        <f>'Données projet'!D127</f>
        <v>12.820512820512819</v>
      </c>
      <c r="C129" s="191">
        <v>21.40625</v>
      </c>
      <c r="D129" s="179">
        <f t="shared" si="8"/>
        <v>274.43910256410254</v>
      </c>
      <c r="E129" s="193">
        <v>60</v>
      </c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80">
        <f>'Données projet'!A128</f>
        <v>85</v>
      </c>
      <c r="B130" s="181">
        <f>'Données projet'!D128</f>
        <v>12.179487179487179</v>
      </c>
      <c r="C130" s="191">
        <v>21.40625</v>
      </c>
      <c r="D130" s="179">
        <f t="shared" si="8"/>
        <v>260.7171474358974</v>
      </c>
      <c r="E130" s="193">
        <v>60</v>
      </c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80">
        <f>'Données projet'!A129</f>
        <v>90</v>
      </c>
      <c r="B131" s="181">
        <f>'Données projet'!D129</f>
        <v>12.179487179487179</v>
      </c>
      <c r="C131" s="191">
        <v>21.40625</v>
      </c>
      <c r="D131" s="179">
        <f t="shared" si="8"/>
        <v>260.7171474358974</v>
      </c>
      <c r="E131" s="193">
        <v>60</v>
      </c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80">
        <f>'Données projet'!A130</f>
        <v>95</v>
      </c>
      <c r="B132" s="181">
        <f>'Données projet'!D130</f>
        <v>11.538461538461538</v>
      </c>
      <c r="C132" s="191">
        <v>21.40625</v>
      </c>
      <c r="D132" s="179">
        <f t="shared" si="8"/>
        <v>246.99519230769229</v>
      </c>
      <c r="E132" s="193">
        <v>60</v>
      </c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80">
        <f>'Données projet'!A131</f>
        <v>100</v>
      </c>
      <c r="B133" s="181">
        <f>'Données projet'!D131</f>
        <v>10.897435897435898</v>
      </c>
      <c r="C133" s="191">
        <v>21.40625</v>
      </c>
      <c r="D133" s="179">
        <f t="shared" si="8"/>
        <v>233.27323717948718</v>
      </c>
      <c r="E133" s="193">
        <v>60</v>
      </c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80">
        <f>'Données projet'!A132</f>
        <v>105</v>
      </c>
      <c r="B134" s="181">
        <f>'Données projet'!D132</f>
        <v>10.897435897435898</v>
      </c>
      <c r="C134" s="191">
        <v>21.40625</v>
      </c>
      <c r="D134" s="179">
        <f t="shared" si="8"/>
        <v>233.27323717948718</v>
      </c>
      <c r="E134" s="193">
        <v>60</v>
      </c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80">
        <f>'Données projet'!A133</f>
        <v>110</v>
      </c>
      <c r="B135" s="181">
        <f>'Données projet'!D133</f>
        <v>307.05128205128204</v>
      </c>
      <c r="C135" s="191">
        <v>21.40625</v>
      </c>
      <c r="D135" s="179">
        <f t="shared" si="8"/>
        <v>6572.8165064102559</v>
      </c>
      <c r="E135" s="193">
        <v>60</v>
      </c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169</v>
      </c>
      <c r="B138" s="174" t="str">
        <f>IF('Données projet'!B13="","",'Données projet'!B13)</f>
        <v>Pin maritime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17</v>
      </c>
      <c r="B147" s="175">
        <f>'Données projet'!D140</f>
        <v>41.179999999999993</v>
      </c>
      <c r="C147" s="191">
        <v>8</v>
      </c>
      <c r="D147" s="182">
        <f>B147*C147</f>
        <v>329.43999999999994</v>
      </c>
      <c r="E147" s="193">
        <v>60</v>
      </c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23</v>
      </c>
      <c r="B148" s="175">
        <f>'Données projet'!D141</f>
        <v>58.370000000000005</v>
      </c>
      <c r="C148" s="191">
        <v>13.125</v>
      </c>
      <c r="D148" s="182">
        <f t="shared" ref="D148:D166" si="10">B148*C148</f>
        <v>766.10625000000005</v>
      </c>
      <c r="E148" s="193">
        <v>60</v>
      </c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29</v>
      </c>
      <c r="B149" s="175">
        <f>'Données projet'!D142</f>
        <v>54.97</v>
      </c>
      <c r="C149" s="191">
        <v>24.5</v>
      </c>
      <c r="D149" s="182">
        <f t="shared" si="10"/>
        <v>1346.7649999999999</v>
      </c>
      <c r="E149" s="193">
        <v>60</v>
      </c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36</v>
      </c>
      <c r="B150" s="175">
        <f>'Données projet'!D143</f>
        <v>76.509999999999991</v>
      </c>
      <c r="C150" s="191">
        <v>25</v>
      </c>
      <c r="D150" s="182">
        <f t="shared" si="10"/>
        <v>1912.7499999999998</v>
      </c>
      <c r="E150" s="193">
        <v>60</v>
      </c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44</v>
      </c>
      <c r="B151" s="175">
        <f>'Données projet'!D144</f>
        <v>78.240000000000009</v>
      </c>
      <c r="C151" s="191">
        <v>24.5</v>
      </c>
      <c r="D151" s="182">
        <f t="shared" si="10"/>
        <v>1916.88</v>
      </c>
      <c r="E151" s="193">
        <v>60</v>
      </c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52</v>
      </c>
      <c r="B152" s="175">
        <f>'Données projet'!D145</f>
        <v>75.70999999999998</v>
      </c>
      <c r="C152" s="191">
        <v>24.5</v>
      </c>
      <c r="D152" s="182">
        <f t="shared" si="10"/>
        <v>1854.8949999999995</v>
      </c>
      <c r="E152" s="193">
        <v>60</v>
      </c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60</v>
      </c>
      <c r="B153" s="175">
        <f>'Données projet'!D146</f>
        <v>437.74</v>
      </c>
      <c r="C153" s="191">
        <v>24.5</v>
      </c>
      <c r="D153" s="182">
        <f t="shared" si="10"/>
        <v>10724.630000000001</v>
      </c>
      <c r="E153" s="193">
        <v>60</v>
      </c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382d34-9bb8-44b7-b653-fe70b92f328c" xsi:nil="true"/>
    <lcf76f155ced4ddcb4097134ff3c332f xmlns="0b31a522-a3bf-48c4-bec5-a17f159ba481">
      <Terms xmlns="http://schemas.microsoft.com/office/infopath/2007/PartnerControls"/>
    </lcf76f155ced4ddcb4097134ff3c332f>
    <_Flow_SignoffStatus xmlns="0b31a522-a3bf-48c4-bec5-a17f159ba48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6884909D472E4887D0D71289C24DC5" ma:contentTypeVersion="16" ma:contentTypeDescription="Create a new document." ma:contentTypeScope="" ma:versionID="b650ad57ab3a7623fd3df204a7303bfb">
  <xsd:schema xmlns:xsd="http://www.w3.org/2001/XMLSchema" xmlns:xs="http://www.w3.org/2001/XMLSchema" xmlns:p="http://schemas.microsoft.com/office/2006/metadata/properties" xmlns:ns2="0b31a522-a3bf-48c4-bec5-a17f159ba481" xmlns:ns3="e2382d34-9bb8-44b7-b653-fe70b92f328c" targetNamespace="http://schemas.microsoft.com/office/2006/metadata/properties" ma:root="true" ma:fieldsID="87e2e07588c417d1119dc0de3bcdcb0c" ns2:_="" ns3:_="">
    <xsd:import namespace="0b31a522-a3bf-48c4-bec5-a17f159ba481"/>
    <xsd:import namespace="e2382d34-9bb8-44b7-b653-fe70b92f32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31a522-a3bf-48c4-bec5-a17f159ba4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1090b2c-5079-4c1b-ae3e-0f22ffb919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382d34-9bb8-44b7-b653-fe70b92f328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ea42f30-ac50-40fe-8b72-1112505a2dd8}" ma:internalName="TaxCatchAll" ma:showField="CatchAllData" ma:web="e2382d34-9bb8-44b7-b653-fe70b92f32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7375F83-DE23-4706-80ED-4A8DA07E8E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A6861AC-80B4-4803-8030-7424409AD984}">
  <ds:schemaRefs>
    <ds:schemaRef ds:uri="http://schemas.microsoft.com/office/2006/metadata/properties"/>
    <ds:schemaRef ds:uri="http://schemas.microsoft.com/office/infopath/2007/PartnerControls"/>
    <ds:schemaRef ds:uri="e2382d34-9bb8-44b7-b653-fe70b92f328c"/>
    <ds:schemaRef ds:uri="0b31a522-a3bf-48c4-bec5-a17f159ba481"/>
  </ds:schemaRefs>
</ds:datastoreItem>
</file>

<file path=customXml/itemProps3.xml><?xml version="1.0" encoding="utf-8"?>
<ds:datastoreItem xmlns:ds="http://schemas.openxmlformats.org/officeDocument/2006/customXml" ds:itemID="{5E739EE1-674E-434C-9762-23D263058B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31a522-a3bf-48c4-bec5-a17f159ba481"/>
    <ds:schemaRef ds:uri="e2382d34-9bb8-44b7-b653-fe70b92f32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Adrian valette</cp:lastModifiedBy>
  <dcterms:created xsi:type="dcterms:W3CDTF">2021-02-01T08:22:39Z</dcterms:created>
  <dcterms:modified xsi:type="dcterms:W3CDTF">2026-07-07T09:46:06Z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0x010100A36884909D472E4887D0D71289C24DC5</vt:lpwstr>
  </property>
  <property fmtid="{D5CDD505-2E9C-101B-9397-08002B2CF9AE}" pid="3" name="Order">
    <vt:r8>2102600</vt:r8>
  </property>
  <property fmtid="{D5CDD505-2E9C-101B-9397-08002B2CF9AE}" pid="4" name="MediaServiceImageTags">
    <vt:lpwstr/>
  </property>
</Properties>
</file>