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Drive partagés/STOCK CO2/5 - STOCKEURS/02-FORET-VERGERS/3-DEPOSE/047-B-MAZOYER-PDL(44)-LE BOIS DU FIEF DES ORMERAIES-Saint Viaud/"/>
    </mc:Choice>
  </mc:AlternateContent>
  <xr:revisionPtr revIDLastSave="0" documentId="13_ncr:1_{2FD80D40-81AE-4646-9161-46F711BB836F}" xr6:coauthVersionLast="47" xr6:coauthVersionMax="47" xr10:uidLastSave="{00000000-0000-0000-0000-000000000000}"/>
  <bookViews>
    <workbookView xWindow="-5620" yWindow="-28280" windowWidth="23040" windowHeight="283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8" i="6" l="1"/>
  <c r="C109" i="6"/>
  <c r="C110" i="6"/>
  <c r="C111" i="6"/>
  <c r="C112" i="6"/>
  <c r="C113" i="6"/>
  <c r="C114" i="6"/>
  <c r="C101" i="6"/>
  <c r="C102" i="6"/>
  <c r="C103" i="6"/>
  <c r="C104" i="6"/>
  <c r="C105" i="6"/>
  <c r="C106" i="6"/>
  <c r="C107" i="6"/>
  <c r="C100" i="6"/>
  <c r="C75" i="6"/>
  <c r="C76" i="6"/>
  <c r="C77" i="6"/>
  <c r="C78" i="6"/>
  <c r="C79" i="6"/>
  <c r="C80" i="6"/>
  <c r="C81" i="6"/>
  <c r="C74" i="6"/>
  <c r="C49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48" i="6"/>
  <c r="C30" i="6"/>
  <c r="C31" i="6"/>
  <c r="C32" i="6"/>
  <c r="C33" i="6"/>
  <c r="C34" i="6"/>
  <c r="C35" i="6"/>
  <c r="C36" i="6"/>
  <c r="C37" i="6"/>
  <c r="C38" i="6"/>
  <c r="C23" i="6"/>
  <c r="C24" i="6"/>
  <c r="C25" i="6"/>
  <c r="C26" i="6"/>
  <c r="C27" i="6"/>
  <c r="C28" i="6"/>
  <c r="C29" i="6"/>
  <c r="C22" i="6"/>
  <c r="J12" i="6" l="1"/>
  <c r="F64" i="1"/>
  <c r="G64" i="1" l="1"/>
  <c r="C50" i="6" s="1"/>
  <c r="C153" i="6"/>
  <c r="C154" i="6"/>
  <c r="C155" i="6"/>
  <c r="C152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91" i="6"/>
  <c r="C92" i="6"/>
  <c r="C93" i="6"/>
  <c r="C90" i="6" l="1"/>
  <c r="C89" i="6"/>
  <c r="C88" i="6"/>
  <c r="C87" i="6"/>
  <c r="C86" i="6"/>
  <c r="C85" i="6"/>
  <c r="C84" i="6"/>
  <c r="C83" i="6"/>
  <c r="C82" i="6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L20" i="6" l="1"/>
  <c r="S63" i="6"/>
  <c r="H19" i="2"/>
  <c r="D20" i="2"/>
  <c r="G20" i="2" s="1"/>
  <c r="S36" i="6"/>
  <c r="J33" i="6" l="1"/>
  <c r="S64" i="6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HH4" i="2" s="1"/>
  <c r="GJ4" i="2"/>
  <c r="FO4" i="2"/>
  <c r="FR4" i="2" s="1"/>
  <c r="DY4" i="2"/>
  <c r="ES4" i="2"/>
  <c r="EV4" i="2" s="1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FS4" i="2" s="1"/>
  <c r="ER4" i="2"/>
  <c r="EX4" i="2" s="1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N4" i="2" l="1"/>
  <c r="HI4" i="2"/>
  <c r="GL4" i="2"/>
  <c r="GM4" i="2"/>
  <c r="HG4" i="2"/>
  <c r="HG5" i="2" s="1"/>
  <c r="EW4" i="2"/>
  <c r="FQ4" i="2"/>
  <c r="DG4" i="2"/>
  <c r="DF4" i="2"/>
  <c r="EC4" i="2"/>
  <c r="CM4" i="2"/>
  <c r="BR4" i="2"/>
  <c r="BQ4" i="2"/>
  <c r="DH4" i="2"/>
  <c r="EA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FQ5" i="2" s="1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S5" i="2" s="1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V5" i="2" l="1"/>
  <c r="EW5" i="2"/>
  <c r="GL5" i="2"/>
  <c r="HI5" i="2"/>
  <c r="GM5" i="2"/>
  <c r="GN5" i="2"/>
  <c r="HH5" i="2"/>
  <c r="DH5" i="2"/>
  <c r="DF5" i="2"/>
  <c r="EA5" i="2"/>
  <c r="EC5" i="2"/>
  <c r="EB5" i="2"/>
  <c r="DG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L6" i="2" s="1"/>
  <c r="GJ6" i="2"/>
  <c r="GM6" i="2" s="1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G6" i="2" s="1"/>
  <c r="HF6" i="2"/>
  <c r="GS6" i="2"/>
  <c r="HB6" i="2"/>
  <c r="GR6" i="2"/>
  <c r="GH6" i="2"/>
  <c r="GK6" i="2"/>
  <c r="FL6" i="2"/>
  <c r="FC6" i="2"/>
  <c r="FW6" i="2"/>
  <c r="FM6" i="2"/>
  <c r="FS6" i="2" s="1"/>
  <c r="FP6" i="2"/>
  <c r="FB6" i="2"/>
  <c r="DZ6" i="2"/>
  <c r="DL6" i="2"/>
  <c r="DE6" i="2"/>
  <c r="FX6" i="2"/>
  <c r="EQ6" i="2"/>
  <c r="EH6" i="2"/>
  <c r="CJ6" i="2"/>
  <c r="GG6" i="2"/>
  <c r="ER6" i="2"/>
  <c r="EX6" i="2" s="1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W6" i="2" l="1"/>
  <c r="GN6" i="2"/>
  <c r="HI6" i="2"/>
  <c r="EV6" i="2"/>
  <c r="FQ6" i="2"/>
  <c r="FR6" i="2"/>
  <c r="EC6" i="2"/>
  <c r="EB6" i="2"/>
  <c r="DH6" i="2"/>
  <c r="DF6" i="2"/>
  <c r="EA6" i="2"/>
  <c r="DG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R7" i="2" s="1"/>
  <c r="FN7" i="2"/>
  <c r="FQ7" i="2" s="1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H7" i="2" s="1"/>
  <c r="HF7" i="2"/>
  <c r="GK7" i="2"/>
  <c r="GS7" i="2"/>
  <c r="GG7" i="2"/>
  <c r="FX7" i="2"/>
  <c r="GR7" i="2"/>
  <c r="FL7" i="2"/>
  <c r="FC7" i="2"/>
  <c r="GH7" i="2"/>
  <c r="FW7" i="2"/>
  <c r="FM7" i="2"/>
  <c r="FS7" i="2" s="1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GL7" i="2"/>
  <c r="EV7" i="2"/>
  <c r="HI7" i="2"/>
  <c r="GN7" i="2"/>
  <c r="HG7" i="2"/>
  <c r="GM7" i="2"/>
  <c r="EA7" i="2"/>
  <c r="DH7" i="2"/>
  <c r="EB7" i="2"/>
  <c r="EC7" i="2"/>
  <c r="DF7" i="2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FO8" i="2"/>
  <c r="FR8" i="2" s="1"/>
  <c r="HE8" i="2"/>
  <c r="HH8" i="2" s="1"/>
  <c r="GI8" i="2"/>
  <c r="DY8" i="2"/>
  <c r="ES8" i="2"/>
  <c r="EV8" i="2" s="1"/>
  <c r="DX8" i="2"/>
  <c r="FN8" i="2"/>
  <c r="FQ8" i="2" s="1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GL8" i="2" l="1"/>
  <c r="GN8" i="2"/>
  <c r="HI8" i="2"/>
  <c r="GM8" i="2"/>
  <c r="EW8" i="2"/>
  <c r="EB8" i="2"/>
  <c r="HH9" i="2"/>
  <c r="DH8" i="2"/>
  <c r="EC8" i="2"/>
  <c r="EA8" i="2"/>
  <c r="DF8" i="2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R9" i="2" s="1"/>
  <c r="FN9" i="2"/>
  <c r="FQ9" i="2" s="1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EX9" i="2" s="1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GM9" i="2" l="1"/>
  <c r="HI9" i="2"/>
  <c r="GN9" i="2"/>
  <c r="EV9" i="2"/>
  <c r="EW9" i="2"/>
  <c r="GL9" i="2"/>
  <c r="DH9" i="2"/>
  <c r="EC9" i="2"/>
  <c r="EA9" i="2"/>
  <c r="EB9" i="2"/>
  <c r="DF9" i="2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EW10" i="2" s="1"/>
  <c r="FN10" i="2"/>
  <c r="FQ10" i="2" s="1"/>
  <c r="FO10" i="2"/>
  <c r="BN10" i="2"/>
  <c r="ES10" i="2"/>
  <c r="EV10" i="2" s="1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EX10" i="2" s="1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R10" i="2" l="1"/>
  <c r="GM10" i="2"/>
  <c r="GL10" i="2"/>
  <c r="HG10" i="2"/>
  <c r="GN10" i="2"/>
  <c r="HI10" i="2"/>
  <c r="DH10" i="2"/>
  <c r="EA10" i="2"/>
  <c r="EB10" i="2"/>
  <c r="EC10" i="2"/>
  <c r="DF10" i="2"/>
  <c r="DG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HH11" i="2" s="1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FR11" i="2" l="1"/>
  <c r="EW11" i="2"/>
  <c r="HI11" i="2"/>
  <c r="EV11" i="2"/>
  <c r="GN11" i="2"/>
  <c r="GN12" i="2" s="1"/>
  <c r="FQ11" i="2"/>
  <c r="FQ12" i="2" s="1"/>
  <c r="GL11" i="2"/>
  <c r="HG11" i="2"/>
  <c r="GM11" i="2"/>
  <c r="AU11" i="2"/>
  <c r="EC11" i="2"/>
  <c r="EB11" i="2"/>
  <c r="EA11" i="2"/>
  <c r="DH11" i="2"/>
  <c r="DF11" i="2"/>
  <c r="DG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GM12" i="2" s="1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EX12" i="2" s="1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G12" i="2"/>
  <c r="HI12" i="2"/>
  <c r="FR12" i="2"/>
  <c r="EW12" i="2"/>
  <c r="GL12" i="2"/>
  <c r="DH12" i="2"/>
  <c r="AW12" i="2"/>
  <c r="EB12" i="2"/>
  <c r="EC12" i="2"/>
  <c r="EA12" i="2"/>
  <c r="AU12" i="2"/>
  <c r="DF12" i="2"/>
  <c r="DG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HH13" i="2" s="1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N13" i="2" s="1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EX13" i="2" s="1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V13" i="2" l="1"/>
  <c r="EW13" i="2"/>
  <c r="EW14" i="2" s="1"/>
  <c r="FQ13" i="2"/>
  <c r="GL13" i="2"/>
  <c r="FR13" i="2"/>
  <c r="GM13" i="2"/>
  <c r="HI13" i="2"/>
  <c r="DH13" i="2"/>
  <c r="AU13" i="2"/>
  <c r="DG13" i="2"/>
  <c r="DF13" i="2"/>
  <c r="EC13" i="2"/>
  <c r="EA13" i="2"/>
  <c r="EB13" i="2"/>
  <c r="CM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GL14" i="2" s="1"/>
  <c r="ET14" i="2"/>
  <c r="FO14" i="2"/>
  <c r="FN14" i="2"/>
  <c r="GJ14" i="2"/>
  <c r="GM14" i="2" s="1"/>
  <c r="DY14" i="2"/>
  <c r="ES14" i="2"/>
  <c r="EV14" i="2" s="1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GN14" i="2" s="1"/>
  <c r="FL14" i="2"/>
  <c r="FC14" i="2"/>
  <c r="HB14" i="2"/>
  <c r="FW14" i="2"/>
  <c r="FM14" i="2"/>
  <c r="FS14" i="2" s="1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HG14" i="2"/>
  <c r="FQ14" i="2"/>
  <c r="FR14" i="2"/>
  <c r="AW14" i="2"/>
  <c r="DH14" i="2"/>
  <c r="EC14" i="2"/>
  <c r="EB14" i="2"/>
  <c r="EA14" i="2"/>
  <c r="CM14" i="2"/>
  <c r="DG14" i="2"/>
  <c r="DF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H15" i="2" s="1"/>
  <c r="HF15" i="2"/>
  <c r="GK15" i="2"/>
  <c r="GS15" i="2"/>
  <c r="GH15" i="2"/>
  <c r="GN15" i="2" s="1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EX15" i="2" s="1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EW15" i="2"/>
  <c r="GL15" i="2"/>
  <c r="HG15" i="2"/>
  <c r="HI15" i="2"/>
  <c r="GM15" i="2"/>
  <c r="FR15" i="2"/>
  <c r="FQ15" i="2"/>
  <c r="CM15" i="2"/>
  <c r="EC15" i="2"/>
  <c r="EA15" i="2"/>
  <c r="EB15" i="2"/>
  <c r="DH15" i="2"/>
  <c r="DG15" i="2"/>
  <c r="DF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GM16" i="2" s="1"/>
  <c r="HE16" i="2"/>
  <c r="FO16" i="2"/>
  <c r="GI16" i="2"/>
  <c r="GL16" i="2" s="1"/>
  <c r="DY16" i="2"/>
  <c r="ES16" i="2"/>
  <c r="EV16" i="2" s="1"/>
  <c r="DX16" i="2"/>
  <c r="FN16" i="2"/>
  <c r="FQ16" i="2" s="1"/>
  <c r="ET16" i="2"/>
  <c r="EW16" i="2" s="1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GN16" i="2" s="1"/>
  <c r="HF16" i="2"/>
  <c r="GS16" i="2"/>
  <c r="FP16" i="2"/>
  <c r="FB16" i="2"/>
  <c r="GG16" i="2"/>
  <c r="FX16" i="2"/>
  <c r="FL16" i="2"/>
  <c r="FC16" i="2"/>
  <c r="ER16" i="2"/>
  <c r="EX16" i="2" s="1"/>
  <c r="DV16" i="2"/>
  <c r="DM16" i="2"/>
  <c r="DA16" i="2"/>
  <c r="FW16" i="2"/>
  <c r="EU16" i="2"/>
  <c r="EG16" i="2"/>
  <c r="DW16" i="2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HI16" i="2"/>
  <c r="HG16" i="2"/>
  <c r="FR16" i="2"/>
  <c r="EC16" i="2"/>
  <c r="EA16" i="2"/>
  <c r="EB16" i="2"/>
  <c r="DG16" i="2"/>
  <c r="DH16" i="2"/>
  <c r="DF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HH17" i="2" s="1"/>
  <c r="GJ17" i="2"/>
  <c r="HD17" i="2"/>
  <c r="HG17" i="2" s="1"/>
  <c r="FO17" i="2"/>
  <c r="FR17" i="2" s="1"/>
  <c r="FN17" i="2"/>
  <c r="FQ17" i="2" s="1"/>
  <c r="GI17" i="2"/>
  <c r="DY17" i="2"/>
  <c r="DD17" i="2"/>
  <c r="ET17" i="2"/>
  <c r="EW17" i="2" s="1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N17" i="2" s="1"/>
  <c r="GK17" i="2"/>
  <c r="FW17" i="2"/>
  <c r="FM17" i="2"/>
  <c r="FS17" i="2" s="1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GL17" i="2" l="1"/>
  <c r="EV17" i="2"/>
  <c r="HI17" i="2"/>
  <c r="GM17" i="2"/>
  <c r="DG17" i="2"/>
  <c r="EC17" i="2"/>
  <c r="EA17" i="2"/>
  <c r="EB17" i="2"/>
  <c r="DH17" i="2"/>
  <c r="DF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HH18" i="2" s="1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GN18" i="2" s="1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R18" i="2" l="1"/>
  <c r="FQ18" i="2"/>
  <c r="EW18" i="2"/>
  <c r="GM18" i="2"/>
  <c r="HI18" i="2"/>
  <c r="EV18" i="2"/>
  <c r="GL18" i="2"/>
  <c r="HG18" i="2"/>
  <c r="EC18" i="2"/>
  <c r="DG18" i="2"/>
  <c r="EB18" i="2"/>
  <c r="EA18" i="2"/>
  <c r="CM18" i="2"/>
  <c r="DH18" i="2"/>
  <c r="DF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HH19" i="2" s="1"/>
  <c r="GI19" i="2"/>
  <c r="GL19" i="2" s="1"/>
  <c r="FO19" i="2"/>
  <c r="FR19" i="2" s="1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GN19" i="2" s="1"/>
  <c r="FL19" i="2"/>
  <c r="FC19" i="2"/>
  <c r="FW19" i="2"/>
  <c r="FM19" i="2"/>
  <c r="FS19" i="2" s="1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EX19" i="2" s="1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EW19" i="2"/>
  <c r="EV19" i="2"/>
  <c r="GM19" i="2"/>
  <c r="GM20" i="2" s="1"/>
  <c r="FQ19" i="2"/>
  <c r="HG19" i="2"/>
  <c r="EC19" i="2"/>
  <c r="EB19" i="2"/>
  <c r="DG19" i="2"/>
  <c r="EA19" i="2"/>
  <c r="DH19" i="2"/>
  <c r="DF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GL20" i="2" s="1"/>
  <c r="ET20" i="2"/>
  <c r="DC20" i="2"/>
  <c r="CH20" i="2"/>
  <c r="BN20" i="2"/>
  <c r="AS20" i="2"/>
  <c r="AR20" i="2"/>
  <c r="FN20" i="2"/>
  <c r="FQ20" i="2" s="1"/>
  <c r="HE20" i="2"/>
  <c r="HH20" i="2" s="1"/>
  <c r="DD20" i="2"/>
  <c r="X20" i="2"/>
  <c r="W20" i="2"/>
  <c r="HB20" i="2"/>
  <c r="HC20" i="2"/>
  <c r="GR20" i="2"/>
  <c r="GH20" i="2"/>
  <c r="GN20" i="2" s="1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EX20" i="2" s="1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W21" i="2" s="1"/>
  <c r="FR20" i="2"/>
  <c r="EV20" i="2"/>
  <c r="HI20" i="2"/>
  <c r="HG20" i="2"/>
  <c r="HG21" i="2" s="1"/>
  <c r="AV20" i="2"/>
  <c r="DG20" i="2"/>
  <c r="EC20" i="2"/>
  <c r="EA20" i="2"/>
  <c r="EB20" i="2"/>
  <c r="AW20" i="2"/>
  <c r="CM20" i="2"/>
  <c r="DH20" i="2"/>
  <c r="DF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R21" i="2" s="1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GN21" i="2" s="1"/>
  <c r="HC21" i="2"/>
  <c r="GK21" i="2"/>
  <c r="FW21" i="2"/>
  <c r="FM21" i="2"/>
  <c r="FS21" i="2" s="1"/>
  <c r="FP21" i="2"/>
  <c r="GS21" i="2"/>
  <c r="GG21" i="2"/>
  <c r="FX21" i="2"/>
  <c r="EQ21" i="2"/>
  <c r="EH21" i="2"/>
  <c r="CJ21" i="2"/>
  <c r="FB21" i="2"/>
  <c r="ER21" i="2"/>
  <c r="EX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GL21" i="2" l="1"/>
  <c r="HI21" i="2"/>
  <c r="GM21" i="2"/>
  <c r="HH21" i="2"/>
  <c r="FQ21" i="2"/>
  <c r="EC21" i="2"/>
  <c r="DG21" i="2"/>
  <c r="EA21" i="2"/>
  <c r="EB21" i="2"/>
  <c r="DH21" i="2"/>
  <c r="DF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R22" i="2" s="1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N22" i="2" s="1"/>
  <c r="GK22" i="2"/>
  <c r="FL22" i="2"/>
  <c r="FC22" i="2"/>
  <c r="FW22" i="2"/>
  <c r="FM22" i="2"/>
  <c r="FS22" i="2" s="1"/>
  <c r="FP22" i="2"/>
  <c r="DZ22" i="2"/>
  <c r="DL22" i="2"/>
  <c r="DE22" i="2"/>
  <c r="FX22" i="2"/>
  <c r="EQ22" i="2"/>
  <c r="EH22" i="2"/>
  <c r="CJ22" i="2"/>
  <c r="GG22" i="2"/>
  <c r="FB22" i="2"/>
  <c r="ER22" i="2"/>
  <c r="EX22" i="2" s="1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GM22" i="2" l="1"/>
  <c r="HG22" i="2"/>
  <c r="EV22" i="2"/>
  <c r="FQ22" i="2"/>
  <c r="HI22" i="2"/>
  <c r="GL22" i="2"/>
  <c r="EC22" i="2"/>
  <c r="EA22" i="2"/>
  <c r="EB22" i="2"/>
  <c r="DH22" i="2"/>
  <c r="DG22" i="2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HH23" i="2" s="1"/>
  <c r="GI23" i="2"/>
  <c r="GL23" i="2" s="1"/>
  <c r="ES23" i="2"/>
  <c r="EV23" i="2" s="1"/>
  <c r="ET23" i="2"/>
  <c r="FO23" i="2"/>
  <c r="FR23" i="2" s="1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GN23" i="2" s="1"/>
  <c r="FW23" i="2"/>
  <c r="FM23" i="2"/>
  <c r="FS23" i="2" s="1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G23" i="2" l="1"/>
  <c r="GM23" i="2"/>
  <c r="HI23" i="2"/>
  <c r="FQ23" i="2"/>
  <c r="EW23" i="2"/>
  <c r="DH23" i="2"/>
  <c r="DF23" i="2"/>
  <c r="DG23" i="2"/>
  <c r="EC23" i="2"/>
  <c r="EA23" i="2"/>
  <c r="EB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H24" i="2" s="1"/>
  <c r="HF24" i="2"/>
  <c r="GR24" i="2"/>
  <c r="GH24" i="2"/>
  <c r="GN24" i="2" s="1"/>
  <c r="GK24" i="2"/>
  <c r="GS24" i="2"/>
  <c r="FP24" i="2"/>
  <c r="GG24" i="2"/>
  <c r="FX24" i="2"/>
  <c r="FL24" i="2"/>
  <c r="FC24" i="2"/>
  <c r="FB24" i="2"/>
  <c r="ER24" i="2"/>
  <c r="EX24" i="2" s="1"/>
  <c r="DV24" i="2"/>
  <c r="DM24" i="2"/>
  <c r="DA24" i="2"/>
  <c r="FM24" i="2"/>
  <c r="FS24" i="2" s="1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V24" i="2" l="1"/>
  <c r="GL24" i="2"/>
  <c r="GM24" i="2"/>
  <c r="HI24" i="2"/>
  <c r="HG24" i="2"/>
  <c r="FQ24" i="2"/>
  <c r="EW24" i="2"/>
  <c r="CM24" i="2"/>
  <c r="DH24" i="2"/>
  <c r="EC24" i="2"/>
  <c r="EA24" i="2"/>
  <c r="EB24" i="2"/>
  <c r="DF24" i="2"/>
  <c r="DG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GL25" i="2" s="1"/>
  <c r="DD25" i="2"/>
  <c r="HD25" i="2"/>
  <c r="ES25" i="2"/>
  <c r="EV25" i="2" s="1"/>
  <c r="DX25" i="2"/>
  <c r="CH25" i="2"/>
  <c r="AS25" i="2"/>
  <c r="CI25" i="2"/>
  <c r="BM25" i="2"/>
  <c r="X25" i="2"/>
  <c r="ET25" i="2"/>
  <c r="EW25" i="2" s="1"/>
  <c r="AR25" i="2"/>
  <c r="DC25" i="2"/>
  <c r="BN25" i="2"/>
  <c r="W25" i="2"/>
  <c r="HF25" i="2"/>
  <c r="HB25" i="2"/>
  <c r="GR25" i="2"/>
  <c r="GH25" i="2"/>
  <c r="GN25" i="2" s="1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EX25" i="2" s="1"/>
  <c r="DV25" i="2"/>
  <c r="DM25" i="2"/>
  <c r="DA25" i="2"/>
  <c r="CQ25" i="2"/>
  <c r="GS25" i="2"/>
  <c r="EU25" i="2"/>
  <c r="EG25" i="2"/>
  <c r="DW25" i="2"/>
  <c r="DB25" i="2"/>
  <c r="HC25" i="2"/>
  <c r="HH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G25" i="2" l="1"/>
  <c r="HI25" i="2"/>
  <c r="FQ25" i="2"/>
  <c r="FR25" i="2"/>
  <c r="FR26" i="2" s="1"/>
  <c r="GM25" i="2"/>
  <c r="EC25" i="2"/>
  <c r="CM25" i="2"/>
  <c r="EB25" i="2"/>
  <c r="EA25" i="2"/>
  <c r="DH25" i="2"/>
  <c r="DG25" i="2"/>
  <c r="DF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EW26" i="2" s="1"/>
  <c r="FN26" i="2"/>
  <c r="FO26" i="2"/>
  <c r="BN26" i="2"/>
  <c r="ES26" i="2"/>
  <c r="EV26" i="2" s="1"/>
  <c r="DX26" i="2"/>
  <c r="CH26" i="2"/>
  <c r="AS26" i="2"/>
  <c r="DY26" i="2"/>
  <c r="DD26" i="2"/>
  <c r="DC26" i="2"/>
  <c r="W26" i="2"/>
  <c r="X26" i="2"/>
  <c r="CI26" i="2"/>
  <c r="BM26" i="2"/>
  <c r="AR26" i="2"/>
  <c r="HC26" i="2"/>
  <c r="HH26" i="2" s="1"/>
  <c r="HF26" i="2"/>
  <c r="GS26" i="2"/>
  <c r="HB26" i="2"/>
  <c r="GR26" i="2"/>
  <c r="GH26" i="2"/>
  <c r="GN26" i="2" s="1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EX26" i="2" s="1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G26" i="2" l="1"/>
  <c r="HI26" i="2"/>
  <c r="FQ26" i="2"/>
  <c r="GM26" i="2"/>
  <c r="GL26" i="2"/>
  <c r="EB26" i="2"/>
  <c r="CM26" i="2"/>
  <c r="EA26" i="2"/>
  <c r="EC26" i="2"/>
  <c r="DG26" i="2"/>
  <c r="DH26" i="2"/>
  <c r="DF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HH27" i="2" s="1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GN27" i="2" s="1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GM27" i="2" l="1"/>
  <c r="HG27" i="2"/>
  <c r="FQ27" i="2"/>
  <c r="EW27" i="2"/>
  <c r="FR27" i="2"/>
  <c r="HI27" i="2"/>
  <c r="EV27" i="2"/>
  <c r="GL27" i="2"/>
  <c r="GL28" i="2" s="1"/>
  <c r="EC27" i="2"/>
  <c r="CM27" i="2"/>
  <c r="EA27" i="2"/>
  <c r="EB27" i="2"/>
  <c r="AW27" i="2"/>
  <c r="DG27" i="2"/>
  <c r="DH27" i="2"/>
  <c r="DF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FQ28" i="2" s="1"/>
  <c r="DC28" i="2"/>
  <c r="CH28" i="2"/>
  <c r="BN28" i="2"/>
  <c r="AS28" i="2"/>
  <c r="AR28" i="2"/>
  <c r="ET28" i="2"/>
  <c r="W28" i="2"/>
  <c r="X28" i="2"/>
  <c r="HB28" i="2"/>
  <c r="HC28" i="2"/>
  <c r="GR28" i="2"/>
  <c r="GH28" i="2"/>
  <c r="GN28" i="2" s="1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W28" i="2" l="1"/>
  <c r="GM28" i="2"/>
  <c r="HI28" i="2"/>
  <c r="FR28" i="2"/>
  <c r="HG28" i="2"/>
  <c r="HH28" i="2"/>
  <c r="EC28" i="2"/>
  <c r="EB28" i="2"/>
  <c r="DG28" i="2"/>
  <c r="CM28" i="2"/>
  <c r="DF28" i="2"/>
  <c r="EA28" i="2"/>
  <c r="DH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HH29" i="2" s="1"/>
  <c r="GJ29" i="2"/>
  <c r="HD29" i="2"/>
  <c r="GI29" i="2"/>
  <c r="GL29" i="2" s="1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N29" i="2" s="1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V29" i="2" l="1"/>
  <c r="EW29" i="2"/>
  <c r="HI29" i="2"/>
  <c r="FQ29" i="2"/>
  <c r="FR29" i="2"/>
  <c r="HG29" i="2"/>
  <c r="GM29" i="2"/>
  <c r="EC29" i="2"/>
  <c r="CM29" i="2"/>
  <c r="EA29" i="2"/>
  <c r="EB29" i="2"/>
  <c r="DH29" i="2"/>
  <c r="DG29" i="2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GN30" i="2" s="1"/>
  <c r="FL30" i="2"/>
  <c r="FC30" i="2"/>
  <c r="FW30" i="2"/>
  <c r="FM30" i="2"/>
  <c r="FS30" i="2" s="1"/>
  <c r="HB30" i="2"/>
  <c r="GK30" i="2"/>
  <c r="FP30" i="2"/>
  <c r="GG30" i="2"/>
  <c r="DZ30" i="2"/>
  <c r="DL30" i="2"/>
  <c r="DE30" i="2"/>
  <c r="EQ30" i="2"/>
  <c r="EH30" i="2"/>
  <c r="CJ30" i="2"/>
  <c r="FB30" i="2"/>
  <c r="ER30" i="2"/>
  <c r="EX30" i="2" s="1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FQ30" i="2" l="1"/>
  <c r="HI30" i="2"/>
  <c r="FR30" i="2"/>
  <c r="GM30" i="2"/>
  <c r="EV30" i="2"/>
  <c r="EW30" i="2"/>
  <c r="GL30" i="2"/>
  <c r="HG30" i="2"/>
  <c r="HH30" i="2"/>
  <c r="CM30" i="2"/>
  <c r="EA30" i="2"/>
  <c r="EB30" i="2"/>
  <c r="EC30" i="2"/>
  <c r="DH30" i="2"/>
  <c r="DG30" i="2"/>
  <c r="DF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HH31" i="2" s="1"/>
  <c r="GI31" i="2"/>
  <c r="GL31" i="2" s="1"/>
  <c r="ES31" i="2"/>
  <c r="EV31" i="2" s="1"/>
  <c r="ET31" i="2"/>
  <c r="EW31" i="2" s="1"/>
  <c r="FN31" i="2"/>
  <c r="DY31" i="2"/>
  <c r="DC31" i="2"/>
  <c r="DX31" i="2"/>
  <c r="BN31" i="2"/>
  <c r="CI31" i="2"/>
  <c r="CH31" i="2"/>
  <c r="AS31" i="2"/>
  <c r="W31" i="2"/>
  <c r="FO31" i="2"/>
  <c r="FR31" i="2" s="1"/>
  <c r="DD31" i="2"/>
  <c r="BM31" i="2"/>
  <c r="AR31" i="2"/>
  <c r="X31" i="2"/>
  <c r="HC31" i="2"/>
  <c r="HF31" i="2"/>
  <c r="HB31" i="2"/>
  <c r="GK31" i="2"/>
  <c r="GS31" i="2"/>
  <c r="GG31" i="2"/>
  <c r="FX31" i="2"/>
  <c r="GH31" i="2"/>
  <c r="GN31" i="2" s="1"/>
  <c r="FL31" i="2"/>
  <c r="FC31" i="2"/>
  <c r="FW31" i="2"/>
  <c r="FM31" i="2"/>
  <c r="FS31" i="2" s="1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EX31" i="2" s="1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Q31" i="2" l="1"/>
  <c r="HI31" i="2"/>
  <c r="GM31" i="2"/>
  <c r="EB31" i="2"/>
  <c r="EC31" i="2"/>
  <c r="EA31" i="2"/>
  <c r="CM31" i="2"/>
  <c r="DH31" i="2"/>
  <c r="DF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EV32" i="2" s="1"/>
  <c r="DX32" i="2"/>
  <c r="FN32" i="2"/>
  <c r="FQ32" i="2" s="1"/>
  <c r="ET32" i="2"/>
  <c r="EW32" i="2" s="1"/>
  <c r="CI32" i="2"/>
  <c r="BM32" i="2"/>
  <c r="DC32" i="2"/>
  <c r="AR32" i="2"/>
  <c r="CH32" i="2"/>
  <c r="BN32" i="2"/>
  <c r="AS32" i="2"/>
  <c r="X32" i="2"/>
  <c r="W32" i="2"/>
  <c r="DD32" i="2"/>
  <c r="HB32" i="2"/>
  <c r="HC32" i="2"/>
  <c r="HG32" i="2" s="1"/>
  <c r="GR32" i="2"/>
  <c r="GK32" i="2"/>
  <c r="HF32" i="2"/>
  <c r="GS32" i="2"/>
  <c r="FP32" i="2"/>
  <c r="GG32" i="2"/>
  <c r="FX32" i="2"/>
  <c r="GH32" i="2"/>
  <c r="GN32" i="2" s="1"/>
  <c r="FL32" i="2"/>
  <c r="FC32" i="2"/>
  <c r="FB32" i="2"/>
  <c r="ER32" i="2"/>
  <c r="EX32" i="2" s="1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I32" i="2" l="1"/>
  <c r="GL32" i="2"/>
  <c r="FR32" i="2"/>
  <c r="GM32" i="2"/>
  <c r="CM32" i="2"/>
  <c r="EC32" i="2"/>
  <c r="EB32" i="2"/>
  <c r="EA32" i="2"/>
  <c r="DH32" i="2"/>
  <c r="DF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R33" i="2" s="1"/>
  <c r="FN33" i="2"/>
  <c r="FQ33" i="2" s="1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HH33" i="2"/>
  <c r="HG33" i="2"/>
  <c r="HG34" i="2" s="1"/>
  <c r="GL33" i="2"/>
  <c r="HI33" i="2"/>
  <c r="FS33" i="2"/>
  <c r="EX33" i="2"/>
  <c r="GN33" i="2"/>
  <c r="EB33" i="2"/>
  <c r="EA33" i="2"/>
  <c r="EC33" i="2"/>
  <c r="DF33" i="2"/>
  <c r="DG33" i="2"/>
  <c r="DH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HH34" i="2" s="1"/>
  <c r="GI34" i="2"/>
  <c r="GL34" i="2" s="1"/>
  <c r="GJ34" i="2"/>
  <c r="GM34" i="2" s="1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EV34" i="2" s="1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X34" i="2"/>
  <c r="FS34" i="2"/>
  <c r="DH34" i="2"/>
  <c r="HI34" i="2"/>
  <c r="FR34" i="2"/>
  <c r="FQ34" i="2"/>
  <c r="CM34" i="2"/>
  <c r="EB34" i="2"/>
  <c r="EA34" i="2"/>
  <c r="EC34" i="2"/>
  <c r="DF34" i="2"/>
  <c r="DG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GM35" i="2" s="1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G35" i="2" s="1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DH35" i="2" l="1"/>
  <c r="EW35" i="2"/>
  <c r="FQ35" i="2"/>
  <c r="FR35" i="2"/>
  <c r="HI35" i="2"/>
  <c r="GL35" i="2"/>
  <c r="EV35" i="2"/>
  <c r="HH35" i="2"/>
  <c r="FS35" i="2"/>
  <c r="EX35" i="2"/>
  <c r="GN35" i="2"/>
  <c r="EB35" i="2"/>
  <c r="EA35" i="2"/>
  <c r="CM35" i="2"/>
  <c r="EC35" i="2"/>
  <c r="DG35" i="2"/>
  <c r="DF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FR36" i="2" s="1"/>
  <c r="DY36" i="2"/>
  <c r="ES36" i="2"/>
  <c r="DX36" i="2"/>
  <c r="GI36" i="2"/>
  <c r="CI36" i="2"/>
  <c r="BM36" i="2"/>
  <c r="ET36" i="2"/>
  <c r="EW36" i="2" s="1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HG36" i="2" s="1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EX36" i="2" l="1"/>
  <c r="FS36" i="2"/>
  <c r="GM36" i="2"/>
  <c r="GL36" i="2"/>
  <c r="HH36" i="2"/>
  <c r="HI36" i="2"/>
  <c r="EV36" i="2"/>
  <c r="GN36" i="2"/>
  <c r="EA36" i="2"/>
  <c r="DH36" i="2"/>
  <c r="EB36" i="2"/>
  <c r="EC36" i="2"/>
  <c r="DF36" i="2"/>
  <c r="DG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GM37" i="2" s="1"/>
  <c r="HD37" i="2"/>
  <c r="HG37" i="2" s="1"/>
  <c r="GI37" i="2"/>
  <c r="FO37" i="2"/>
  <c r="FR37" i="2" s="1"/>
  <c r="FN37" i="2"/>
  <c r="FQ37" i="2" s="1"/>
  <c r="DY37" i="2"/>
  <c r="ET37" i="2"/>
  <c r="ES37" i="2"/>
  <c r="EV37" i="2" s="1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H37" i="2" l="1"/>
  <c r="GN37" i="2"/>
  <c r="HI37" i="2"/>
  <c r="EW37" i="2"/>
  <c r="FS37" i="2"/>
  <c r="GL37" i="2"/>
  <c r="EX37" i="2"/>
  <c r="DH37" i="2"/>
  <c r="EB37" i="2"/>
  <c r="EA37" i="2"/>
  <c r="EC37" i="2"/>
  <c r="DG37" i="2"/>
  <c r="DF37" i="2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V38" i="2"/>
  <c r="FQ38" i="2"/>
  <c r="FR38" i="2"/>
  <c r="EX38" i="2"/>
  <c r="EW38" i="2"/>
  <c r="FS38" i="2"/>
  <c r="GL38" i="2"/>
  <c r="GM38" i="2"/>
  <c r="HH38" i="2"/>
  <c r="HI38" i="2"/>
  <c r="GN38" i="2"/>
  <c r="EB38" i="2"/>
  <c r="EA38" i="2"/>
  <c r="EC38" i="2"/>
  <c r="CM38" i="2"/>
  <c r="DH38" i="2"/>
  <c r="DG38" i="2"/>
  <c r="DF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GM39" i="2" s="1"/>
  <c r="HD39" i="2"/>
  <c r="HE39" i="2"/>
  <c r="GI39" i="2"/>
  <c r="GL39" i="2" s="1"/>
  <c r="ES39" i="2"/>
  <c r="ET39" i="2"/>
  <c r="FO39" i="2"/>
  <c r="FR39" i="2" s="1"/>
  <c r="FN39" i="2"/>
  <c r="FQ39" i="2" s="1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HH39" i="2" l="1"/>
  <c r="HG39" i="2"/>
  <c r="FS39" i="2"/>
  <c r="FS40" i="2" s="1"/>
  <c r="EX39" i="2"/>
  <c r="EW39" i="2"/>
  <c r="GN39" i="2"/>
  <c r="EV39" i="2"/>
  <c r="EV40" i="2" s="1"/>
  <c r="HI39" i="2"/>
  <c r="AW39" i="2"/>
  <c r="CM39" i="2"/>
  <c r="EB39" i="2"/>
  <c r="EA39" i="2"/>
  <c r="EC39" i="2"/>
  <c r="DH39" i="2"/>
  <c r="DF39" i="2"/>
  <c r="DG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GM40" i="2" s="1"/>
  <c r="FO40" i="2"/>
  <c r="HE40" i="2"/>
  <c r="GI40" i="2"/>
  <c r="DY40" i="2"/>
  <c r="ES40" i="2"/>
  <c r="DX40" i="2"/>
  <c r="FN40" i="2"/>
  <c r="FQ40" i="2" s="1"/>
  <c r="ET40" i="2"/>
  <c r="EW40" i="2" s="1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I40" i="2" l="1"/>
  <c r="HG40" i="2"/>
  <c r="GN40" i="2"/>
  <c r="EX40" i="2"/>
  <c r="GL40" i="2"/>
  <c r="HH40" i="2"/>
  <c r="FR40" i="2"/>
  <c r="CM40" i="2"/>
  <c r="EA40" i="2"/>
  <c r="EB40" i="2"/>
  <c r="EC40" i="2"/>
  <c r="DH40" i="2"/>
  <c r="DF40" i="2"/>
  <c r="DG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GM41" i="2" s="1"/>
  <c r="HD41" i="2"/>
  <c r="FO41" i="2"/>
  <c r="FR41" i="2" s="1"/>
  <c r="FN41" i="2"/>
  <c r="FQ41" i="2" s="1"/>
  <c r="DY41" i="2"/>
  <c r="DD41" i="2"/>
  <c r="ES41" i="2"/>
  <c r="DX41" i="2"/>
  <c r="CH41" i="2"/>
  <c r="AS41" i="2"/>
  <c r="CI41" i="2"/>
  <c r="BM41" i="2"/>
  <c r="GI41" i="2"/>
  <c r="GL41" i="2" s="1"/>
  <c r="X41" i="2"/>
  <c r="AR41" i="2"/>
  <c r="BN41" i="2"/>
  <c r="DC41" i="2"/>
  <c r="W41" i="2"/>
  <c r="ET41" i="2"/>
  <c r="EW41" i="2" s="1"/>
  <c r="HF41" i="2"/>
  <c r="HB41" i="2"/>
  <c r="GR41" i="2"/>
  <c r="GK41" i="2"/>
  <c r="HC41" i="2"/>
  <c r="FW41" i="2"/>
  <c r="FM41" i="2"/>
  <c r="FS41" i="2" s="1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H41" i="2" l="1"/>
  <c r="HG41" i="2"/>
  <c r="EV41" i="2"/>
  <c r="EX41" i="2"/>
  <c r="GN41" i="2"/>
  <c r="HI41" i="2"/>
  <c r="CM41" i="2"/>
  <c r="AW41" i="2"/>
  <c r="EA41" i="2"/>
  <c r="EB41" i="2"/>
  <c r="EC41" i="2"/>
  <c r="DH41" i="2"/>
  <c r="DG41" i="2"/>
  <c r="DF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HH42" i="2" s="1"/>
  <c r="GI42" i="2"/>
  <c r="GL42" i="2" s="1"/>
  <c r="GJ42" i="2"/>
  <c r="GM42" i="2" s="1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S42" i="2" s="1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I42" i="2" l="1"/>
  <c r="EV42" i="2"/>
  <c r="HG42" i="2"/>
  <c r="GN42" i="2"/>
  <c r="EX42" i="2"/>
  <c r="FR42" i="2"/>
  <c r="FQ42" i="2"/>
  <c r="EW42" i="2"/>
  <c r="CM42" i="2"/>
  <c r="EA42" i="2"/>
  <c r="EB42" i="2"/>
  <c r="EC42" i="2"/>
  <c r="DH42" i="2"/>
  <c r="DF42" i="2"/>
  <c r="DG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HH43" i="2" s="1"/>
  <c r="GI43" i="2"/>
  <c r="GL43" i="2" s="1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Q43" i="2" l="1"/>
  <c r="HG43" i="2"/>
  <c r="EW43" i="2"/>
  <c r="GM43" i="2"/>
  <c r="EV43" i="2"/>
  <c r="EX43" i="2"/>
  <c r="FR43" i="2"/>
  <c r="GN43" i="2"/>
  <c r="HI43" i="2"/>
  <c r="EA43" i="2"/>
  <c r="EB43" i="2"/>
  <c r="CM43" i="2"/>
  <c r="EC43" i="2"/>
  <c r="AW43" i="2"/>
  <c r="DH43" i="2"/>
  <c r="DF43" i="2"/>
  <c r="DG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GL44" i="2" s="1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GM44" i="2" s="1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5" i="2" l="1"/>
  <c r="HI44" i="2"/>
  <c r="GN44" i="2"/>
  <c r="EW44" i="2"/>
  <c r="FR44" i="2"/>
  <c r="HH44" i="2"/>
  <c r="EX44" i="2"/>
  <c r="FQ44" i="2"/>
  <c r="HG44" i="2"/>
  <c r="EV44" i="2"/>
  <c r="AU44" i="2"/>
  <c r="CM44" i="2"/>
  <c r="DH44" i="2"/>
  <c r="EB44" i="2"/>
  <c r="EA44" i="2"/>
  <c r="EC44" i="2"/>
  <c r="DG44" i="2"/>
  <c r="DF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M45" i="2" s="1"/>
  <c r="GI45" i="2"/>
  <c r="GL45" i="2" s="1"/>
  <c r="FO45" i="2"/>
  <c r="FR45" i="2" s="1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G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V45" i="2" l="1"/>
  <c r="HH45" i="2"/>
  <c r="EW45" i="2"/>
  <c r="EX45" i="2"/>
  <c r="FQ45" i="2"/>
  <c r="GN45" i="2"/>
  <c r="HI45" i="2"/>
  <c r="CM45" i="2"/>
  <c r="DH45" i="2"/>
  <c r="EB45" i="2"/>
  <c r="EA45" i="2"/>
  <c r="EC45" i="2"/>
  <c r="DF45" i="2"/>
  <c r="DG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R46" i="2" s="1"/>
  <c r="FN46" i="2"/>
  <c r="FQ46" i="2" s="1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GM46" i="2"/>
  <c r="GN46" i="2"/>
  <c r="GL46" i="2"/>
  <c r="HH46" i="2"/>
  <c r="EX46" i="2"/>
  <c r="EX47" i="2" s="1"/>
  <c r="HG46" i="2"/>
  <c r="EV46" i="2"/>
  <c r="CM46" i="2"/>
  <c r="EB46" i="2"/>
  <c r="EA46" i="2"/>
  <c r="EC46" i="2"/>
  <c r="DH46" i="2"/>
  <c r="DF46" i="2"/>
  <c r="DG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HH47" i="2" s="1"/>
  <c r="GI47" i="2"/>
  <c r="GJ47" i="2"/>
  <c r="ES47" i="2"/>
  <c r="EV47" i="2" s="1"/>
  <c r="ET47" i="2"/>
  <c r="FN47" i="2"/>
  <c r="FQ47" i="2" s="1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S47" i="2" s="1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W47" i="2" l="1"/>
  <c r="GN47" i="2"/>
  <c r="HI47" i="2"/>
  <c r="GM47" i="2"/>
  <c r="GL47" i="2"/>
  <c r="HG47" i="2"/>
  <c r="FR47" i="2"/>
  <c r="FR48" i="2" s="1"/>
  <c r="CM47" i="2"/>
  <c r="EA47" i="2"/>
  <c r="EB47" i="2"/>
  <c r="EC47" i="2"/>
  <c r="DH47" i="2"/>
  <c r="DF47" i="2"/>
  <c r="DG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M48" i="2" s="1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W48" i="2" l="1"/>
  <c r="FQ48" i="2"/>
  <c r="EV48" i="2"/>
  <c r="GL48" i="2"/>
  <c r="HI48" i="2"/>
  <c r="HI49" i="2" s="1"/>
  <c r="GN48" i="2"/>
  <c r="HG48" i="2"/>
  <c r="CM48" i="2"/>
  <c r="EA48" i="2"/>
  <c r="EB48" i="2"/>
  <c r="EC48" i="2"/>
  <c r="DH48" i="2"/>
  <c r="DG48" i="2"/>
  <c r="DF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GL49" i="2" s="1"/>
  <c r="DY49" i="2"/>
  <c r="DD49" i="2"/>
  <c r="ET49" i="2"/>
  <c r="CH49" i="2"/>
  <c r="AS49" i="2"/>
  <c r="CI49" i="2"/>
  <c r="BM49" i="2"/>
  <c r="X49" i="2"/>
  <c r="AR49" i="2"/>
  <c r="ES49" i="2"/>
  <c r="EV49" i="2" s="1"/>
  <c r="BN49" i="2"/>
  <c r="DX49" i="2"/>
  <c r="W49" i="2"/>
  <c r="DC49" i="2"/>
  <c r="HF49" i="2"/>
  <c r="HC49" i="2"/>
  <c r="HH49" i="2" s="1"/>
  <c r="GR49" i="2"/>
  <c r="GK49" i="2"/>
  <c r="FW49" i="2"/>
  <c r="FM49" i="2"/>
  <c r="FS49" i="2" s="1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GM49" i="2" s="1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GN49" i="2" l="1"/>
  <c r="FQ49" i="2"/>
  <c r="HG49" i="2"/>
  <c r="FR49" i="2"/>
  <c r="EW49" i="2"/>
  <c r="CM49" i="2"/>
  <c r="DH49" i="2"/>
  <c r="EB49" i="2"/>
  <c r="EC49" i="2"/>
  <c r="EA49" i="2"/>
  <c r="DG49" i="2"/>
  <c r="DF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HH50" i="2" s="1"/>
  <c r="GI50" i="2"/>
  <c r="GL50" i="2" s="1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EX50" i="2" s="1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R50" i="2"/>
  <c r="EV50" i="2"/>
  <c r="GN50" i="2"/>
  <c r="FQ50" i="2"/>
  <c r="EW50" i="2"/>
  <c r="GM50" i="2"/>
  <c r="GM51" i="2" s="1"/>
  <c r="DH50" i="2"/>
  <c r="EA50" i="2"/>
  <c r="EB50" i="2"/>
  <c r="EC50" i="2"/>
  <c r="DG50" i="2"/>
  <c r="DF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HH51" i="2" s="1"/>
  <c r="GI51" i="2"/>
  <c r="GL51" i="2" s="1"/>
  <c r="FO51" i="2"/>
  <c r="FR51" i="2" s="1"/>
  <c r="ES51" i="2"/>
  <c r="EV51" i="2" s="1"/>
  <c r="ET51" i="2"/>
  <c r="EW51" i="2" s="1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GN51" i="2" l="1"/>
  <c r="FQ51" i="2"/>
  <c r="HG51" i="2"/>
  <c r="AW51" i="2"/>
  <c r="DH51" i="2"/>
  <c r="EB51" i="2"/>
  <c r="EA51" i="2"/>
  <c r="EC51" i="2"/>
  <c r="DF51" i="2"/>
  <c r="DG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HH52" i="2" s="1"/>
  <c r="GJ52" i="2"/>
  <c r="GM52" i="2" s="1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I52" i="2" s="1"/>
  <c r="GR52" i="2"/>
  <c r="GK52" i="2"/>
  <c r="HB52" i="2"/>
  <c r="GS52" i="2"/>
  <c r="FP52" i="2"/>
  <c r="GG52" i="2"/>
  <c r="FX52" i="2"/>
  <c r="HF52" i="2"/>
  <c r="GH52" i="2"/>
  <c r="FL52" i="2"/>
  <c r="FC52" i="2"/>
  <c r="FM52" i="2"/>
  <c r="FS52" i="2" s="1"/>
  <c r="FB52" i="2"/>
  <c r="ER52" i="2"/>
  <c r="EX52" i="2" s="1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FR52" i="2" l="1"/>
  <c r="HG52" i="2"/>
  <c r="EW52" i="2"/>
  <c r="FQ52" i="2"/>
  <c r="FQ53" i="2" s="1"/>
  <c r="GN52" i="2"/>
  <c r="GL52" i="2"/>
  <c r="EV52" i="2"/>
  <c r="AU52" i="2"/>
  <c r="DH52" i="2"/>
  <c r="EB52" i="2"/>
  <c r="EA52" i="2"/>
  <c r="EC52" i="2"/>
  <c r="DF52" i="2"/>
  <c r="DG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HI53" i="2" s="1"/>
  <c r="GK53" i="2"/>
  <c r="FW53" i="2"/>
  <c r="FM53" i="2"/>
  <c r="FS53" i="2" s="1"/>
  <c r="FP53" i="2"/>
  <c r="HB53" i="2"/>
  <c r="GS53" i="2"/>
  <c r="GG53" i="2"/>
  <c r="FX53" i="2"/>
  <c r="EQ53" i="2"/>
  <c r="EH53" i="2"/>
  <c r="CJ53" i="2"/>
  <c r="FB53" i="2"/>
  <c r="ER53" i="2"/>
  <c r="EX53" i="2" s="1"/>
  <c r="DV53" i="2"/>
  <c r="DM53" i="2"/>
  <c r="DA53" i="2"/>
  <c r="EU53" i="2"/>
  <c r="EG53" i="2"/>
  <c r="DW53" i="2"/>
  <c r="DB53" i="2"/>
  <c r="GH53" i="2"/>
  <c r="GM53" i="2" s="1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W53" i="2" l="1"/>
  <c r="EV53" i="2"/>
  <c r="GN53" i="2"/>
  <c r="FR53" i="2"/>
  <c r="GL53" i="2"/>
  <c r="HG53" i="2"/>
  <c r="HH53" i="2"/>
  <c r="EB53" i="2"/>
  <c r="EC53" i="2"/>
  <c r="EA53" i="2"/>
  <c r="AW53" i="2"/>
  <c r="DH53" i="2"/>
  <c r="DG53" i="2"/>
  <c r="DF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EW54" i="2" s="1"/>
  <c r="FO54" i="2"/>
  <c r="FN54" i="2"/>
  <c r="FQ54" i="2" s="1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I54" i="2" s="1"/>
  <c r="HF54" i="2"/>
  <c r="HB54" i="2"/>
  <c r="GS54" i="2"/>
  <c r="GR54" i="2"/>
  <c r="GK54" i="2"/>
  <c r="GH54" i="2"/>
  <c r="GM54" i="2" s="1"/>
  <c r="FL54" i="2"/>
  <c r="FC54" i="2"/>
  <c r="FW54" i="2"/>
  <c r="FM54" i="2"/>
  <c r="FS54" i="2" s="1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FR54" i="2" l="1"/>
  <c r="GN54" i="2"/>
  <c r="GL54" i="2"/>
  <c r="HH54" i="2"/>
  <c r="HG54" i="2"/>
  <c r="EV54" i="2"/>
  <c r="EA54" i="2"/>
  <c r="EB54" i="2"/>
  <c r="EC54" i="2"/>
  <c r="DH54" i="2"/>
  <c r="DF54" i="2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HH55" i="2" s="1"/>
  <c r="GI55" i="2"/>
  <c r="GL55" i="2" s="1"/>
  <c r="GJ55" i="2"/>
  <c r="GM55" i="2" s="1"/>
  <c r="ES55" i="2"/>
  <c r="EV55" i="2" s="1"/>
  <c r="ET55" i="2"/>
  <c r="EW55" i="2" s="1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Q55" i="2" l="1"/>
  <c r="FR55" i="2"/>
  <c r="FR56" i="2" s="1"/>
  <c r="GN55" i="2"/>
  <c r="HG55" i="2"/>
  <c r="EB55" i="2"/>
  <c r="EA55" i="2"/>
  <c r="EC55" i="2"/>
  <c r="DH55" i="2"/>
  <c r="DG55" i="2"/>
  <c r="DF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M56" i="2" s="1"/>
  <c r="GI56" i="2"/>
  <c r="GL56" i="2" s="1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EX56" i="2" s="1"/>
  <c r="DV56" i="2"/>
  <c r="DM56" i="2"/>
  <c r="DA56" i="2"/>
  <c r="FM56" i="2"/>
  <c r="FS56" i="2" s="1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EV56" i="2" l="1"/>
  <c r="HH56" i="2"/>
  <c r="GN56" i="2"/>
  <c r="HG56" i="2"/>
  <c r="EW56" i="2"/>
  <c r="FQ56" i="2"/>
  <c r="EB56" i="2"/>
  <c r="EA56" i="2"/>
  <c r="EC56" i="2"/>
  <c r="DH56" i="2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GL57" i="2" s="1"/>
  <c r="DD57" i="2"/>
  <c r="ES57" i="2"/>
  <c r="DX57" i="2"/>
  <c r="CH57" i="2"/>
  <c r="AS57" i="2"/>
  <c r="CI57" i="2"/>
  <c r="BM57" i="2"/>
  <c r="X57" i="2"/>
  <c r="ET57" i="2"/>
  <c r="EW57" i="2" s="1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EX57" i="2" s="1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GN57" i="2"/>
  <c r="FR57" i="2"/>
  <c r="GM57" i="2"/>
  <c r="FQ57" i="2"/>
  <c r="EV57" i="2"/>
  <c r="EA57" i="2"/>
  <c r="EC57" i="2"/>
  <c r="EB57" i="2"/>
  <c r="DH57" i="2"/>
  <c r="DF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Q58" i="2" s="1"/>
  <c r="FO58" i="2"/>
  <c r="FR58" i="2" s="1"/>
  <c r="BN58" i="2"/>
  <c r="ES58" i="2"/>
  <c r="EV58" i="2" s="1"/>
  <c r="DX58" i="2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GL58" i="2" s="1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EX58" i="2" s="1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HG58" i="2" l="1"/>
  <c r="GN58" i="2"/>
  <c r="EW58" i="2"/>
  <c r="GM58" i="2"/>
  <c r="HH58" i="2"/>
  <c r="EB58" i="2"/>
  <c r="EA58" i="2"/>
  <c r="EC58" i="2"/>
  <c r="DH58" i="2"/>
  <c r="DF58" i="2"/>
  <c r="DG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GL59" i="2" s="1"/>
  <c r="FO59" i="2"/>
  <c r="FR59" i="2" s="1"/>
  <c r="ES59" i="2"/>
  <c r="GJ59" i="2"/>
  <c r="GM59" i="2" s="1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I59" i="2" s="1"/>
  <c r="HF59" i="2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V59" i="2" l="1"/>
  <c r="FQ59" i="2"/>
  <c r="HH59" i="2"/>
  <c r="HH60" i="2" s="1"/>
  <c r="EW59" i="2"/>
  <c r="GN59" i="2"/>
  <c r="HG59" i="2"/>
  <c r="DH59" i="2"/>
  <c r="EB59" i="2"/>
  <c r="EA59" i="2"/>
  <c r="EC59" i="2"/>
  <c r="DG59" i="2"/>
  <c r="DF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FR60" i="2" s="1"/>
  <c r="GI60" i="2"/>
  <c r="DY60" i="2"/>
  <c r="ES60" i="2"/>
  <c r="GJ60" i="2"/>
  <c r="DX60" i="2"/>
  <c r="DD60" i="2"/>
  <c r="CI60" i="2"/>
  <c r="BM60" i="2"/>
  <c r="FN60" i="2"/>
  <c r="FQ60" i="2" s="1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EX60" i="2" s="1"/>
  <c r="DV60" i="2"/>
  <c r="DM60" i="2"/>
  <c r="DA60" i="2"/>
  <c r="EU60" i="2"/>
  <c r="EG60" i="2"/>
  <c r="DW60" i="2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GM60" i="2"/>
  <c r="EV60" i="2"/>
  <c r="GN60" i="2"/>
  <c r="GL60" i="2"/>
  <c r="DH60" i="2"/>
  <c r="EA60" i="2"/>
  <c r="EB60" i="2"/>
  <c r="EC60" i="2"/>
  <c r="DG60" i="2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GM61" i="2" s="1"/>
  <c r="HD61" i="2"/>
  <c r="HG61" i="2" s="1"/>
  <c r="GI61" i="2"/>
  <c r="FO61" i="2"/>
  <c r="FR61" i="2" s="1"/>
  <c r="FN61" i="2"/>
  <c r="FQ61" i="2" s="1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S61" i="2" s="1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HH61" i="2"/>
  <c r="GN61" i="2"/>
  <c r="GL61" i="2"/>
  <c r="EA61" i="2"/>
  <c r="DH61" i="2"/>
  <c r="EB61" i="2"/>
  <c r="EC61" i="2"/>
  <c r="DF61" i="2"/>
  <c r="DG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EW62" i="2" s="1"/>
  <c r="FO62" i="2"/>
  <c r="FR62" i="2" s="1"/>
  <c r="FN62" i="2"/>
  <c r="FQ62" i="2" s="1"/>
  <c r="DY62" i="2"/>
  <c r="ES62" i="2"/>
  <c r="EV62" i="2" s="1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GM62" i="2" s="1"/>
  <c r="FL62" i="2"/>
  <c r="FC62" i="2"/>
  <c r="FW62" i="2"/>
  <c r="FM62" i="2"/>
  <c r="FS62" i="2" s="1"/>
  <c r="GK62" i="2"/>
  <c r="FP62" i="2"/>
  <c r="GG62" i="2"/>
  <c r="DZ62" i="2"/>
  <c r="DL62" i="2"/>
  <c r="DE62" i="2"/>
  <c r="EQ62" i="2"/>
  <c r="EH62" i="2"/>
  <c r="CJ62" i="2"/>
  <c r="FB62" i="2"/>
  <c r="ER62" i="2"/>
  <c r="EX62" i="2" s="1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GN62" i="2" l="1"/>
  <c r="GL62" i="2"/>
  <c r="HG62" i="2"/>
  <c r="EB62" i="2"/>
  <c r="EC62" i="2"/>
  <c r="EA62" i="2"/>
  <c r="DH62" i="2"/>
  <c r="DF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FQ63" i="2" s="1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FS63" i="2" s="1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V63" i="2"/>
  <c r="GN63" i="2"/>
  <c r="EW63" i="2"/>
  <c r="GM63" i="2"/>
  <c r="GL63" i="2"/>
  <c r="FR63" i="2"/>
  <c r="HH63" i="2"/>
  <c r="EC63" i="2"/>
  <c r="EA63" i="2"/>
  <c r="EB63" i="2"/>
  <c r="DH63" i="2"/>
  <c r="DG63" i="2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FR64" i="2" s="1"/>
  <c r="GJ64" i="2"/>
  <c r="GI64" i="2"/>
  <c r="DY64" i="2"/>
  <c r="ES64" i="2"/>
  <c r="EV64" i="2" s="1"/>
  <c r="DX64" i="2"/>
  <c r="FN64" i="2"/>
  <c r="ET64" i="2"/>
  <c r="EW64" i="2" s="1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X64" i="2" s="1"/>
  <c r="EG64" i="2"/>
  <c r="DW64" i="2"/>
  <c r="DB64" i="2"/>
  <c r="DZ64" i="2"/>
  <c r="DL64" i="2"/>
  <c r="DE64" i="2"/>
  <c r="FM64" i="2"/>
  <c r="FS64" i="2" s="1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G64" i="2" l="1"/>
  <c r="GN64" i="2"/>
  <c r="GL64" i="2"/>
  <c r="FQ64" i="2"/>
  <c r="FQ65" i="2" s="1"/>
  <c r="GM64" i="2"/>
  <c r="EC64" i="2"/>
  <c r="EA64" i="2"/>
  <c r="EB64" i="2"/>
  <c r="DH64" i="2"/>
  <c r="DG64" i="2"/>
  <c r="DF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GM65" i="2" s="1"/>
  <c r="FO65" i="2"/>
  <c r="FN65" i="2"/>
  <c r="GI65" i="2"/>
  <c r="GL65" i="2" s="1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HI65" i="2" s="1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EX65" i="2" s="1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R65" i="2" l="1"/>
  <c r="HG65" i="2"/>
  <c r="EV65" i="2"/>
  <c r="HH65" i="2"/>
  <c r="EW65" i="2"/>
  <c r="GN65" i="2"/>
  <c r="EC65" i="2"/>
  <c r="DH65" i="2"/>
  <c r="EB65" i="2"/>
  <c r="EA65" i="2"/>
  <c r="DG65" i="2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EW66" i="2" s="1"/>
  <c r="FN66" i="2"/>
  <c r="DD66" i="2"/>
  <c r="BN66" i="2"/>
  <c r="CH66" i="2"/>
  <c r="AS66" i="2"/>
  <c r="DY66" i="2"/>
  <c r="DC66" i="2"/>
  <c r="W66" i="2"/>
  <c r="FO66" i="2"/>
  <c r="FR66" i="2" s="1"/>
  <c r="X66" i="2"/>
  <c r="ES66" i="2"/>
  <c r="EV66" i="2" s="1"/>
  <c r="DX66" i="2"/>
  <c r="CI66" i="2"/>
  <c r="AR66" i="2"/>
  <c r="BM66" i="2"/>
  <c r="HC66" i="2"/>
  <c r="HI66" i="2" s="1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G66" i="2" l="1"/>
  <c r="GN66" i="2"/>
  <c r="GM66" i="2"/>
  <c r="GL66" i="2"/>
  <c r="FQ66" i="2"/>
  <c r="FQ67" i="2" s="1"/>
  <c r="HH66" i="2"/>
  <c r="EA66" i="2"/>
  <c r="EB66" i="2"/>
  <c r="DH66" i="2"/>
  <c r="EC66" i="2"/>
  <c r="DG66" i="2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FR67" i="2" s="1"/>
  <c r="ES67" i="2"/>
  <c r="EV67" i="2" s="1"/>
  <c r="ET67" i="2"/>
  <c r="EW67" i="2" s="1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I67" i="2" s="1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EX67" i="2" s="1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GM67" i="2" l="1"/>
  <c r="GL67" i="2"/>
  <c r="GN67" i="2"/>
  <c r="HG67" i="2"/>
  <c r="EA67" i="2"/>
  <c r="DH67" i="2"/>
  <c r="EC67" i="2"/>
  <c r="EB67" i="2"/>
  <c r="DG67" i="2"/>
  <c r="DF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EW68" i="2" s="1"/>
  <c r="DC68" i="2"/>
  <c r="DD68" i="2"/>
  <c r="CH68" i="2"/>
  <c r="BN68" i="2"/>
  <c r="AS68" i="2"/>
  <c r="AR68" i="2"/>
  <c r="DY68" i="2"/>
  <c r="FN68" i="2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FL68" i="2"/>
  <c r="FC68" i="2"/>
  <c r="HF68" i="2"/>
  <c r="FM68" i="2"/>
  <c r="FS68" i="2" s="1"/>
  <c r="FB68" i="2"/>
  <c r="ER68" i="2"/>
  <c r="EX68" i="2" s="1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Q68" i="2" l="1"/>
  <c r="GL68" i="2"/>
  <c r="EV68" i="2"/>
  <c r="GM68" i="2"/>
  <c r="FR68" i="2"/>
  <c r="GN68" i="2"/>
  <c r="HH68" i="2"/>
  <c r="HG68" i="2"/>
  <c r="EC68" i="2"/>
  <c r="EB68" i="2"/>
  <c r="DH68" i="2"/>
  <c r="EA68" i="2"/>
  <c r="DG68" i="2"/>
  <c r="DF68" i="2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R69" i="2" s="1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EX69" i="2" s="1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GN69" i="2" l="1"/>
  <c r="GM69" i="2"/>
  <c r="HH69" i="2"/>
  <c r="HG69" i="2"/>
  <c r="EV69" i="2"/>
  <c r="EW69" i="2"/>
  <c r="GL69" i="2"/>
  <c r="FQ69" i="2"/>
  <c r="FQ70" i="2" s="1"/>
  <c r="EA69" i="2"/>
  <c r="EC69" i="2"/>
  <c r="EB69" i="2"/>
  <c r="DH69" i="2"/>
  <c r="DG69" i="2"/>
  <c r="DF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HH70" i="2" s="1"/>
  <c r="GI70" i="2"/>
  <c r="GJ70" i="2"/>
  <c r="ET70" i="2"/>
  <c r="FO70" i="2"/>
  <c r="FR70" i="2" s="1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I70" i="2" s="1"/>
  <c r="HB70" i="2"/>
  <c r="GS70" i="2"/>
  <c r="GR70" i="2"/>
  <c r="GK70" i="2"/>
  <c r="GH70" i="2"/>
  <c r="FL70" i="2"/>
  <c r="FC70" i="2"/>
  <c r="FW70" i="2"/>
  <c r="FM70" i="2"/>
  <c r="FP70" i="2"/>
  <c r="FS70" i="2" s="1"/>
  <c r="DZ70" i="2"/>
  <c r="DL70" i="2"/>
  <c r="DE70" i="2"/>
  <c r="FX70" i="2"/>
  <c r="EQ70" i="2"/>
  <c r="EH70" i="2"/>
  <c r="CJ70" i="2"/>
  <c r="CR70" i="2"/>
  <c r="GG70" i="2"/>
  <c r="FB70" i="2"/>
  <c r="ER70" i="2"/>
  <c r="EX70" i="2" s="1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GL70" i="2"/>
  <c r="HG70" i="2"/>
  <c r="GN70" i="2"/>
  <c r="GM70" i="2"/>
  <c r="EV70" i="2"/>
  <c r="EC70" i="2"/>
  <c r="EA70" i="2"/>
  <c r="EB70" i="2"/>
  <c r="DH70" i="2"/>
  <c r="DF70" i="2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R71" i="2" s="1"/>
  <c r="FN71" i="2"/>
  <c r="FQ71" i="2" s="1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HI71" i="2" s="1"/>
  <c r="GK71" i="2"/>
  <c r="HB71" i="2"/>
  <c r="GS71" i="2"/>
  <c r="GG71" i="2"/>
  <c r="FX71" i="2"/>
  <c r="GR71" i="2"/>
  <c r="GH71" i="2"/>
  <c r="FL71" i="2"/>
  <c r="FC71" i="2"/>
  <c r="FW71" i="2"/>
  <c r="FM71" i="2"/>
  <c r="FS71" i="2" s="1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V71" i="2"/>
  <c r="EV72" i="2" s="1"/>
  <c r="GN71" i="2"/>
  <c r="GM71" i="2"/>
  <c r="GL71" i="2"/>
  <c r="HG71" i="2"/>
  <c r="EC71" i="2"/>
  <c r="EB71" i="2"/>
  <c r="EA71" i="2"/>
  <c r="DH71" i="2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FR72" i="2" s="1"/>
  <c r="HE72" i="2"/>
  <c r="HH72" i="2" s="1"/>
  <c r="GJ72" i="2"/>
  <c r="GM72" i="2" s="1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FS72" i="2" s="1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W72" i="2" l="1"/>
  <c r="FQ72" i="2"/>
  <c r="GL72" i="2"/>
  <c r="GN72" i="2"/>
  <c r="HG72" i="2"/>
  <c r="EC72" i="2"/>
  <c r="EB72" i="2"/>
  <c r="EA72" i="2"/>
  <c r="DH72" i="2"/>
  <c r="DF72" i="2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HH73" i="2" s="1"/>
  <c r="GJ73" i="2"/>
  <c r="GM73" i="2" s="1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S73" i="2" s="1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GL73" i="2" l="1"/>
  <c r="EV73" i="2"/>
  <c r="EW73" i="2"/>
  <c r="FQ73" i="2"/>
  <c r="GN73" i="2"/>
  <c r="FR73" i="2"/>
  <c r="HG73" i="2"/>
  <c r="EB73" i="2"/>
  <c r="EC73" i="2"/>
  <c r="EA73" i="2"/>
  <c r="DH73" i="2"/>
  <c r="DF73" i="2"/>
  <c r="DG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HH74" i="2" s="1"/>
  <c r="GI74" i="2"/>
  <c r="GJ74" i="2"/>
  <c r="ET74" i="2"/>
  <c r="EW74" i="2" s="1"/>
  <c r="FN74" i="2"/>
  <c r="FQ74" i="2" s="1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I74" i="2" s="1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EX74" i="2" s="1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GM74" i="2" l="1"/>
  <c r="GN74" i="2"/>
  <c r="HG74" i="2"/>
  <c r="GL74" i="2"/>
  <c r="EV74" i="2"/>
  <c r="EV75" i="2" s="1"/>
  <c r="DH74" i="2"/>
  <c r="EA74" i="2"/>
  <c r="EC74" i="2"/>
  <c r="EB74" i="2"/>
  <c r="DF74" i="2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GL75" i="2" s="1"/>
  <c r="FO75" i="2"/>
  <c r="FR75" i="2" s="1"/>
  <c r="ES75" i="2"/>
  <c r="GJ75" i="2"/>
  <c r="GM75" i="2" s="1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Q75" i="2"/>
  <c r="EW75" i="2"/>
  <c r="DH75" i="2"/>
  <c r="GN75" i="2"/>
  <c r="EA75" i="2"/>
  <c r="EB75" i="2"/>
  <c r="EC75" i="2"/>
  <c r="DF75" i="2"/>
  <c r="DG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GL76" i="2" s="1"/>
  <c r="ES76" i="2"/>
  <c r="DX76" i="2"/>
  <c r="DD76" i="2"/>
  <c r="CI76" i="2"/>
  <c r="BM76" i="2"/>
  <c r="GJ76" i="2"/>
  <c r="FN76" i="2"/>
  <c r="FQ76" i="2" s="1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EV76" i="2" s="1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GN76" i="2" l="1"/>
  <c r="EW76" i="2"/>
  <c r="FR76" i="2"/>
  <c r="EX76" i="2"/>
  <c r="HG76" i="2"/>
  <c r="GM76" i="2"/>
  <c r="EB76" i="2"/>
  <c r="EA76" i="2"/>
  <c r="DH76" i="2"/>
  <c r="EC76" i="2"/>
  <c r="DG76" i="2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FQ77" i="2" s="1"/>
  <c r="HD77" i="2"/>
  <c r="HG77" i="2" s="1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V77" i="2" l="1"/>
  <c r="EX77" i="2"/>
  <c r="FR77" i="2"/>
  <c r="GL77" i="2"/>
  <c r="GN77" i="2"/>
  <c r="GM77" i="2"/>
  <c r="HH77" i="2"/>
  <c r="HH78" i="2" s="1"/>
  <c r="EB77" i="2"/>
  <c r="EA77" i="2"/>
  <c r="EC77" i="2"/>
  <c r="DH77" i="2"/>
  <c r="DG77" i="2"/>
  <c r="DF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G78" i="2" s="1"/>
  <c r="HE78" i="2"/>
  <c r="GI78" i="2"/>
  <c r="GJ78" i="2"/>
  <c r="ET78" i="2"/>
  <c r="EW78" i="2" s="1"/>
  <c r="FO78" i="2"/>
  <c r="FR78" i="2" s="1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FS78" i="2" s="1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GM78" i="2" l="1"/>
  <c r="GN78" i="2"/>
  <c r="EX78" i="2"/>
  <c r="GL78" i="2"/>
  <c r="EV78" i="2"/>
  <c r="FQ78" i="2"/>
  <c r="EC78" i="2"/>
  <c r="EB78" i="2"/>
  <c r="EA78" i="2"/>
  <c r="DH78" i="2"/>
  <c r="DF78" i="2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FQ79" i="2" s="1"/>
  <c r="DY79" i="2"/>
  <c r="FO79" i="2"/>
  <c r="FR79" i="2" s="1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FS79" i="2" s="1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V79" i="2" l="1"/>
  <c r="GM79" i="2"/>
  <c r="EX79" i="2"/>
  <c r="GL79" i="2"/>
  <c r="GN79" i="2"/>
  <c r="EW79" i="2"/>
  <c r="HG79" i="2"/>
  <c r="EC79" i="2"/>
  <c r="EA79" i="2"/>
  <c r="EB79" i="2"/>
  <c r="DH79" i="2"/>
  <c r="DF79" i="2"/>
  <c r="DG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FR80" i="2" s="1"/>
  <c r="GJ80" i="2"/>
  <c r="GI80" i="2"/>
  <c r="ES80" i="2"/>
  <c r="EV80" i="2" s="1"/>
  <c r="DX80" i="2"/>
  <c r="FN80" i="2"/>
  <c r="ET80" i="2"/>
  <c r="EW80" i="2" s="1"/>
  <c r="DY80" i="2"/>
  <c r="CI80" i="2"/>
  <c r="BM80" i="2"/>
  <c r="DC80" i="2"/>
  <c r="AR80" i="2"/>
  <c r="CH80" i="2"/>
  <c r="DD80" i="2"/>
  <c r="BN80" i="2"/>
  <c r="AS80" i="2"/>
  <c r="X80" i="2"/>
  <c r="W80" i="2"/>
  <c r="HC80" i="2"/>
  <c r="HI80" i="2" s="1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FS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I81" i="2" l="1"/>
  <c r="HG80" i="2"/>
  <c r="FQ80" i="2"/>
  <c r="GN80" i="2"/>
  <c r="GL80" i="2"/>
  <c r="GM80" i="2"/>
  <c r="EX80" i="2"/>
  <c r="EC80" i="2"/>
  <c r="EA80" i="2"/>
  <c r="EB80" i="2"/>
  <c r="DH80" i="2"/>
  <c r="DG80" i="2"/>
  <c r="DF80" i="2"/>
  <c r="AU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GL81" i="2" s="1"/>
  <c r="DD81" i="2"/>
  <c r="ET81" i="2"/>
  <c r="EW81" i="2" s="1"/>
  <c r="CH81" i="2"/>
  <c r="AS81" i="2"/>
  <c r="DY81" i="2"/>
  <c r="CI81" i="2"/>
  <c r="BM81" i="2"/>
  <c r="X81" i="2"/>
  <c r="AR81" i="2"/>
  <c r="DX81" i="2"/>
  <c r="BN81" i="2"/>
  <c r="ES81" i="2"/>
  <c r="EV81" i="2" s="1"/>
  <c r="W81" i="2"/>
  <c r="DC81" i="2"/>
  <c r="HF81" i="2"/>
  <c r="HC81" i="2"/>
  <c r="GR81" i="2"/>
  <c r="GK81" i="2"/>
  <c r="FW81" i="2"/>
  <c r="FM81" i="2"/>
  <c r="FS81" i="2" s="1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FQ81" i="2" l="1"/>
  <c r="FR81" i="2"/>
  <c r="FR82" i="2" s="1"/>
  <c r="EX81" i="2"/>
  <c r="GM81" i="2"/>
  <c r="HG81" i="2"/>
  <c r="HH81" i="2"/>
  <c r="GN81" i="2"/>
  <c r="EC81" i="2"/>
  <c r="EB81" i="2"/>
  <c r="EA81" i="2"/>
  <c r="AW81" i="2"/>
  <c r="DH81" i="2"/>
  <c r="DG81" i="2"/>
  <c r="DF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EW82" i="2" s="1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I82" i="2" s="1"/>
  <c r="HF82" i="2"/>
  <c r="HB82" i="2"/>
  <c r="GS82" i="2"/>
  <c r="GR82" i="2"/>
  <c r="GH82" i="2"/>
  <c r="FL82" i="2"/>
  <c r="FC82" i="2"/>
  <c r="FW82" i="2"/>
  <c r="FM82" i="2"/>
  <c r="FS82" i="2" s="1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GN82" i="2" l="1"/>
  <c r="HG82" i="2"/>
  <c r="FQ82" i="2"/>
  <c r="GL82" i="2"/>
  <c r="EX82" i="2"/>
  <c r="GM82" i="2"/>
  <c r="EV82" i="2"/>
  <c r="HH82" i="2"/>
  <c r="EC82" i="2"/>
  <c r="EB82" i="2"/>
  <c r="EA82" i="2"/>
  <c r="DH82" i="2"/>
  <c r="DG82" i="2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FR83" i="2" s="1"/>
  <c r="ES83" i="2"/>
  <c r="EV83" i="2" s="1"/>
  <c r="ET83" i="2"/>
  <c r="DY83" i="2"/>
  <c r="DX83" i="2"/>
  <c r="DC83" i="2"/>
  <c r="DD83" i="2"/>
  <c r="BN83" i="2"/>
  <c r="GJ83" i="2"/>
  <c r="GM83" i="2" s="1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FL83" i="2"/>
  <c r="FC83" i="2"/>
  <c r="FW83" i="2"/>
  <c r="FM83" i="2"/>
  <c r="FS83" i="2" s="1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Q83" i="2" l="1"/>
  <c r="GL83" i="2"/>
  <c r="EX83" i="2"/>
  <c r="HH83" i="2"/>
  <c r="HG83" i="2"/>
  <c r="GN83" i="2"/>
  <c r="EW83" i="2"/>
  <c r="EC83" i="2"/>
  <c r="EA83" i="2"/>
  <c r="EB83" i="2"/>
  <c r="DH83" i="2"/>
  <c r="DF83" i="2"/>
  <c r="DG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GM84" i="2" s="1"/>
  <c r="ES84" i="2"/>
  <c r="HE84" i="2"/>
  <c r="HH84" i="2" s="1"/>
  <c r="DX84" i="2"/>
  <c r="CI84" i="2"/>
  <c r="BM84" i="2"/>
  <c r="GI84" i="2"/>
  <c r="ET84" i="2"/>
  <c r="DC84" i="2"/>
  <c r="CH84" i="2"/>
  <c r="BN84" i="2"/>
  <c r="AS84" i="2"/>
  <c r="AR84" i="2"/>
  <c r="FN84" i="2"/>
  <c r="FQ84" i="2" s="1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R84" i="2" l="1"/>
  <c r="GN84" i="2"/>
  <c r="GN85" i="2" s="1"/>
  <c r="EX84" i="2"/>
  <c r="EV84" i="2"/>
  <c r="HG84" i="2"/>
  <c r="EW84" i="2"/>
  <c r="GL84" i="2"/>
  <c r="EB84" i="2"/>
  <c r="EA84" i="2"/>
  <c r="EC84" i="2"/>
  <c r="DH84" i="2"/>
  <c r="DF84" i="2"/>
  <c r="DG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GM85" i="2" s="1"/>
  <c r="HD85" i="2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HI85" i="2" s="1"/>
  <c r="GR85" i="2"/>
  <c r="HC85" i="2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FR85" i="2"/>
  <c r="GL85" i="2"/>
  <c r="FQ85" i="2"/>
  <c r="FQ86" i="2" s="1"/>
  <c r="HG85" i="2"/>
  <c r="EX85" i="2"/>
  <c r="GN86" i="2"/>
  <c r="DH85" i="2"/>
  <c r="EA85" i="2"/>
  <c r="EC85" i="2"/>
  <c r="EB85" i="2"/>
  <c r="DF85" i="2"/>
  <c r="DG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EW86" i="2" s="1"/>
  <c r="FO86" i="2"/>
  <c r="FN86" i="2"/>
  <c r="ES86" i="2"/>
  <c r="EV86" i="2" s="1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FL86" i="2"/>
  <c r="FC86" i="2"/>
  <c r="FW86" i="2"/>
  <c r="FM86" i="2"/>
  <c r="FS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X86" i="2" l="1"/>
  <c r="HG86" i="2"/>
  <c r="FR86" i="2"/>
  <c r="GM86" i="2"/>
  <c r="GL86" i="2"/>
  <c r="HH86" i="2"/>
  <c r="EC86" i="2"/>
  <c r="DH86" i="2"/>
  <c r="EB86" i="2"/>
  <c r="EA86" i="2"/>
  <c r="DF86" i="2"/>
  <c r="DG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HH87" i="2" s="1"/>
  <c r="GI87" i="2"/>
  <c r="GL87" i="2" s="1"/>
  <c r="GJ87" i="2"/>
  <c r="GM87" i="2" s="1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GN87" i="2" s="1"/>
  <c r="FL87" i="2"/>
  <c r="FC87" i="2"/>
  <c r="FW87" i="2"/>
  <c r="FM87" i="2"/>
  <c r="FS87" i="2" s="1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FQ87" i="2" l="1"/>
  <c r="HG87" i="2"/>
  <c r="DH87" i="2"/>
  <c r="FR87" i="2"/>
  <c r="EW87" i="2"/>
  <c r="EV87" i="2"/>
  <c r="EX87" i="2"/>
  <c r="EA87" i="2"/>
  <c r="EC87" i="2"/>
  <c r="EB87" i="2"/>
  <c r="DG87" i="2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M88" i="2" s="1"/>
  <c r="GI88" i="2"/>
  <c r="GL88" i="2" s="1"/>
  <c r="ES88" i="2"/>
  <c r="EV88" i="2" s="1"/>
  <c r="DX88" i="2"/>
  <c r="HE88" i="2"/>
  <c r="HH88" i="2" s="1"/>
  <c r="FN88" i="2"/>
  <c r="ET88" i="2"/>
  <c r="EW88" i="2" s="1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HI88" i="2" s="1"/>
  <c r="GR88" i="2"/>
  <c r="GK88" i="2"/>
  <c r="HB88" i="2"/>
  <c r="GS88" i="2"/>
  <c r="FP88" i="2"/>
  <c r="GG88" i="2"/>
  <c r="FX88" i="2"/>
  <c r="GH88" i="2"/>
  <c r="GN88" i="2" s="1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X88" i="2" l="1"/>
  <c r="FQ88" i="2"/>
  <c r="FR88" i="2"/>
  <c r="HG88" i="2"/>
  <c r="EA88" i="2"/>
  <c r="EB88" i="2"/>
  <c r="DH88" i="2"/>
  <c r="EC88" i="2"/>
  <c r="DG88" i="2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HH89" i="2" s="1"/>
  <c r="GJ89" i="2"/>
  <c r="FO89" i="2"/>
  <c r="FR89" i="2" s="1"/>
  <c r="FN89" i="2"/>
  <c r="GI89" i="2"/>
  <c r="DD89" i="2"/>
  <c r="HD89" i="2"/>
  <c r="ES89" i="2"/>
  <c r="EV89" i="2" s="1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GN89" i="2" s="1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EW89" i="2"/>
  <c r="GL89" i="2"/>
  <c r="FQ89" i="2"/>
  <c r="EX89" i="2"/>
  <c r="GM89" i="2"/>
  <c r="DH89" i="2"/>
  <c r="EC89" i="2"/>
  <c r="EA89" i="2"/>
  <c r="EB89" i="2"/>
  <c r="DF89" i="2"/>
  <c r="DG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HH90" i="2" s="1"/>
  <c r="GI90" i="2"/>
  <c r="GL90" i="2" s="1"/>
  <c r="GJ90" i="2"/>
  <c r="ET90" i="2"/>
  <c r="FN90" i="2"/>
  <c r="FQ90" i="2" s="1"/>
  <c r="FO90" i="2"/>
  <c r="FR90" i="2" s="1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GN90" i="2" s="1"/>
  <c r="FL90" i="2"/>
  <c r="FC90" i="2"/>
  <c r="GK90" i="2"/>
  <c r="FW90" i="2"/>
  <c r="FM90" i="2"/>
  <c r="FS90" i="2" s="1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V90" i="2"/>
  <c r="EX90" i="2"/>
  <c r="EW90" i="2"/>
  <c r="GM90" i="2"/>
  <c r="EC90" i="2"/>
  <c r="DH90" i="2"/>
  <c r="EA90" i="2"/>
  <c r="EB90" i="2"/>
  <c r="DF90" i="2"/>
  <c r="DG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FR91" i="2" s="1"/>
  <c r="ES91" i="2"/>
  <c r="GJ91" i="2"/>
  <c r="ET91" i="2"/>
  <c r="DY91" i="2"/>
  <c r="FN91" i="2"/>
  <c r="FQ91" i="2" s="1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GN91" i="2" s="1"/>
  <c r="FL91" i="2"/>
  <c r="FC91" i="2"/>
  <c r="GR91" i="2"/>
  <c r="FW91" i="2"/>
  <c r="FM91" i="2"/>
  <c r="FS91" i="2" s="1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W91" i="2" l="1"/>
  <c r="GM91" i="2"/>
  <c r="EV91" i="2"/>
  <c r="EV92" i="2" s="1"/>
  <c r="GL91" i="2"/>
  <c r="EX91" i="2"/>
  <c r="HH91" i="2"/>
  <c r="HG91" i="2"/>
  <c r="DH91" i="2"/>
  <c r="EC91" i="2"/>
  <c r="EA91" i="2"/>
  <c r="EB91" i="2"/>
  <c r="DG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GL92" i="2" s="1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GN92" i="2" s="1"/>
  <c r="FL92" i="2"/>
  <c r="FC92" i="2"/>
  <c r="FW92" i="2"/>
  <c r="FB92" i="2"/>
  <c r="ER92" i="2"/>
  <c r="DV92" i="2"/>
  <c r="DM92" i="2"/>
  <c r="DA92" i="2"/>
  <c r="EU92" i="2"/>
  <c r="EG92" i="2"/>
  <c r="DW92" i="2"/>
  <c r="DB92" i="2"/>
  <c r="DH92" i="2" s="1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H92" i="2"/>
  <c r="FR92" i="2"/>
  <c r="HG92" i="2"/>
  <c r="EW92" i="2"/>
  <c r="FQ92" i="2"/>
  <c r="GM92" i="2"/>
  <c r="EB92" i="2"/>
  <c r="EC92" i="2"/>
  <c r="EA92" i="2"/>
  <c r="DF92" i="2"/>
  <c r="DG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HG93" i="2" s="1"/>
  <c r="GI93" i="2"/>
  <c r="FO93" i="2"/>
  <c r="FR93" i="2" s="1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GN93" i="2" s="1"/>
  <c r="FL93" i="2"/>
  <c r="FC93" i="2"/>
  <c r="FB93" i="2"/>
  <c r="ER93" i="2"/>
  <c r="EV93" i="2" s="1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GL93" i="2" l="1"/>
  <c r="GM93" i="2"/>
  <c r="EX93" i="2"/>
  <c r="HH93" i="2"/>
  <c r="EW93" i="2"/>
  <c r="FQ93" i="2"/>
  <c r="AW93" i="2"/>
  <c r="EB93" i="2"/>
  <c r="EC93" i="2"/>
  <c r="EA93" i="2"/>
  <c r="DH93" i="2"/>
  <c r="DG93" i="2"/>
  <c r="DF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EW94" i="2" s="1"/>
  <c r="FO94" i="2"/>
  <c r="FR94" i="2" s="1"/>
  <c r="FN94" i="2"/>
  <c r="FQ94" i="2" s="1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I94" i="2" s="1"/>
  <c r="HF94" i="2"/>
  <c r="HB94" i="2"/>
  <c r="GS94" i="2"/>
  <c r="GR94" i="2"/>
  <c r="GH94" i="2"/>
  <c r="GN94" i="2" s="1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GL94" i="2" l="1"/>
  <c r="EX94" i="2"/>
  <c r="HH94" i="2"/>
  <c r="GM94" i="2"/>
  <c r="HG94" i="2"/>
  <c r="EV94" i="2"/>
  <c r="EC94" i="2"/>
  <c r="EB94" i="2"/>
  <c r="EA94" i="2"/>
  <c r="DH94" i="2"/>
  <c r="DF94" i="2"/>
  <c r="DG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GM95" i="2" s="1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FR95" i="2" s="1"/>
  <c r="DD95" i="2"/>
  <c r="CI95" i="2"/>
  <c r="AR95" i="2"/>
  <c r="X95" i="2"/>
  <c r="HC95" i="2"/>
  <c r="HF95" i="2"/>
  <c r="HI95" i="2" s="1"/>
  <c r="GK95" i="2"/>
  <c r="HB95" i="2"/>
  <c r="GS95" i="2"/>
  <c r="GG95" i="2"/>
  <c r="FX95" i="2"/>
  <c r="GH95" i="2"/>
  <c r="GN95" i="2" s="1"/>
  <c r="FL95" i="2"/>
  <c r="FC95" i="2"/>
  <c r="FW95" i="2"/>
  <c r="FM95" i="2"/>
  <c r="FS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GN96" i="2" l="1"/>
  <c r="EV95" i="2"/>
  <c r="EX95" i="2"/>
  <c r="EW95" i="2"/>
  <c r="GL95" i="2"/>
  <c r="HH95" i="2"/>
  <c r="HG95" i="2"/>
  <c r="DH95" i="2"/>
  <c r="EB95" i="2"/>
  <c r="EC95" i="2"/>
  <c r="EA95" i="2"/>
  <c r="DF95" i="2"/>
  <c r="DG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HH96" i="2" s="1"/>
  <c r="FO96" i="2"/>
  <c r="GJ96" i="2"/>
  <c r="GM96" i="2" s="1"/>
  <c r="GI96" i="2"/>
  <c r="GL96" i="2" s="1"/>
  <c r="ES96" i="2"/>
  <c r="EV96" i="2" s="1"/>
  <c r="DX96" i="2"/>
  <c r="FN96" i="2"/>
  <c r="FQ96" i="2" s="1"/>
  <c r="ET96" i="2"/>
  <c r="EW96" i="2" s="1"/>
  <c r="DY96" i="2"/>
  <c r="CI96" i="2"/>
  <c r="BM96" i="2"/>
  <c r="DC96" i="2"/>
  <c r="AR96" i="2"/>
  <c r="CH96" i="2"/>
  <c r="BN96" i="2"/>
  <c r="AS96" i="2"/>
  <c r="DD96" i="2"/>
  <c r="X96" i="2"/>
  <c r="W96" i="2"/>
  <c r="HC96" i="2"/>
  <c r="HI96" i="2" s="1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X96" i="2" l="1"/>
  <c r="FR96" i="2"/>
  <c r="HG96" i="2"/>
  <c r="EB96" i="2"/>
  <c r="DH96" i="2"/>
  <c r="EA96" i="2"/>
  <c r="EC96" i="2"/>
  <c r="DF96" i="2"/>
  <c r="DG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H97" i="2" s="1"/>
  <c r="HD97" i="2"/>
  <c r="GJ97" i="2"/>
  <c r="FO97" i="2"/>
  <c r="FN97" i="2"/>
  <c r="GI97" i="2"/>
  <c r="GL97" i="2" s="1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FS97" i="2" s="1"/>
  <c r="HB97" i="2"/>
  <c r="GS97" i="2"/>
  <c r="FP97" i="2"/>
  <c r="GG97" i="2"/>
  <c r="FX97" i="2"/>
  <c r="EQ97" i="2"/>
  <c r="EH97" i="2"/>
  <c r="CJ97" i="2"/>
  <c r="FB97" i="2"/>
  <c r="ER97" i="2"/>
  <c r="EW97" i="2" s="1"/>
  <c r="DV97" i="2"/>
  <c r="DM97" i="2"/>
  <c r="DA97" i="2"/>
  <c r="GH97" i="2"/>
  <c r="GN97" i="2" s="1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Q97" i="2" l="1"/>
  <c r="FR97" i="2"/>
  <c r="EV97" i="2"/>
  <c r="GM97" i="2"/>
  <c r="HG97" i="2"/>
  <c r="EX97" i="2"/>
  <c r="EX98" i="2" s="1"/>
  <c r="AW97" i="2"/>
  <c r="EC97" i="2"/>
  <c r="EB97" i="2"/>
  <c r="EA97" i="2"/>
  <c r="DH97" i="2"/>
  <c r="DG97" i="2"/>
  <c r="DF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HH98" i="2" s="1"/>
  <c r="GI98" i="2"/>
  <c r="GJ98" i="2"/>
  <c r="ET98" i="2"/>
  <c r="EW98" i="2" s="1"/>
  <c r="FN98" i="2"/>
  <c r="FQ98" i="2" s="1"/>
  <c r="DD98" i="2"/>
  <c r="BN98" i="2"/>
  <c r="CH98" i="2"/>
  <c r="AS98" i="2"/>
  <c r="DY98" i="2"/>
  <c r="DC98" i="2"/>
  <c r="W98" i="2"/>
  <c r="X98" i="2"/>
  <c r="ES98" i="2"/>
  <c r="EV98" i="2" s="1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GN98" i="2" s="1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GM98" i="2" l="1"/>
  <c r="GL98" i="2"/>
  <c r="HG98" i="2"/>
  <c r="FR98" i="2"/>
  <c r="EB98" i="2"/>
  <c r="EC98" i="2"/>
  <c r="EA98" i="2"/>
  <c r="DH98" i="2"/>
  <c r="DG98" i="2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FQ99" i="2" s="1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GN99" i="2" s="1"/>
  <c r="FL99" i="2"/>
  <c r="FC99" i="2"/>
  <c r="FW99" i="2"/>
  <c r="FM99" i="2"/>
  <c r="EU99" i="2"/>
  <c r="EG99" i="2"/>
  <c r="DW99" i="2"/>
  <c r="DB99" i="2"/>
  <c r="FP99" i="2"/>
  <c r="FS99" i="2" s="1"/>
  <c r="DZ99" i="2"/>
  <c r="DL99" i="2"/>
  <c r="DE99" i="2"/>
  <c r="EQ99" i="2"/>
  <c r="EH99" i="2"/>
  <c r="CJ99" i="2"/>
  <c r="CR99" i="2"/>
  <c r="FB99" i="2"/>
  <c r="DV99" i="2"/>
  <c r="DA99" i="2"/>
  <c r="ER99" i="2"/>
  <c r="EW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HG99" i="2"/>
  <c r="EX99" i="2"/>
  <c r="GM99" i="2"/>
  <c r="EV99" i="2"/>
  <c r="FR99" i="2"/>
  <c r="GL99" i="2"/>
  <c r="EC99" i="2"/>
  <c r="DH99" i="2"/>
  <c r="EA99" i="2"/>
  <c r="EB99" i="2"/>
  <c r="DG99" i="2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GM100" i="2" s="1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HI100" i="2" s="1"/>
  <c r="GR100" i="2"/>
  <c r="GK100" i="2"/>
  <c r="HB100" i="2"/>
  <c r="GS100" i="2"/>
  <c r="FP100" i="2"/>
  <c r="HF100" i="2"/>
  <c r="GG100" i="2"/>
  <c r="FX100" i="2"/>
  <c r="GH100" i="2"/>
  <c r="GN100" i="2" s="1"/>
  <c r="FL100" i="2"/>
  <c r="FC100" i="2"/>
  <c r="FM100" i="2"/>
  <c r="FS100" i="2" s="1"/>
  <c r="FB100" i="2"/>
  <c r="ER100" i="2"/>
  <c r="EW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HH100" i="2" l="1"/>
  <c r="EV100" i="2"/>
  <c r="FR100" i="2"/>
  <c r="HG100" i="2"/>
  <c r="EX100" i="2"/>
  <c r="EX101" i="2" s="1"/>
  <c r="FQ100" i="2"/>
  <c r="GL100" i="2"/>
  <c r="DH100" i="2"/>
  <c r="EA100" i="2"/>
  <c r="EC100" i="2"/>
  <c r="EB100" i="2"/>
  <c r="DG100" i="2"/>
  <c r="DF100" i="2"/>
  <c r="AU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EV101" i="2" s="1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EW101" i="2" s="1"/>
  <c r="DV101" i="2"/>
  <c r="DM101" i="2"/>
  <c r="DA101" i="2"/>
  <c r="EU101" i="2"/>
  <c r="EG101" i="2"/>
  <c r="DW101" i="2"/>
  <c r="DB101" i="2"/>
  <c r="GH101" i="2"/>
  <c r="GN101" i="2" s="1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FQ101" i="2" l="1"/>
  <c r="FR101" i="2"/>
  <c r="GL101" i="2"/>
  <c r="GM101" i="2"/>
  <c r="HH101" i="2"/>
  <c r="HG101" i="2"/>
  <c r="DH101" i="2"/>
  <c r="EC101" i="2"/>
  <c r="EB101" i="2"/>
  <c r="EA101" i="2"/>
  <c r="AW101" i="2"/>
  <c r="DF101" i="2"/>
  <c r="DG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HH102" i="2" s="1"/>
  <c r="GI102" i="2"/>
  <c r="GL102" i="2" s="1"/>
  <c r="GJ102" i="2"/>
  <c r="GM102" i="2" s="1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GN102" i="2" s="1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W102" i="2" s="1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V102" i="2" l="1"/>
  <c r="FQ102" i="2"/>
  <c r="DH102" i="2"/>
  <c r="FR102" i="2"/>
  <c r="EX102" i="2"/>
  <c r="EP3" i="2"/>
  <c r="GF3" i="2"/>
  <c r="FK3" i="2"/>
  <c r="HA3" i="2"/>
  <c r="HG102" i="2"/>
  <c r="EC102" i="2"/>
  <c r="EA102" i="2"/>
  <c r="EB102" i="2"/>
  <c r="AU102" i="2"/>
  <c r="DF102" i="2"/>
  <c r="DG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HH103" i="2" s="1"/>
  <c r="GI103" i="2"/>
  <c r="GL103" i="2" s="1"/>
  <c r="GJ103" i="2"/>
  <c r="GM103" i="2" s="1"/>
  <c r="ES103" i="2"/>
  <c r="EV103" i="2" s="1"/>
  <c r="ET103" i="2"/>
  <c r="EW103" i="2" s="1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GN103" i="2" s="1"/>
  <c r="FL103" i="2"/>
  <c r="FC103" i="2"/>
  <c r="FW103" i="2"/>
  <c r="FM103" i="2"/>
  <c r="FS103" i="2" s="1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G103" i="2" l="1"/>
  <c r="EX103" i="2"/>
  <c r="FQ103" i="2"/>
  <c r="DH103" i="2"/>
  <c r="FR103" i="2"/>
  <c r="EA103" i="2"/>
  <c r="AW103" i="2"/>
  <c r="EB103" i="2"/>
  <c r="EC103" i="2"/>
  <c r="DF103" i="2"/>
  <c r="DG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HG104" i="2" s="1"/>
  <c r="FO104" i="2"/>
  <c r="HE104" i="2"/>
  <c r="HH104" i="2" s="1"/>
  <c r="GJ104" i="2"/>
  <c r="GM104" i="2" s="1"/>
  <c r="GI104" i="2"/>
  <c r="GL104" i="2" s="1"/>
  <c r="ES104" i="2"/>
  <c r="EV104" i="2" s="1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GN104" i="2" s="1"/>
  <c r="FL104" i="2"/>
  <c r="FC104" i="2"/>
  <c r="FB104" i="2"/>
  <c r="ER104" i="2"/>
  <c r="EW104" i="2" s="1"/>
  <c r="DV104" i="2"/>
  <c r="DM104" i="2"/>
  <c r="DA104" i="2"/>
  <c r="FM104" i="2"/>
  <c r="FS104" i="2" s="1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DH104" i="2" l="1"/>
  <c r="EX104" i="2"/>
  <c r="FR104" i="2"/>
  <c r="FQ104" i="2"/>
  <c r="AU104" i="2"/>
  <c r="EB104" i="2"/>
  <c r="EA104" i="2"/>
  <c r="EC104" i="2"/>
  <c r="DG104" i="2"/>
  <c r="DF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GL105" i="2" s="1"/>
  <c r="DY105" i="2"/>
  <c r="BN105" i="2"/>
  <c r="ET105" i="2"/>
  <c r="DD105" i="2"/>
  <c r="DC105" i="2"/>
  <c r="W105" i="2"/>
  <c r="HF105" i="2"/>
  <c r="GR105" i="2"/>
  <c r="GK105" i="2"/>
  <c r="HC105" i="2"/>
  <c r="HI105" i="2" s="1"/>
  <c r="FW105" i="2"/>
  <c r="FM105" i="2"/>
  <c r="FS105" i="2" s="1"/>
  <c r="FP105" i="2"/>
  <c r="GG105" i="2"/>
  <c r="FX105" i="2"/>
  <c r="GH105" i="2"/>
  <c r="GN105" i="2" s="1"/>
  <c r="FL105" i="2"/>
  <c r="FC105" i="2"/>
  <c r="EQ105" i="2"/>
  <c r="EH105" i="2"/>
  <c r="CJ105" i="2"/>
  <c r="FB105" i="2"/>
  <c r="ER105" i="2"/>
  <c r="EW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HG105" i="2"/>
  <c r="GM105" i="2"/>
  <c r="FR105" i="2"/>
  <c r="HH105" i="2"/>
  <c r="EV105" i="2"/>
  <c r="FQ105" i="2"/>
  <c r="FQ106" i="2" s="1"/>
  <c r="EB105" i="2"/>
  <c r="EA105" i="2"/>
  <c r="EC105" i="2"/>
  <c r="DH105" i="2"/>
  <c r="DG105" i="2"/>
  <c r="DF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HH106" i="2" s="1"/>
  <c r="GI106" i="2"/>
  <c r="GL106" i="2" s="1"/>
  <c r="GJ106" i="2"/>
  <c r="GM106" i="2" s="1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FL106" i="2"/>
  <c r="FC106" i="2"/>
  <c r="GK106" i="2"/>
  <c r="GN106" i="2" s="1"/>
  <c r="FW106" i="2"/>
  <c r="FM106" i="2"/>
  <c r="FS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EW106" i="2" s="1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X106" i="2" l="1"/>
  <c r="HG106" i="2"/>
  <c r="EV106" i="2"/>
  <c r="FR106" i="2"/>
  <c r="AU106" i="2"/>
  <c r="EC106" i="2"/>
  <c r="EA106" i="2"/>
  <c r="EB106" i="2"/>
  <c r="DH106" i="2"/>
  <c r="DF106" i="2"/>
  <c r="DG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HH107" i="2" s="1"/>
  <c r="GI107" i="2"/>
  <c r="FO107" i="2"/>
  <c r="ES107" i="2"/>
  <c r="GJ107" i="2"/>
  <c r="ET107" i="2"/>
  <c r="DY107" i="2"/>
  <c r="FN107" i="2"/>
  <c r="FQ107" i="2" s="1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GN107" i="2" s="1"/>
  <c r="FL107" i="2"/>
  <c r="FC107" i="2"/>
  <c r="GR107" i="2"/>
  <c r="FW107" i="2"/>
  <c r="FM107" i="2"/>
  <c r="FS107" i="2" s="1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GM107" i="2" l="1"/>
  <c r="EW107" i="2"/>
  <c r="EV107" i="2"/>
  <c r="FR107" i="2"/>
  <c r="EX107" i="2"/>
  <c r="GL107" i="2"/>
  <c r="EA107" i="2"/>
  <c r="EB107" i="2"/>
  <c r="EC107" i="2"/>
  <c r="DH107" i="2"/>
  <c r="DG107" i="2"/>
  <c r="DF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HH108" i="2" s="1"/>
  <c r="FO108" i="2"/>
  <c r="GI108" i="2"/>
  <c r="GL108" i="2" s="1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GM108" i="2" s="1"/>
  <c r="X108" i="2"/>
  <c r="W108" i="2"/>
  <c r="HC108" i="2"/>
  <c r="HI108" i="2" s="1"/>
  <c r="GR108" i="2"/>
  <c r="HF108" i="2"/>
  <c r="GK108" i="2"/>
  <c r="HB108" i="2"/>
  <c r="GS108" i="2"/>
  <c r="FP108" i="2"/>
  <c r="GG108" i="2"/>
  <c r="FX108" i="2"/>
  <c r="GH108" i="2"/>
  <c r="GN108" i="2" s="1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V108" i="2"/>
  <c r="FR108" i="2"/>
  <c r="HG108" i="2"/>
  <c r="EW108" i="2"/>
  <c r="FQ108" i="2"/>
  <c r="EB108" i="2"/>
  <c r="EC108" i="2"/>
  <c r="EA108" i="2"/>
  <c r="DH108" i="2"/>
  <c r="DG108" i="2"/>
  <c r="DF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HH109" i="2" s="1"/>
  <c r="GJ109" i="2"/>
  <c r="GI109" i="2"/>
  <c r="FO109" i="2"/>
  <c r="FN109" i="2"/>
  <c r="HD109" i="2"/>
  <c r="HG109" i="2" s="1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I109" i="2" s="1"/>
  <c r="HC109" i="2"/>
  <c r="GR109" i="2"/>
  <c r="GK109" i="2"/>
  <c r="HB109" i="2"/>
  <c r="GS109" i="2"/>
  <c r="FW109" i="2"/>
  <c r="FM109" i="2"/>
  <c r="FS109" i="2" s="1"/>
  <c r="FP109" i="2"/>
  <c r="GG109" i="2"/>
  <c r="FX109" i="2"/>
  <c r="EQ109" i="2"/>
  <c r="EH109" i="2"/>
  <c r="CJ109" i="2"/>
  <c r="GH109" i="2"/>
  <c r="GN109" i="2" s="1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W109" i="2" l="1"/>
  <c r="EX109" i="2"/>
  <c r="FR109" i="2"/>
  <c r="EV109" i="2"/>
  <c r="FQ109" i="2"/>
  <c r="GL109" i="2"/>
  <c r="GM109" i="2"/>
  <c r="EC109" i="2"/>
  <c r="EA109" i="2"/>
  <c r="EB109" i="2"/>
  <c r="DH109" i="2"/>
  <c r="DG109" i="2"/>
  <c r="DF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L110" i="2" s="1"/>
  <c r="GJ110" i="2"/>
  <c r="GM110" i="2" s="1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G110" i="2" s="1"/>
  <c r="HF110" i="2"/>
  <c r="HB110" i="2"/>
  <c r="GS110" i="2"/>
  <c r="GR110" i="2"/>
  <c r="GH110" i="2"/>
  <c r="GN110" i="2" s="1"/>
  <c r="FL110" i="2"/>
  <c r="FC110" i="2"/>
  <c r="FW110" i="2"/>
  <c r="FM110" i="2"/>
  <c r="FS110" i="2" s="1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X110" i="2" l="1"/>
  <c r="EV110" i="2"/>
  <c r="FR110" i="2"/>
  <c r="HI110" i="2"/>
  <c r="FQ110" i="2"/>
  <c r="EW110" i="2"/>
  <c r="EC110" i="2"/>
  <c r="EA110" i="2"/>
  <c r="EB110" i="2"/>
  <c r="DH110" i="2"/>
  <c r="DF110" i="2"/>
  <c r="DG110" i="2"/>
  <c r="AU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FQ111" i="2" s="1"/>
  <c r="DY111" i="2"/>
  <c r="FO111" i="2"/>
  <c r="FR111" i="2" s="1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GN111" i="2" s="1"/>
  <c r="FL111" i="2"/>
  <c r="FC111" i="2"/>
  <c r="FW111" i="2"/>
  <c r="FM111" i="2"/>
  <c r="FP111" i="2"/>
  <c r="FS111" i="2" s="1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W111" i="2" l="1"/>
  <c r="EV111" i="2"/>
  <c r="EV112" i="2" s="1"/>
  <c r="GM111" i="2"/>
  <c r="GL111" i="2"/>
  <c r="HI111" i="2"/>
  <c r="HH111" i="2"/>
  <c r="HG111" i="2"/>
  <c r="EX111" i="2"/>
  <c r="EC111" i="2"/>
  <c r="EA111" i="2"/>
  <c r="EB111" i="2"/>
  <c r="AW111" i="2"/>
  <c r="DH111" i="2"/>
  <c r="DG111" i="2"/>
  <c r="DF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HH112" i="2" s="1"/>
  <c r="FO112" i="2"/>
  <c r="GJ112" i="2"/>
  <c r="GM112" i="2" s="1"/>
  <c r="GI112" i="2"/>
  <c r="GL112" i="2" s="1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GN112" i="2" s="1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FR112" i="2"/>
  <c r="HG112" i="2"/>
  <c r="EW112" i="2"/>
  <c r="FQ112" i="2"/>
  <c r="EC112" i="2"/>
  <c r="EA112" i="2"/>
  <c r="EB112" i="2"/>
  <c r="DH112" i="2"/>
  <c r="DG112" i="2"/>
  <c r="DF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R113" i="2" s="1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V113" i="2" s="1"/>
  <c r="DV113" i="2"/>
  <c r="DM113" i="2"/>
  <c r="DA113" i="2"/>
  <c r="GH113" i="2"/>
  <c r="GN113" i="2" s="1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GL113" i="2"/>
  <c r="FQ113" i="2"/>
  <c r="HI113" i="2"/>
  <c r="EX113" i="2"/>
  <c r="GM113" i="2"/>
  <c r="HG113" i="2"/>
  <c r="HH113" i="2"/>
  <c r="HH114" i="2" s="1"/>
  <c r="AW113" i="2"/>
  <c r="EC113" i="2"/>
  <c r="EA113" i="2"/>
  <c r="EB113" i="2"/>
  <c r="DH113" i="2"/>
  <c r="DG113" i="2"/>
  <c r="DF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L114" i="2" s="1"/>
  <c r="GJ114" i="2"/>
  <c r="GM114" i="2" s="1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GN114" i="2" s="1"/>
  <c r="FL114" i="2"/>
  <c r="FC114" i="2"/>
  <c r="FW114" i="2"/>
  <c r="FM114" i="2"/>
  <c r="FS114" i="2" s="1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EX114" i="2"/>
  <c r="HI114" i="2"/>
  <c r="FR114" i="2"/>
  <c r="FQ114" i="2"/>
  <c r="FQ115" i="2" s="1"/>
  <c r="EW114" i="2"/>
  <c r="EC114" i="2"/>
  <c r="AU114" i="2"/>
  <c r="EA114" i="2"/>
  <c r="EB114" i="2"/>
  <c r="DH114" i="2"/>
  <c r="DG114" i="2"/>
  <c r="DF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HH115" i="2" s="1"/>
  <c r="GI115" i="2"/>
  <c r="GL115" i="2" s="1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GN115" i="2" s="1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G115" i="2" l="1"/>
  <c r="EW115" i="2"/>
  <c r="HI115" i="2"/>
  <c r="GM115" i="2"/>
  <c r="EX115" i="2"/>
  <c r="EV115" i="2"/>
  <c r="FR115" i="2"/>
  <c r="EC115" i="2"/>
  <c r="EA115" i="2"/>
  <c r="EB115" i="2"/>
  <c r="AW115" i="2"/>
  <c r="DH115" i="2"/>
  <c r="DG115" i="2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EW116" i="2" s="1"/>
  <c r="DC116" i="2"/>
  <c r="DD116" i="2"/>
  <c r="CH116" i="2"/>
  <c r="BN116" i="2"/>
  <c r="AS116" i="2"/>
  <c r="AR116" i="2"/>
  <c r="FN116" i="2"/>
  <c r="FQ116" i="2" s="1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GN116" i="2" s="1"/>
  <c r="FL116" i="2"/>
  <c r="FC116" i="2"/>
  <c r="FM116" i="2"/>
  <c r="FS116" i="2" s="1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GM116" i="2"/>
  <c r="HH116" i="2"/>
  <c r="EX116" i="2"/>
  <c r="FR116" i="2"/>
  <c r="HI116" i="2"/>
  <c r="HG116" i="2"/>
  <c r="GL116" i="2"/>
  <c r="EC116" i="2"/>
  <c r="EA116" i="2"/>
  <c r="EB116" i="2"/>
  <c r="DH116" i="2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HH117" i="2" s="1"/>
  <c r="GJ117" i="2"/>
  <c r="HD117" i="2"/>
  <c r="GI117" i="2"/>
  <c r="FO117" i="2"/>
  <c r="FN117" i="2"/>
  <c r="ET117" i="2"/>
  <c r="EW117" i="2" s="1"/>
  <c r="ES117" i="2"/>
  <c r="EV117" i="2" s="1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S117" i="2" s="1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GN117" i="2" s="1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I118" i="2" s="1"/>
  <c r="EX117" i="2"/>
  <c r="FQ117" i="2"/>
  <c r="FR117" i="2"/>
  <c r="GL117" i="2"/>
  <c r="HG117" i="2"/>
  <c r="HG118" i="2" s="1"/>
  <c r="GM117" i="2"/>
  <c r="GM118" i="2" s="1"/>
  <c r="EC117" i="2"/>
  <c r="EB117" i="2"/>
  <c r="EA117" i="2"/>
  <c r="DH117" i="2"/>
  <c r="DF117" i="2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EW118" i="2" s="1"/>
  <c r="FO118" i="2"/>
  <c r="FR118" i="2" s="1"/>
  <c r="FN118" i="2"/>
  <c r="FQ118" i="2" s="1"/>
  <c r="ES118" i="2"/>
  <c r="EV118" i="2" s="1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GN118" i="2" s="1"/>
  <c r="FL118" i="2"/>
  <c r="FC118" i="2"/>
  <c r="FW118" i="2"/>
  <c r="FM118" i="2"/>
  <c r="FP118" i="2"/>
  <c r="FS118" i="2" s="1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GL118" i="2" l="1"/>
  <c r="EX118" i="2"/>
  <c r="EC118" i="2"/>
  <c r="EB118" i="2"/>
  <c r="EA118" i="2"/>
  <c r="DH118" i="2"/>
  <c r="DF118" i="2"/>
  <c r="DG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EW119" i="2" s="1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GN119" i="2" s="1"/>
  <c r="FL119" i="2"/>
  <c r="FC119" i="2"/>
  <c r="FW119" i="2"/>
  <c r="FM119" i="2"/>
  <c r="FS119" i="2" s="1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GM119" i="2" l="1"/>
  <c r="GM120" i="2" s="1"/>
  <c r="FQ119" i="2"/>
  <c r="EX119" i="2"/>
  <c r="EV119" i="2"/>
  <c r="HG119" i="2"/>
  <c r="GL119" i="2"/>
  <c r="HH119" i="2"/>
  <c r="DH119" i="2"/>
  <c r="EC119" i="2"/>
  <c r="EA119" i="2"/>
  <c r="EB119" i="2"/>
  <c r="DG119" i="2"/>
  <c r="DF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HG120" i="2" s="1"/>
  <c r="FO120" i="2"/>
  <c r="FR120" i="2" s="1"/>
  <c r="GJ120" i="2"/>
  <c r="GI120" i="2"/>
  <c r="HE120" i="2"/>
  <c r="ES120" i="2"/>
  <c r="DX120" i="2"/>
  <c r="FN120" i="2"/>
  <c r="ET120" i="2"/>
  <c r="EW120" i="2" s="1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FS120" i="2" s="1"/>
  <c r="GG120" i="2"/>
  <c r="FX120" i="2"/>
  <c r="GH120" i="2"/>
  <c r="GN120" i="2" s="1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V120" i="2"/>
  <c r="HH120" i="2"/>
  <c r="GL120" i="2"/>
  <c r="EX120" i="2"/>
  <c r="AU120" i="2"/>
  <c r="EC120" i="2"/>
  <c r="EB120" i="2"/>
  <c r="EA120" i="2"/>
  <c r="DH120" i="2"/>
  <c r="DG120" i="2"/>
  <c r="DF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HH121" i="2" s="1"/>
  <c r="GJ121" i="2"/>
  <c r="FO121" i="2"/>
  <c r="HD121" i="2"/>
  <c r="FN121" i="2"/>
  <c r="GI121" i="2"/>
  <c r="GL121" i="2" s="1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FS121" i="2" s="1"/>
  <c r="HC121" i="2"/>
  <c r="HI121" i="2" s="1"/>
  <c r="FP121" i="2"/>
  <c r="GG121" i="2"/>
  <c r="FX121" i="2"/>
  <c r="HB121" i="2"/>
  <c r="GS121" i="2"/>
  <c r="GH121" i="2"/>
  <c r="GN121" i="2" s="1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V121" i="2" l="1"/>
  <c r="EX121" i="2"/>
  <c r="FQ121" i="2"/>
  <c r="EW121" i="2"/>
  <c r="HG121" i="2"/>
  <c r="FR121" i="2"/>
  <c r="GM121" i="2"/>
  <c r="AW121" i="2"/>
  <c r="EC121" i="2"/>
  <c r="EA121" i="2"/>
  <c r="EB121" i="2"/>
  <c r="DH121" i="2"/>
  <c r="DF121" i="2"/>
  <c r="DG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Q122" i="2" s="1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GN122" i="2" s="1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GM122" i="2" l="1"/>
  <c r="GL122" i="2"/>
  <c r="EV122" i="2"/>
  <c r="HG122" i="2"/>
  <c r="FR122" i="2"/>
  <c r="EX122" i="2"/>
  <c r="AU122" i="2"/>
  <c r="EC122" i="2"/>
  <c r="EB122" i="2"/>
  <c r="EA122" i="2"/>
  <c r="DH122" i="2"/>
  <c r="DG122" i="2"/>
  <c r="DF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FR123" i="2" s="1"/>
  <c r="ES123" i="2"/>
  <c r="GJ123" i="2"/>
  <c r="ET123" i="2"/>
  <c r="DY123" i="2"/>
  <c r="FN123" i="2"/>
  <c r="FQ123" i="2" s="1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I123" i="2" s="1"/>
  <c r="HF123" i="2"/>
  <c r="GK123" i="2"/>
  <c r="HB123" i="2"/>
  <c r="GS123" i="2"/>
  <c r="GG123" i="2"/>
  <c r="FX123" i="2"/>
  <c r="GH123" i="2"/>
  <c r="GN123" i="2" s="1"/>
  <c r="FL123" i="2"/>
  <c r="FC123" i="2"/>
  <c r="GR123" i="2"/>
  <c r="FW123" i="2"/>
  <c r="FM123" i="2"/>
  <c r="FS123" i="2" s="1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EW123" i="2" s="1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X123" i="2" l="1"/>
  <c r="EV123" i="2"/>
  <c r="HG123" i="2"/>
  <c r="GM123" i="2"/>
  <c r="GL123" i="2"/>
  <c r="HH123" i="2"/>
  <c r="HG124" i="2"/>
  <c r="EC123" i="2"/>
  <c r="EA123" i="2"/>
  <c r="EB123" i="2"/>
  <c r="DH123" i="2"/>
  <c r="DG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GL124" i="2" s="1"/>
  <c r="ES124" i="2"/>
  <c r="GJ124" i="2"/>
  <c r="GM124" i="2" s="1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GN124" i="2" s="1"/>
  <c r="FL124" i="2"/>
  <c r="FC124" i="2"/>
  <c r="FW124" i="2"/>
  <c r="FB124" i="2"/>
  <c r="ER124" i="2"/>
  <c r="EW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V124" i="2"/>
  <c r="FR124" i="2"/>
  <c r="HH124" i="2"/>
  <c r="FQ124" i="2"/>
  <c r="EA124" i="2"/>
  <c r="EC124" i="2"/>
  <c r="EB124" i="2"/>
  <c r="DH124" i="2"/>
  <c r="DF124" i="2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HG125" i="2" s="1"/>
  <c r="GI125" i="2"/>
  <c r="FO125" i="2"/>
  <c r="FR125" i="2" s="1"/>
  <c r="FN125" i="2"/>
  <c r="FQ125" i="2" s="1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GN125" i="2" s="1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GL125" i="2" l="1"/>
  <c r="HH125" i="2"/>
  <c r="GM125" i="2"/>
  <c r="EX125" i="2"/>
  <c r="EV125" i="2"/>
  <c r="EW125" i="2"/>
  <c r="EC125" i="2"/>
  <c r="EB125" i="2"/>
  <c r="EA125" i="2"/>
  <c r="DH125" i="2"/>
  <c r="DG125" i="2"/>
  <c r="DF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HH126" i="2" s="1"/>
  <c r="GI126" i="2"/>
  <c r="GL126" i="2" s="1"/>
  <c r="GJ126" i="2"/>
  <c r="GM126" i="2" s="1"/>
  <c r="ET126" i="2"/>
  <c r="EW126" i="2" s="1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FS126" i="2" s="1"/>
  <c r="GK126" i="2"/>
  <c r="GN126" i="2" s="1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X126" i="2" l="1"/>
  <c r="EV126" i="2"/>
  <c r="HG126" i="2"/>
  <c r="FQ126" i="2"/>
  <c r="FR126" i="2"/>
  <c r="EB126" i="2"/>
  <c r="EA126" i="2"/>
  <c r="EC126" i="2"/>
  <c r="DH126" i="2"/>
  <c r="DG126" i="2"/>
  <c r="DF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L127" i="2" s="1"/>
  <c r="GJ127" i="2"/>
  <c r="GM127" i="2" s="1"/>
  <c r="ES127" i="2"/>
  <c r="ET127" i="2"/>
  <c r="EW127" i="2" s="1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GN127" i="2" s="1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H127" i="2"/>
  <c r="FR127" i="2"/>
  <c r="HG127" i="2"/>
  <c r="EX127" i="2"/>
  <c r="FQ127" i="2"/>
  <c r="HH128" i="2"/>
  <c r="EC127" i="2"/>
  <c r="EA127" i="2"/>
  <c r="EB127" i="2"/>
  <c r="DH127" i="2"/>
  <c r="DG127" i="2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EW128" i="2" s="1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I128" i="2" s="1"/>
  <c r="HB128" i="2"/>
  <c r="GS128" i="2"/>
  <c r="FP128" i="2"/>
  <c r="GG128" i="2"/>
  <c r="FX128" i="2"/>
  <c r="GH128" i="2"/>
  <c r="GN128" i="2" s="1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GL128" i="2" l="1"/>
  <c r="EX128" i="2"/>
  <c r="GM128" i="2"/>
  <c r="FR128" i="2"/>
  <c r="HG128" i="2"/>
  <c r="FQ128" i="2"/>
  <c r="DH128" i="2"/>
  <c r="EB128" i="2"/>
  <c r="EA128" i="2"/>
  <c r="EC128" i="2"/>
  <c r="DF128" i="2"/>
  <c r="DG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GM129" i="2" s="1"/>
  <c r="FO129" i="2"/>
  <c r="FN129" i="2"/>
  <c r="GI129" i="2"/>
  <c r="ET129" i="2"/>
  <c r="EW129" i="2" s="1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FS129" i="2" s="1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GN129" i="2" s="1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GL129" i="2" l="1"/>
  <c r="FQ129" i="2"/>
  <c r="EV129" i="2"/>
  <c r="FR129" i="2"/>
  <c r="HG129" i="2"/>
  <c r="HH129" i="2"/>
  <c r="EX129" i="2"/>
  <c r="EC129" i="2"/>
  <c r="DH129" i="2"/>
  <c r="EB129" i="2"/>
  <c r="EA129" i="2"/>
  <c r="DF129" i="2"/>
  <c r="DG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L130" i="2" s="1"/>
  <c r="GJ130" i="2"/>
  <c r="GM130" i="2" s="1"/>
  <c r="ET130" i="2"/>
  <c r="EW130" i="2" s="1"/>
  <c r="FN130" i="2"/>
  <c r="DD130" i="2"/>
  <c r="BN130" i="2"/>
  <c r="CH130" i="2"/>
  <c r="AS130" i="2"/>
  <c r="DY130" i="2"/>
  <c r="DC130" i="2"/>
  <c r="W130" i="2"/>
  <c r="FO130" i="2"/>
  <c r="FR130" i="2" s="1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N130" i="2" s="1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G130" i="2"/>
  <c r="EV130" i="2"/>
  <c r="FQ130" i="2"/>
  <c r="FQ131" i="2" s="1"/>
  <c r="EB130" i="2"/>
  <c r="EA130" i="2"/>
  <c r="DH130" i="2"/>
  <c r="EC130" i="2"/>
  <c r="DF130" i="2"/>
  <c r="DG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HG131" i="2" s="1"/>
  <c r="GI131" i="2"/>
  <c r="GL131" i="2" s="1"/>
  <c r="FO131" i="2"/>
  <c r="FR131" i="2" s="1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GN131" i="2" s="1"/>
  <c r="FL131" i="2"/>
  <c r="FC131" i="2"/>
  <c r="FW131" i="2"/>
  <c r="FM131" i="2"/>
  <c r="FS131" i="2" s="1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H131" i="2" l="1"/>
  <c r="EW131" i="2"/>
  <c r="GM131" i="2"/>
  <c r="EV131" i="2"/>
  <c r="EX131" i="2"/>
  <c r="EB131" i="2"/>
  <c r="EA131" i="2"/>
  <c r="DH131" i="2"/>
  <c r="EC131" i="2"/>
  <c r="DF131" i="2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FR132" i="2" s="1"/>
  <c r="GJ132" i="2"/>
  <c r="ES132" i="2"/>
  <c r="EV132" i="2" s="1"/>
  <c r="DX132" i="2"/>
  <c r="GI132" i="2"/>
  <c r="GL132" i="2" s="1"/>
  <c r="CI132" i="2"/>
  <c r="BM132" i="2"/>
  <c r="ET132" i="2"/>
  <c r="EW132" i="2" s="1"/>
  <c r="DC132" i="2"/>
  <c r="DD132" i="2"/>
  <c r="CH132" i="2"/>
  <c r="BN132" i="2"/>
  <c r="AS132" i="2"/>
  <c r="AR132" i="2"/>
  <c r="DY132" i="2"/>
  <c r="FN132" i="2"/>
  <c r="FQ132" i="2" s="1"/>
  <c r="X132" i="2"/>
  <c r="W132" i="2"/>
  <c r="HC132" i="2"/>
  <c r="HI132" i="2" s="1"/>
  <c r="GR132" i="2"/>
  <c r="GK132" i="2"/>
  <c r="HB132" i="2"/>
  <c r="GS132" i="2"/>
  <c r="FP132" i="2"/>
  <c r="FS132" i="2" s="1"/>
  <c r="GG132" i="2"/>
  <c r="FX132" i="2"/>
  <c r="GH132" i="2"/>
  <c r="GN132" i="2" s="1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X132" i="2" l="1"/>
  <c r="GM132" i="2"/>
  <c r="HH132" i="2"/>
  <c r="EC132" i="2"/>
  <c r="EB132" i="2"/>
  <c r="FQ133" i="2"/>
  <c r="EA132" i="2"/>
  <c r="DH132" i="2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GL133" i="2" s="1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S133" i="2" s="1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GN133" i="2" s="1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FR133" i="2" l="1"/>
  <c r="EX133" i="2"/>
  <c r="HG133" i="2"/>
  <c r="GM133" i="2"/>
  <c r="DH133" i="2"/>
  <c r="EC133" i="2"/>
  <c r="EA133" i="2"/>
  <c r="EB133" i="2"/>
  <c r="DF133" i="2"/>
  <c r="DG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HH134" i="2" s="1"/>
  <c r="GI134" i="2"/>
  <c r="GL134" i="2" s="1"/>
  <c r="GJ134" i="2"/>
  <c r="ET134" i="2"/>
  <c r="FO134" i="2"/>
  <c r="FR134" i="2" s="1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GN134" i="2" s="1"/>
  <c r="FL134" i="2"/>
  <c r="FC134" i="2"/>
  <c r="FW134" i="2"/>
  <c r="FM134" i="2"/>
  <c r="FS134" i="2" s="1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FQ134" i="2"/>
  <c r="EX134" i="2"/>
  <c r="EW134" i="2"/>
  <c r="GM134" i="2"/>
  <c r="FQ135" i="2"/>
  <c r="EC134" i="2"/>
  <c r="EB134" i="2"/>
  <c r="EA134" i="2"/>
  <c r="DH134" i="2"/>
  <c r="DG134" i="2"/>
  <c r="DF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L135" i="2" s="1"/>
  <c r="GJ135" i="2"/>
  <c r="GM135" i="2" s="1"/>
  <c r="ES135" i="2"/>
  <c r="EV135" i="2" s="1"/>
  <c r="HD135" i="2"/>
  <c r="HG135" i="2" s="1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GN135" i="2" s="1"/>
  <c r="FL135" i="2"/>
  <c r="FC135" i="2"/>
  <c r="FW135" i="2"/>
  <c r="FM135" i="2"/>
  <c r="FS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H135" i="2"/>
  <c r="FR135" i="2"/>
  <c r="EW135" i="2"/>
  <c r="EC135" i="2"/>
  <c r="FQ136" i="2"/>
  <c r="EA135" i="2"/>
  <c r="EB135" i="2"/>
  <c r="DH135" i="2"/>
  <c r="DG135" i="2"/>
  <c r="DF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FR136" i="2" s="1"/>
  <c r="HE136" i="2"/>
  <c r="HH136" i="2" s="1"/>
  <c r="GJ136" i="2"/>
  <c r="GI136" i="2"/>
  <c r="ES136" i="2"/>
  <c r="EV136" i="2" s="1"/>
  <c r="DX136" i="2"/>
  <c r="FN136" i="2"/>
  <c r="ET136" i="2"/>
  <c r="EW136" i="2" s="1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GN136" i="2" s="1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GN137" i="2" l="1"/>
  <c r="HG136" i="2"/>
  <c r="EX136" i="2"/>
  <c r="GL136" i="2"/>
  <c r="GM136" i="2"/>
  <c r="EC136" i="2"/>
  <c r="EB136" i="2"/>
  <c r="EA136" i="2"/>
  <c r="DH136" i="2"/>
  <c r="DF136" i="2"/>
  <c r="DG136" i="2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HG137" i="2" s="1"/>
  <c r="GJ137" i="2"/>
  <c r="GM137" i="2" s="1"/>
  <c r="FO137" i="2"/>
  <c r="FN137" i="2"/>
  <c r="GI137" i="2"/>
  <c r="GL137" i="2" s="1"/>
  <c r="ES137" i="2"/>
  <c r="DX137" i="2"/>
  <c r="CH137" i="2"/>
  <c r="AS137" i="2"/>
  <c r="CI137" i="2"/>
  <c r="BM137" i="2"/>
  <c r="X137" i="2"/>
  <c r="AR137" i="2"/>
  <c r="BN137" i="2"/>
  <c r="ET137" i="2"/>
  <c r="EW137" i="2" s="1"/>
  <c r="DD137" i="2"/>
  <c r="DC137" i="2"/>
  <c r="W137" i="2"/>
  <c r="DY137" i="2"/>
  <c r="HF137" i="2"/>
  <c r="GR137" i="2"/>
  <c r="GK137" i="2"/>
  <c r="FW137" i="2"/>
  <c r="FM137" i="2"/>
  <c r="FS137" i="2" s="1"/>
  <c r="FP137" i="2"/>
  <c r="HC137" i="2"/>
  <c r="HI137" i="2" s="1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R137" i="2" l="1"/>
  <c r="FQ137" i="2"/>
  <c r="FQ138" i="2" s="1"/>
  <c r="EX137" i="2"/>
  <c r="EV137" i="2"/>
  <c r="EC137" i="2"/>
  <c r="EA137" i="2"/>
  <c r="EB137" i="2"/>
  <c r="DH137" i="2"/>
  <c r="DF137" i="2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HH138" i="2" s="1"/>
  <c r="GJ138" i="2"/>
  <c r="GI138" i="2"/>
  <c r="ET138" i="2"/>
  <c r="EW138" i="2" s="1"/>
  <c r="FN138" i="2"/>
  <c r="FO138" i="2"/>
  <c r="FR138" i="2" s="1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I138" i="2" s="1"/>
  <c r="HB138" i="2"/>
  <c r="GS138" i="2"/>
  <c r="GR138" i="2"/>
  <c r="GH138" i="2"/>
  <c r="GN138" i="2" s="1"/>
  <c r="FL138" i="2"/>
  <c r="FC138" i="2"/>
  <c r="GK138" i="2"/>
  <c r="FW138" i="2"/>
  <c r="FM138" i="2"/>
  <c r="FP138" i="2"/>
  <c r="FS138" i="2" s="1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GL138" i="2" l="1"/>
  <c r="EV138" i="2"/>
  <c r="HG138" i="2"/>
  <c r="EX138" i="2"/>
  <c r="GM138" i="2"/>
  <c r="EC138" i="2"/>
  <c r="EB138" i="2"/>
  <c r="EA138" i="2"/>
  <c r="DH138" i="2"/>
  <c r="DG138" i="2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FR139" i="2" s="1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GN139" i="2" s="1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Q139" i="2" l="1"/>
  <c r="GM139" i="2"/>
  <c r="EX139" i="2"/>
  <c r="GL139" i="2"/>
  <c r="EV139" i="2"/>
  <c r="HG139" i="2"/>
  <c r="HH139" i="2"/>
  <c r="EA139" i="2"/>
  <c r="EB139" i="2"/>
  <c r="EC139" i="2"/>
  <c r="DH139" i="2"/>
  <c r="DG139" i="2"/>
  <c r="DF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FQ140" i="2" s="1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HI140" i="2" s="1"/>
  <c r="GK140" i="2"/>
  <c r="HB140" i="2"/>
  <c r="GS140" i="2"/>
  <c r="FP140" i="2"/>
  <c r="GG140" i="2"/>
  <c r="FX140" i="2"/>
  <c r="GH140" i="2"/>
  <c r="GN140" i="2" s="1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GM140" i="2" l="1"/>
  <c r="EX140" i="2"/>
  <c r="GL140" i="2"/>
  <c r="EW140" i="2"/>
  <c r="HH140" i="2"/>
  <c r="EV140" i="2"/>
  <c r="FR140" i="2"/>
  <c r="HG140" i="2"/>
  <c r="EC140" i="2"/>
  <c r="EA140" i="2"/>
  <c r="EB140" i="2"/>
  <c r="DH140" i="2"/>
  <c r="DG140" i="2"/>
  <c r="DF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FQ141" i="2" s="1"/>
  <c r="GI141" i="2"/>
  <c r="ET141" i="2"/>
  <c r="EW141" i="2" s="1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GN141" i="2" s="1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R141" i="2" l="1"/>
  <c r="EX141" i="2"/>
  <c r="HG141" i="2"/>
  <c r="GL141" i="2"/>
  <c r="GM141" i="2"/>
  <c r="HH141" i="2"/>
  <c r="EV141" i="2"/>
  <c r="EC141" i="2"/>
  <c r="EB141" i="2"/>
  <c r="EA141" i="2"/>
  <c r="DH141" i="2"/>
  <c r="DF141" i="2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HH142" i="2" s="1"/>
  <c r="GJ142" i="2"/>
  <c r="ET142" i="2"/>
  <c r="EW142" i="2" s="1"/>
  <c r="FO142" i="2"/>
  <c r="FR142" i="2" s="1"/>
  <c r="FN142" i="2"/>
  <c r="FQ142" i="2" s="1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GN142" i="2" s="1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GM142" i="2" l="1"/>
  <c r="GL142" i="2"/>
  <c r="HG142" i="2"/>
  <c r="EX142" i="2"/>
  <c r="EX143" i="2" s="1"/>
  <c r="EV142" i="2"/>
  <c r="EC142" i="2"/>
  <c r="EA142" i="2"/>
  <c r="EB142" i="2"/>
  <c r="DH142" i="2"/>
  <c r="DG142" i="2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HG143" i="2" s="1"/>
  <c r="GJ143" i="2"/>
  <c r="GM143" i="2" s="1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GN143" i="2" s="1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HH143" i="2" l="1"/>
  <c r="FQ143" i="2"/>
  <c r="FR143" i="2"/>
  <c r="EW143" i="2"/>
  <c r="EV143" i="2"/>
  <c r="GL143" i="2"/>
  <c r="EC143" i="2"/>
  <c r="EB143" i="2"/>
  <c r="EA143" i="2"/>
  <c r="DH143" i="2"/>
  <c r="DG143" i="2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FQ144" i="2" s="1"/>
  <c r="ET144" i="2"/>
  <c r="EW144" i="2" s="1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GN144" i="2" s="1"/>
  <c r="FL144" i="2"/>
  <c r="FC144" i="2"/>
  <c r="FB144" i="2"/>
  <c r="ER144" i="2"/>
  <c r="DV144" i="2"/>
  <c r="DM144" i="2"/>
  <c r="DA144" i="2"/>
  <c r="FW144" i="2"/>
  <c r="EU144" i="2"/>
  <c r="EX144" i="2" s="1"/>
  <c r="EG144" i="2"/>
  <c r="DW144" i="2"/>
  <c r="DB144" i="2"/>
  <c r="DZ144" i="2"/>
  <c r="DL144" i="2"/>
  <c r="DE144" i="2"/>
  <c r="FM144" i="2"/>
  <c r="FS144" i="2" s="1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V144" i="2" l="1"/>
  <c r="GL144" i="2"/>
  <c r="HG144" i="2"/>
  <c r="GM144" i="2"/>
  <c r="FR144" i="2"/>
  <c r="HH144" i="2"/>
  <c r="EC144" i="2"/>
  <c r="EB144" i="2"/>
  <c r="EA144" i="2"/>
  <c r="DH144" i="2"/>
  <c r="DG144" i="2"/>
  <c r="DF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EW145" i="2" s="1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HI145" i="2" s="1"/>
  <c r="GR145" i="2"/>
  <c r="GK145" i="2"/>
  <c r="FW145" i="2"/>
  <c r="FM145" i="2"/>
  <c r="FS145" i="2" s="1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GN145" i="2" s="1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GL145" i="2" l="1"/>
  <c r="FQ145" i="2"/>
  <c r="EV145" i="2"/>
  <c r="FR145" i="2"/>
  <c r="GM145" i="2"/>
  <c r="HG145" i="2"/>
  <c r="HH145" i="2"/>
  <c r="EC145" i="2"/>
  <c r="EA145" i="2"/>
  <c r="EB145" i="2"/>
  <c r="DH145" i="2"/>
  <c r="DG145" i="2"/>
  <c r="DF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EW146" i="2" s="1"/>
  <c r="FN146" i="2"/>
  <c r="DD146" i="2"/>
  <c r="BN146" i="2"/>
  <c r="FO146" i="2"/>
  <c r="CH146" i="2"/>
  <c r="ES146" i="2"/>
  <c r="EV146" i="2" s="1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GN146" i="2" s="1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EX146" i="2" s="1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Q146" i="2" l="1"/>
  <c r="GL146" i="2"/>
  <c r="GM146" i="2"/>
  <c r="HH146" i="2"/>
  <c r="HG146" i="2"/>
  <c r="FR146" i="2"/>
  <c r="EC146" i="2"/>
  <c r="EB146" i="2"/>
  <c r="EA146" i="2"/>
  <c r="DH146" i="2"/>
  <c r="DF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GN147" i="2" s="1"/>
  <c r="FL147" i="2"/>
  <c r="FC147" i="2"/>
  <c r="FW147" i="2"/>
  <c r="FM147" i="2"/>
  <c r="FS147" i="2" s="1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H147" i="2" l="1"/>
  <c r="GM147" i="2"/>
  <c r="EV147" i="2"/>
  <c r="FR147" i="2"/>
  <c r="GL147" i="2"/>
  <c r="EW147" i="2"/>
  <c r="FQ147" i="2"/>
  <c r="HG147" i="2"/>
  <c r="HG148" i="2" s="1"/>
  <c r="EB147" i="2"/>
  <c r="EC147" i="2"/>
  <c r="EA147" i="2"/>
  <c r="DH147" i="2"/>
  <c r="DG147" i="2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FR148" i="2" s="1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FQ148" i="2" s="1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GN148" i="2" s="1"/>
  <c r="FL148" i="2"/>
  <c r="FC148" i="2"/>
  <c r="FM148" i="2"/>
  <c r="FS148" i="2" s="1"/>
  <c r="FB148" i="2"/>
  <c r="ER148" i="2"/>
  <c r="EX148" i="2" s="1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W148" i="2" l="1"/>
  <c r="HH148" i="2"/>
  <c r="EV148" i="2"/>
  <c r="GM148" i="2"/>
  <c r="GL148" i="2"/>
  <c r="EC148" i="2"/>
  <c r="EB148" i="2"/>
  <c r="EA148" i="2"/>
  <c r="DH148" i="2"/>
  <c r="DG148" i="2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GL149" i="2" s="1"/>
  <c r="FO149" i="2"/>
  <c r="ET149" i="2"/>
  <c r="EW149" i="2" s="1"/>
  <c r="ES149" i="2"/>
  <c r="EV149" i="2" s="1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HI149" i="2" s="1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GN149" i="2" s="1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FQ149" i="2"/>
  <c r="FR149" i="2"/>
  <c r="GM149" i="2"/>
  <c r="EC149" i="2"/>
  <c r="EB149" i="2"/>
  <c r="EA149" i="2"/>
  <c r="DH149" i="2"/>
  <c r="DG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EW150" i="2" s="1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GN150" i="2" s="1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EX150" i="2" s="1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GL150" i="2"/>
  <c r="FR150" i="2"/>
  <c r="FQ150" i="2"/>
  <c r="GM150" i="2"/>
  <c r="HH150" i="2"/>
  <c r="EC150" i="2"/>
  <c r="EA150" i="2"/>
  <c r="EB150" i="2"/>
  <c r="DH150" i="2"/>
  <c r="DG150" i="2"/>
  <c r="DF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EW151" i="2" s="1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GN151" i="2" s="1"/>
  <c r="FL151" i="2"/>
  <c r="FC151" i="2"/>
  <c r="FW151" i="2"/>
  <c r="FM151" i="2"/>
  <c r="FS151" i="2" s="1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GL151" i="2" l="1"/>
  <c r="EV151" i="2"/>
  <c r="GM151" i="2"/>
  <c r="HH151" i="2"/>
  <c r="HG151" i="2"/>
  <c r="FR151" i="2"/>
  <c r="FQ151" i="2"/>
  <c r="EC151" i="2"/>
  <c r="EA151" i="2"/>
  <c r="EB151" i="2"/>
  <c r="AW151" i="2"/>
  <c r="DH151" i="2"/>
  <c r="DG151" i="2"/>
  <c r="DF151" i="2"/>
  <c r="BQ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M152" i="2" s="1"/>
  <c r="GI152" i="2"/>
  <c r="FO152" i="2"/>
  <c r="ES152" i="2"/>
  <c r="EV152" i="2" s="1"/>
  <c r="DX152" i="2"/>
  <c r="FN152" i="2"/>
  <c r="FQ152" i="2" s="1"/>
  <c r="ET152" i="2"/>
  <c r="EW152" i="2" s="1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GN152" i="2" s="1"/>
  <c r="FL152" i="2"/>
  <c r="FC152" i="2"/>
  <c r="FB152" i="2"/>
  <c r="ER152" i="2"/>
  <c r="EX152" i="2" s="1"/>
  <c r="DV152" i="2"/>
  <c r="DM152" i="2"/>
  <c r="DA152" i="2"/>
  <c r="FM152" i="2"/>
  <c r="FS152" i="2" s="1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FR152" i="2" l="1"/>
  <c r="GL152" i="2"/>
  <c r="HH152" i="2"/>
  <c r="HG152" i="2"/>
  <c r="EC152" i="2"/>
  <c r="EB152" i="2"/>
  <c r="EA152" i="2"/>
  <c r="DH152" i="2"/>
  <c r="DG152" i="2"/>
  <c r="DF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GN153" i="2" s="1"/>
  <c r="FL153" i="2"/>
  <c r="FC153" i="2"/>
  <c r="EQ153" i="2"/>
  <c r="EH153" i="2"/>
  <c r="CJ153" i="2"/>
  <c r="HC153" i="2"/>
  <c r="HI153" i="2" s="1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GM153" i="2" l="1"/>
  <c r="FR153" i="2"/>
  <c r="FQ153" i="2"/>
  <c r="EV153" i="2"/>
  <c r="EW153" i="2"/>
  <c r="HG153" i="2"/>
  <c r="GL153" i="2"/>
  <c r="HH153" i="2"/>
  <c r="EA153" i="2"/>
  <c r="EB153" i="2"/>
  <c r="EC153" i="2"/>
  <c r="DH153" i="2"/>
  <c r="DG153" i="2"/>
  <c r="DF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FS154" i="2" s="1"/>
  <c r="GS154" i="2"/>
  <c r="GG154" i="2"/>
  <c r="FN154" i="2"/>
  <c r="FQ154" i="2" s="1"/>
  <c r="HB154" i="2"/>
  <c r="HC154" i="2"/>
  <c r="HI154" i="2" s="1"/>
  <c r="GI154" i="2"/>
  <c r="GL154" i="2" s="1"/>
  <c r="FP154" i="2"/>
  <c r="HD154" i="2"/>
  <c r="GJ154" i="2"/>
  <c r="HE154" i="2"/>
  <c r="GK154" i="2"/>
  <c r="FB154" i="2"/>
  <c r="HF154" i="2"/>
  <c r="FC154" i="2"/>
  <c r="ER154" i="2"/>
  <c r="EX154" i="2" s="1"/>
  <c r="EH154" i="2"/>
  <c r="DV154" i="2"/>
  <c r="GH154" i="2"/>
  <c r="GN154" i="2" s="1"/>
  <c r="EQ154" i="2"/>
  <c r="ES154" i="2"/>
  <c r="EU154" i="2"/>
  <c r="DZ154" i="2"/>
  <c r="FO154" i="2"/>
  <c r="FR154" i="2" s="1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X150" i="2"/>
  <c r="Z153" i="2"/>
  <c r="Z154" i="2" s="1"/>
  <c r="AC152" i="2"/>
  <c r="EW154" i="2" l="1"/>
  <c r="EV154" i="2"/>
  <c r="HH154" i="2"/>
  <c r="GM154" i="2"/>
  <c r="HG154" i="2"/>
  <c r="AB154" i="2"/>
  <c r="AC154" i="2" s="1"/>
  <c r="EB154" i="2"/>
  <c r="EA154" i="2"/>
  <c r="EC154" i="2"/>
  <c r="DH154" i="2"/>
  <c r="DG154" i="2"/>
  <c r="DF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FS155" i="2" s="1"/>
  <c r="GS155" i="2"/>
  <c r="GG155" i="2"/>
  <c r="FN155" i="2"/>
  <c r="HB155" i="2"/>
  <c r="GH155" i="2"/>
  <c r="GN155" i="2" s="1"/>
  <c r="FO155" i="2"/>
  <c r="HC155" i="2"/>
  <c r="HI155" i="2" s="1"/>
  <c r="HD155" i="2"/>
  <c r="HG155" i="2" s="1"/>
  <c r="GJ155" i="2"/>
  <c r="GM155" i="2" s="1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GL155" i="2" s="1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GO154" i="2"/>
  <c r="FT154" i="2"/>
  <c r="D194" i="2"/>
  <c r="G194" i="2" s="1"/>
  <c r="DI153" i="2"/>
  <c r="FT153" i="2"/>
  <c r="CN153" i="2"/>
  <c r="HJ153" i="2"/>
  <c r="GO153" i="2"/>
  <c r="EY153" i="2"/>
  <c r="ED153" i="2"/>
  <c r="AC153" i="2"/>
  <c r="AX151" i="2"/>
  <c r="EV155" i="2" l="1"/>
  <c r="FR155" i="2"/>
  <c r="FQ155" i="2"/>
  <c r="FQ156" i="2" s="1"/>
  <c r="Z155" i="2"/>
  <c r="ED154" i="2"/>
  <c r="AW155" i="2"/>
  <c r="CN154" i="2"/>
  <c r="DI154" i="2"/>
  <c r="EC155" i="2"/>
  <c r="EB155" i="2"/>
  <c r="EA155" i="2"/>
  <c r="DH155" i="2"/>
  <c r="DG155" i="2"/>
  <c r="DF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GN156" i="2" s="1"/>
  <c r="FO156" i="2"/>
  <c r="HC156" i="2"/>
  <c r="HI156" i="2" s="1"/>
  <c r="GI156" i="2"/>
  <c r="GL156" i="2" s="1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AX152" i="2"/>
  <c r="FR156" i="2" l="1"/>
  <c r="GM156" i="2"/>
  <c r="EV156" i="2"/>
  <c r="EW156" i="2"/>
  <c r="HH156" i="2"/>
  <c r="EC156" i="2"/>
  <c r="ED155" i="2"/>
  <c r="EA156" i="2"/>
  <c r="EB156" i="2"/>
  <c r="DH156" i="2"/>
  <c r="DI155" i="2"/>
  <c r="DF156" i="2"/>
  <c r="DG156" i="2"/>
  <c r="CN155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GN157" i="2" s="1"/>
  <c r="FO157" i="2"/>
  <c r="HC157" i="2"/>
  <c r="HI157" i="2" s="1"/>
  <c r="GI157" i="2"/>
  <c r="GL157" i="2" s="1"/>
  <c r="FP157" i="2"/>
  <c r="HD157" i="2"/>
  <c r="GJ157" i="2"/>
  <c r="HE157" i="2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Q157" i="2" l="1"/>
  <c r="FR157" i="2"/>
  <c r="HH157" i="2"/>
  <c r="EW157" i="2"/>
  <c r="GM157" i="2"/>
  <c r="EV157" i="2"/>
  <c r="HG157" i="2"/>
  <c r="CN156" i="2"/>
  <c r="EC157" i="2"/>
  <c r="EB157" i="2"/>
  <c r="EA157" i="2"/>
  <c r="DH157" i="2"/>
  <c r="DF157" i="2"/>
  <c r="DG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HI158" i="2" s="1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FS158" i="2" s="1"/>
  <c r="GS158" i="2"/>
  <c r="GG158" i="2"/>
  <c r="FN158" i="2"/>
  <c r="HB158" i="2"/>
  <c r="GH158" i="2"/>
  <c r="GN158" i="2" s="1"/>
  <c r="FO158" i="2"/>
  <c r="FR158" i="2" s="1"/>
  <c r="FC158" i="2"/>
  <c r="EH158" i="2"/>
  <c r="DZ158" i="2"/>
  <c r="EQ158" i="2"/>
  <c r="ER158" i="2"/>
  <c r="ET158" i="2"/>
  <c r="EW158" i="2" s="1"/>
  <c r="DV158" i="2"/>
  <c r="EU158" i="2"/>
  <c r="EX158" i="2" s="1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GM158" i="2" l="1"/>
  <c r="HH158" i="2"/>
  <c r="HG158" i="2"/>
  <c r="GL158" i="2"/>
  <c r="FQ158" i="2"/>
  <c r="FQ159" i="2" s="1"/>
  <c r="ED157" i="2"/>
  <c r="EC158" i="2"/>
  <c r="EB158" i="2"/>
  <c r="EA158" i="2"/>
  <c r="DH158" i="2"/>
  <c r="DI157" i="2"/>
  <c r="DG158" i="2"/>
  <c r="DF158" i="2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HG159" i="2" s="1"/>
  <c r="GJ159" i="2"/>
  <c r="HE159" i="2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GN159" i="2" s="1"/>
  <c r="FO159" i="2"/>
  <c r="HC159" i="2"/>
  <c r="HI159" i="2" s="1"/>
  <c r="GI159" i="2"/>
  <c r="GL159" i="2" s="1"/>
  <c r="FP159" i="2"/>
  <c r="EG159" i="2"/>
  <c r="ER159" i="2"/>
  <c r="EX159" i="2" s="1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X160" i="2" l="1"/>
  <c r="GM159" i="2"/>
  <c r="FR159" i="2"/>
  <c r="EW159" i="2"/>
  <c r="EV159" i="2"/>
  <c r="HH159" i="2"/>
  <c r="DI158" i="2"/>
  <c r="EA159" i="2"/>
  <c r="ED158" i="2"/>
  <c r="EC159" i="2"/>
  <c r="EB159" i="2"/>
  <c r="DH159" i="2"/>
  <c r="DG159" i="2"/>
  <c r="DF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GN160" i="2" s="1"/>
  <c r="FO160" i="2"/>
  <c r="FR160" i="2" s="1"/>
  <c r="HC160" i="2"/>
  <c r="HI160" i="2" s="1"/>
  <c r="GI160" i="2"/>
  <c r="GL160" i="2" s="1"/>
  <c r="FP160" i="2"/>
  <c r="HD160" i="2"/>
  <c r="GJ160" i="2"/>
  <c r="EH160" i="2"/>
  <c r="ET160" i="2"/>
  <c r="EW160" i="2" s="1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EV160" i="2" s="1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HI161" i="2" l="1"/>
  <c r="FQ160" i="2"/>
  <c r="HH160" i="2"/>
  <c r="GM160" i="2"/>
  <c r="HG160" i="2"/>
  <c r="ED159" i="2"/>
  <c r="EB160" i="2"/>
  <c r="DI159" i="2"/>
  <c r="DH160" i="2"/>
  <c r="EA160" i="2"/>
  <c r="EC160" i="2"/>
  <c r="DG160" i="2"/>
  <c r="DF160" i="2"/>
  <c r="AU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GN161" i="2" s="1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EW161" i="2" s="1"/>
  <c r="DC161" i="2"/>
  <c r="CI161" i="2"/>
  <c r="GG161" i="2"/>
  <c r="EU161" i="2"/>
  <c r="DL161" i="2"/>
  <c r="DD161" i="2"/>
  <c r="CJ161" i="2"/>
  <c r="EH161" i="2"/>
  <c r="CR161" i="2"/>
  <c r="ES161" i="2"/>
  <c r="EV161" i="2" s="1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GM161" i="2" l="1"/>
  <c r="FQ161" i="2"/>
  <c r="GL161" i="2"/>
  <c r="FR161" i="2"/>
  <c r="AB161" i="2"/>
  <c r="AW161" i="2"/>
  <c r="EA161" i="2"/>
  <c r="ED160" i="2"/>
  <c r="EC161" i="2"/>
  <c r="EB161" i="2"/>
  <c r="DH161" i="2"/>
  <c r="DF161" i="2"/>
  <c r="DG161" i="2"/>
  <c r="CN160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FQ162" i="2" s="1"/>
  <c r="HB162" i="2"/>
  <c r="HC162" i="2"/>
  <c r="HI162" i="2" s="1"/>
  <c r="GI162" i="2"/>
  <c r="FP162" i="2"/>
  <c r="HD162" i="2"/>
  <c r="HG162" i="2" s="1"/>
  <c r="GJ162" i="2"/>
  <c r="GM162" i="2" s="1"/>
  <c r="HE162" i="2"/>
  <c r="HH162" i="2" s="1"/>
  <c r="GK162" i="2"/>
  <c r="FB162" i="2"/>
  <c r="HF162" i="2"/>
  <c r="FC162" i="2"/>
  <c r="ER162" i="2"/>
  <c r="GH162" i="2"/>
  <c r="GN162" i="2" s="1"/>
  <c r="EG162" i="2"/>
  <c r="DV162" i="2"/>
  <c r="EQ162" i="2"/>
  <c r="FO162" i="2"/>
  <c r="FR162" i="2" s="1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EX162" i="2" s="1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GL162" i="2" l="1"/>
  <c r="EV162" i="2"/>
  <c r="EY162" i="2" s="1"/>
  <c r="AU162" i="2"/>
  <c r="ED161" i="2"/>
  <c r="EA162" i="2"/>
  <c r="EB162" i="2"/>
  <c r="EC162" i="2"/>
  <c r="DH162" i="2"/>
  <c r="DI161" i="2"/>
  <c r="DG162" i="2"/>
  <c r="DF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FQ163" i="2" s="1"/>
  <c r="HB163" i="2"/>
  <c r="GH163" i="2"/>
  <c r="GN163" i="2" s="1"/>
  <c r="FO163" i="2"/>
  <c r="HC163" i="2"/>
  <c r="HI163" i="2" s="1"/>
  <c r="HD163" i="2"/>
  <c r="GJ163" i="2"/>
  <c r="GM163" i="2" s="1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GL163" i="2" s="1"/>
  <c r="ET163" i="2"/>
  <c r="EW163" i="2" s="1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EX163" i="2" s="1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V163" i="2"/>
  <c r="FR163" i="2"/>
  <c r="EB163" i="2"/>
  <c r="ED162" i="2"/>
  <c r="EA163" i="2"/>
  <c r="EC163" i="2"/>
  <c r="DH163" i="2"/>
  <c r="DG163" i="2"/>
  <c r="DF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FQ164" i="2" s="1"/>
  <c r="HB164" i="2"/>
  <c r="GH164" i="2"/>
  <c r="GN164" i="2" s="1"/>
  <c r="FO164" i="2"/>
  <c r="FR164" i="2" s="1"/>
  <c r="HC164" i="2"/>
  <c r="HI164" i="2" s="1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W164" i="2" s="1"/>
  <c r="ES164" i="2"/>
  <c r="EV164" i="2" s="1"/>
  <c r="DX164" i="2"/>
  <c r="GJ164" i="2"/>
  <c r="GM164" i="2" s="1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HG164" i="2" l="1"/>
  <c r="GL164" i="2"/>
  <c r="DI163" i="2"/>
  <c r="EB164" i="2"/>
  <c r="ED163" i="2"/>
  <c r="EA164" i="2"/>
  <c r="EC164" i="2"/>
  <c r="DH164" i="2"/>
  <c r="DF164" i="2"/>
  <c r="DG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GN165" i="2" s="1"/>
  <c r="FO165" i="2"/>
  <c r="HC165" i="2"/>
  <c r="HI165" i="2" s="1"/>
  <c r="GI165" i="2"/>
  <c r="GL165" i="2" s="1"/>
  <c r="FP165" i="2"/>
  <c r="HD165" i="2"/>
  <c r="GJ165" i="2"/>
  <c r="GM165" i="2" s="1"/>
  <c r="HE165" i="2"/>
  <c r="HF165" i="2"/>
  <c r="FC165" i="2"/>
  <c r="FW165" i="2"/>
  <c r="FL165" i="2"/>
  <c r="GR165" i="2"/>
  <c r="FX165" i="2"/>
  <c r="FM165" i="2"/>
  <c r="FS165" i="2" s="1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EW165" i="2" s="1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FQ165" i="2"/>
  <c r="FR165" i="2"/>
  <c r="EV165" i="2"/>
  <c r="HG165" i="2"/>
  <c r="EC165" i="2"/>
  <c r="EB165" i="2"/>
  <c r="EA165" i="2"/>
  <c r="DH165" i="2"/>
  <c r="DI164" i="2"/>
  <c r="DF165" i="2"/>
  <c r="DG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GL166" i="2" s="1"/>
  <c r="FP166" i="2"/>
  <c r="HD166" i="2"/>
  <c r="HG166" i="2" s="1"/>
  <c r="GJ166" i="2"/>
  <c r="GM166" i="2" s="1"/>
  <c r="HE166" i="2"/>
  <c r="HH166" i="2" s="1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FQ166" i="2" s="1"/>
  <c r="HB166" i="2"/>
  <c r="GH166" i="2"/>
  <c r="GN166" i="2" s="1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EW166" i="2" s="1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EV166" i="2" l="1"/>
  <c r="EY166" i="2" s="1"/>
  <c r="FR166" i="2"/>
  <c r="CN165" i="2"/>
  <c r="EC166" i="2"/>
  <c r="ED165" i="2"/>
  <c r="EB166" i="2"/>
  <c r="EA166" i="2"/>
  <c r="DH166" i="2"/>
  <c r="DF166" i="2"/>
  <c r="DG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HG167" i="2" s="1"/>
  <c r="GJ167" i="2"/>
  <c r="GM167" i="2" s="1"/>
  <c r="HE167" i="2"/>
  <c r="GK167" i="2"/>
  <c r="FB167" i="2"/>
  <c r="HF167" i="2"/>
  <c r="FC167" i="2"/>
  <c r="GR167" i="2"/>
  <c r="FX167" i="2"/>
  <c r="FM167" i="2"/>
  <c r="FS167" i="2" s="1"/>
  <c r="GS167" i="2"/>
  <c r="GG167" i="2"/>
  <c r="FN167" i="2"/>
  <c r="HB167" i="2"/>
  <c r="GH167" i="2"/>
  <c r="GN167" i="2" s="1"/>
  <c r="FO167" i="2"/>
  <c r="HC167" i="2"/>
  <c r="HI167" i="2" s="1"/>
  <c r="GI167" i="2"/>
  <c r="GL167" i="2" s="1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EV167" i="2" s="1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W167" i="2" l="1"/>
  <c r="FR167" i="2"/>
  <c r="HH167" i="2"/>
  <c r="FQ167" i="2"/>
  <c r="DH167" i="2"/>
  <c r="EA167" i="2"/>
  <c r="EC167" i="2"/>
  <c r="EB167" i="2"/>
  <c r="DI166" i="2"/>
  <c r="DF167" i="2"/>
  <c r="D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FQ168" i="2" s="1"/>
  <c r="HB168" i="2"/>
  <c r="GH168" i="2"/>
  <c r="GN168" i="2" s="1"/>
  <c r="FO168" i="2"/>
  <c r="FR168" i="2" s="1"/>
  <c r="HC168" i="2"/>
  <c r="HI168" i="2" s="1"/>
  <c r="GI168" i="2"/>
  <c r="FP168" i="2"/>
  <c r="HD168" i="2"/>
  <c r="HG168" i="2" s="1"/>
  <c r="GJ168" i="2"/>
  <c r="GM168" i="2" s="1"/>
  <c r="EH168" i="2"/>
  <c r="ES168" i="2"/>
  <c r="EV168" i="2" s="1"/>
  <c r="DL168" i="2"/>
  <c r="FM168" i="2"/>
  <c r="FS168" i="2" s="1"/>
  <c r="DX168" i="2"/>
  <c r="FX168" i="2"/>
  <c r="EQ168" i="2"/>
  <c r="DZ168" i="2"/>
  <c r="DB168" i="2"/>
  <c r="CH168" i="2"/>
  <c r="ER168" i="2"/>
  <c r="EX168" i="2" s="1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W168" i="2"/>
  <c r="GL168" i="2"/>
  <c r="EC168" i="2"/>
  <c r="DH168" i="2"/>
  <c r="DI167" i="2"/>
  <c r="EA168" i="2"/>
  <c r="EB168" i="2"/>
  <c r="DG168" i="2"/>
  <c r="DF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GN169" i="2" s="1"/>
  <c r="FO169" i="2"/>
  <c r="HC169" i="2"/>
  <c r="HI169" i="2" s="1"/>
  <c r="GI169" i="2"/>
  <c r="GL169" i="2" s="1"/>
  <c r="FP169" i="2"/>
  <c r="HD169" i="2"/>
  <c r="GJ169" i="2"/>
  <c r="GM169" i="2" s="1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EV169" i="2" s="1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Q169" i="2" l="1"/>
  <c r="HG169" i="2"/>
  <c r="HG170" i="2" s="1"/>
  <c r="FR169" i="2"/>
  <c r="EW169" i="2"/>
  <c r="EC169" i="2"/>
  <c r="DH169" i="2"/>
  <c r="DI168" i="2"/>
  <c r="EA169" i="2"/>
  <c r="EB169" i="2"/>
  <c r="DF169" i="2"/>
  <c r="DG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FS170" i="2" s="1"/>
  <c r="GS170" i="2"/>
  <c r="GG170" i="2"/>
  <c r="FN170" i="2"/>
  <c r="FQ170" i="2" s="1"/>
  <c r="HB170" i="2"/>
  <c r="HC170" i="2"/>
  <c r="HI170" i="2" s="1"/>
  <c r="GI170" i="2"/>
  <c r="GL170" i="2" s="1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EV170" i="2" s="1"/>
  <c r="DZ170" i="2"/>
  <c r="EU170" i="2"/>
  <c r="DL170" i="2"/>
  <c r="DD170" i="2"/>
  <c r="CJ170" i="2"/>
  <c r="GH170" i="2"/>
  <c r="GN170" i="2" s="1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FR170" i="2" s="1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DH170" i="2" l="1"/>
  <c r="HH170" i="2"/>
  <c r="EW170" i="2"/>
  <c r="GM170" i="2"/>
  <c r="EC170" i="2"/>
  <c r="EA170" i="2"/>
  <c r="CN169" i="2"/>
  <c r="EB170" i="2"/>
  <c r="DF170" i="2"/>
  <c r="DG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S171" i="2" s="1"/>
  <c r="GS171" i="2"/>
  <c r="GG171" i="2"/>
  <c r="FN171" i="2"/>
  <c r="FQ171" i="2" s="1"/>
  <c r="HB171" i="2"/>
  <c r="GH171" i="2"/>
  <c r="GN171" i="2" s="1"/>
  <c r="FO171" i="2"/>
  <c r="FR171" i="2" s="1"/>
  <c r="HC171" i="2"/>
  <c r="HG171" i="2" s="1"/>
  <c r="HD171" i="2"/>
  <c r="GJ171" i="2"/>
  <c r="HE171" i="2"/>
  <c r="HH171" i="2" s="1"/>
  <c r="GK171" i="2"/>
  <c r="FB171" i="2"/>
  <c r="HF171" i="2"/>
  <c r="HI171" i="2" s="1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GM171" i="2" l="1"/>
  <c r="GL171" i="2"/>
  <c r="EW171" i="2"/>
  <c r="EV171" i="2"/>
  <c r="EA171" i="2"/>
  <c r="EB171" i="2"/>
  <c r="DH171" i="2"/>
  <c r="EC171" i="2"/>
  <c r="DI170" i="2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GN172" i="2" s="1"/>
  <c r="FO172" i="2"/>
  <c r="HC172" i="2"/>
  <c r="HI172" i="2" s="1"/>
  <c r="GI172" i="2"/>
  <c r="GL172" i="2" s="1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FS172" i="2" s="1"/>
  <c r="ET172" i="2"/>
  <c r="ER172" i="2"/>
  <c r="EX172" i="2" s="1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FR172" i="2" l="1"/>
  <c r="FQ172" i="2"/>
  <c r="FQ173" i="2" s="1"/>
  <c r="EW172" i="2"/>
  <c r="HH172" i="2"/>
  <c r="HG172" i="2"/>
  <c r="HJ172" i="2" s="1"/>
  <c r="GM172" i="2"/>
  <c r="ED171" i="2"/>
  <c r="EB172" i="2"/>
  <c r="EA172" i="2"/>
  <c r="DH172" i="2"/>
  <c r="EC172" i="2"/>
  <c r="DF172" i="2"/>
  <c r="DG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GN173" i="2" s="1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FS173" i="2" s="1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EV173" i="2" s="1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G173" i="2" l="1"/>
  <c r="GL173" i="2"/>
  <c r="GM173" i="2"/>
  <c r="FR173" i="2"/>
  <c r="DH173" i="2"/>
  <c r="ED172" i="2"/>
  <c r="CL173" i="2"/>
  <c r="EC173" i="2"/>
  <c r="EA173" i="2"/>
  <c r="EB173" i="2"/>
  <c r="DF173" i="2"/>
  <c r="DG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HI174" i="2" s="1"/>
  <c r="GI174" i="2"/>
  <c r="GL174" i="2" s="1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FS174" i="2" s="1"/>
  <c r="GS174" i="2"/>
  <c r="GG174" i="2"/>
  <c r="FN174" i="2"/>
  <c r="HB174" i="2"/>
  <c r="GH174" i="2"/>
  <c r="GN174" i="2" s="1"/>
  <c r="FO174" i="2"/>
  <c r="DZ174" i="2"/>
  <c r="ER174" i="2"/>
  <c r="EX174" i="2" s="1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EV174" i="2" s="1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FR174" i="2" l="1"/>
  <c r="FQ174" i="2"/>
  <c r="EW174" i="2"/>
  <c r="GM174" i="2"/>
  <c r="DI173" i="2"/>
  <c r="DH174" i="2"/>
  <c r="EA174" i="2"/>
  <c r="EB174" i="2"/>
  <c r="EC174" i="2"/>
  <c r="DF174" i="2"/>
  <c r="DG174" i="2"/>
  <c r="CL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GN175" i="2" s="1"/>
  <c r="FO175" i="2"/>
  <c r="HC175" i="2"/>
  <c r="HI175" i="2" s="1"/>
  <c r="GI175" i="2"/>
  <c r="GL175" i="2" s="1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X175" i="2" s="1"/>
  <c r="ES175" i="2"/>
  <c r="EV175" i="2" s="1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FR175" i="2" l="1"/>
  <c r="FQ175" i="2"/>
  <c r="HH175" i="2"/>
  <c r="EW175" i="2"/>
  <c r="GM175" i="2"/>
  <c r="AA175" i="2"/>
  <c r="HG175" i="2"/>
  <c r="ED174" i="2"/>
  <c r="CN174" i="2"/>
  <c r="EC175" i="2"/>
  <c r="EA175" i="2"/>
  <c r="EB175" i="2"/>
  <c r="DH175" i="2"/>
  <c r="DI174" i="2"/>
  <c r="DG175" i="2"/>
  <c r="DF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HI176" i="2" s="1"/>
  <c r="FC176" i="2"/>
  <c r="FW176" i="2"/>
  <c r="FL176" i="2"/>
  <c r="GR176" i="2"/>
  <c r="GS176" i="2"/>
  <c r="GG176" i="2"/>
  <c r="FN176" i="2"/>
  <c r="HB176" i="2"/>
  <c r="GH176" i="2"/>
  <c r="GN176" i="2" s="1"/>
  <c r="FO176" i="2"/>
  <c r="FR176" i="2" s="1"/>
  <c r="HC176" i="2"/>
  <c r="GI176" i="2"/>
  <c r="FP176" i="2"/>
  <c r="HD176" i="2"/>
  <c r="HG176" i="2" s="1"/>
  <c r="GJ176" i="2"/>
  <c r="GM176" i="2" s="1"/>
  <c r="EH176" i="2"/>
  <c r="FM176" i="2"/>
  <c r="FS176" i="2" s="1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EV176" i="2" s="1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GL176" i="2" l="1"/>
  <c r="FQ176" i="2"/>
  <c r="EW176" i="2"/>
  <c r="DI175" i="2"/>
  <c r="DH176" i="2"/>
  <c r="EC176" i="2"/>
  <c r="EA176" i="2"/>
  <c r="EB176" i="2"/>
  <c r="AU176" i="2"/>
  <c r="DG176" i="2"/>
  <c r="DF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GN177" i="2" s="1"/>
  <c r="FO177" i="2"/>
  <c r="HC177" i="2"/>
  <c r="HI177" i="2" s="1"/>
  <c r="GI177" i="2"/>
  <c r="FP177" i="2"/>
  <c r="HD177" i="2"/>
  <c r="HG177" i="2" s="1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EX177" i="2" s="1"/>
  <c r="DC177" i="2"/>
  <c r="CI177" i="2"/>
  <c r="ES177" i="2"/>
  <c r="EV177" i="2" s="1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GM177" i="2" l="1"/>
  <c r="GL177" i="2"/>
  <c r="FQ177" i="2"/>
  <c r="EW177" i="2"/>
  <c r="FR177" i="2"/>
  <c r="EA177" i="2"/>
  <c r="EC177" i="2"/>
  <c r="EB177" i="2"/>
  <c r="DH177" i="2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HI178" i="2" s="1"/>
  <c r="GI178" i="2"/>
  <c r="GL178" i="2" s="1"/>
  <c r="FP178" i="2"/>
  <c r="FS178" i="2" s="1"/>
  <c r="HD178" i="2"/>
  <c r="HG178" i="2" s="1"/>
  <c r="GJ178" i="2"/>
  <c r="GM178" i="2" s="1"/>
  <c r="HE178" i="2"/>
  <c r="GK178" i="2"/>
  <c r="FB178" i="2"/>
  <c r="HF178" i="2"/>
  <c r="FC178" i="2"/>
  <c r="ER178" i="2"/>
  <c r="EX178" i="2" s="1"/>
  <c r="DV178" i="2"/>
  <c r="FO178" i="2"/>
  <c r="EQ178" i="2"/>
  <c r="DZ178" i="2"/>
  <c r="GH178" i="2"/>
  <c r="GN178" i="2" s="1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EV178" i="2" s="1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R178" i="2" l="1"/>
  <c r="EW178" i="2"/>
  <c r="HH178" i="2"/>
  <c r="ED177" i="2"/>
  <c r="DH178" i="2"/>
  <c r="EB178" i="2"/>
  <c r="EA178" i="2"/>
  <c r="EC178" i="2"/>
  <c r="DF178" i="2"/>
  <c r="DG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S179" i="2" s="1"/>
  <c r="GS179" i="2"/>
  <c r="GG179" i="2"/>
  <c r="FN179" i="2"/>
  <c r="FQ179" i="2" s="1"/>
  <c r="HB179" i="2"/>
  <c r="GH179" i="2"/>
  <c r="GN179" i="2" s="1"/>
  <c r="FO179" i="2"/>
  <c r="HC179" i="2"/>
  <c r="HD179" i="2"/>
  <c r="HG179" i="2" s="1"/>
  <c r="GJ179" i="2"/>
  <c r="HE179" i="2"/>
  <c r="HH179" i="2" s="1"/>
  <c r="GK179" i="2"/>
  <c r="FB179" i="2"/>
  <c r="HF179" i="2"/>
  <c r="HI179" i="2" s="1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GL179" i="2" l="1"/>
  <c r="GL180" i="2" s="1"/>
  <c r="EW179" i="2"/>
  <c r="GM179" i="2"/>
  <c r="EV179" i="2"/>
  <c r="FR179" i="2"/>
  <c r="AW179" i="2"/>
  <c r="DH179" i="2"/>
  <c r="ED178" i="2"/>
  <c r="EC179" i="2"/>
  <c r="EA179" i="2"/>
  <c r="EB179" i="2"/>
  <c r="DF179" i="2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GN180" i="2" s="1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FS180" i="2" s="1"/>
  <c r="ET180" i="2"/>
  <c r="EW180" i="2" s="1"/>
  <c r="GJ180" i="2"/>
  <c r="GM180" i="2" s="1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FS181" i="2" l="1"/>
  <c r="HG180" i="2"/>
  <c r="HH180" i="2"/>
  <c r="FR180" i="2"/>
  <c r="EV180" i="2"/>
  <c r="FQ180" i="2"/>
  <c r="DH180" i="2"/>
  <c r="EB180" i="2"/>
  <c r="ED179" i="2"/>
  <c r="EA180" i="2"/>
  <c r="EC180" i="2"/>
  <c r="DI179" i="2"/>
  <c r="DG180" i="2"/>
  <c r="DF180" i="2"/>
  <c r="CN179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GL181" i="2" s="1"/>
  <c r="FO181" i="2"/>
  <c r="FR181" i="2" s="1"/>
  <c r="HC181" i="2"/>
  <c r="HI181" i="2" s="1"/>
  <c r="GI181" i="2"/>
  <c r="FP181" i="2"/>
  <c r="HD181" i="2"/>
  <c r="HG181" i="2" s="1"/>
  <c r="GJ181" i="2"/>
  <c r="HE181" i="2"/>
  <c r="HH181" i="2" s="1"/>
  <c r="HF181" i="2"/>
  <c r="FC181" i="2"/>
  <c r="FW181" i="2"/>
  <c r="FL181" i="2"/>
  <c r="GR181" i="2"/>
  <c r="FX181" i="2"/>
  <c r="FM181" i="2"/>
  <c r="GS181" i="2"/>
  <c r="GG181" i="2"/>
  <c r="FN181" i="2"/>
  <c r="FQ181" i="2" s="1"/>
  <c r="EU181" i="2"/>
  <c r="ES181" i="2"/>
  <c r="EV181" i="2" s="1"/>
  <c r="DY181" i="2"/>
  <c r="GK181" i="2"/>
  <c r="FB181" i="2"/>
  <c r="EG181" i="2"/>
  <c r="DM181" i="2"/>
  <c r="EQ181" i="2"/>
  <c r="DW181" i="2"/>
  <c r="CQ181" i="2"/>
  <c r="ER181" i="2"/>
  <c r="EX181" i="2" s="1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GM181" i="2" l="1"/>
  <c r="GN181" i="2"/>
  <c r="ED180" i="2"/>
  <c r="CN180" i="2"/>
  <c r="EC181" i="2"/>
  <c r="EA181" i="2"/>
  <c r="EB181" i="2"/>
  <c r="DH181" i="2"/>
  <c r="DI180" i="2"/>
  <c r="DG181" i="2"/>
  <c r="DF181" i="2"/>
  <c r="AU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HI182" i="2" s="1"/>
  <c r="GI182" i="2"/>
  <c r="GL182" i="2" s="1"/>
  <c r="FP182" i="2"/>
  <c r="HD182" i="2"/>
  <c r="HG182" i="2" s="1"/>
  <c r="GJ182" i="2"/>
  <c r="GM182" i="2" s="1"/>
  <c r="HE182" i="2"/>
  <c r="HH182" i="2" s="1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FQ182" i="2" s="1"/>
  <c r="HB182" i="2"/>
  <c r="GH182" i="2"/>
  <c r="FO182" i="2"/>
  <c r="EU182" i="2"/>
  <c r="EQ182" i="2"/>
  <c r="DV182" i="2"/>
  <c r="FC182" i="2"/>
  <c r="ES182" i="2"/>
  <c r="EV182" i="2" s="1"/>
  <c r="DX182" i="2"/>
  <c r="CR182" i="2"/>
  <c r="ET182" i="2"/>
  <c r="EW182" i="2" s="1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GN182" i="2" l="1"/>
  <c r="FR182" i="2"/>
  <c r="EA182" i="2"/>
  <c r="EC182" i="2"/>
  <c r="EB182" i="2"/>
  <c r="AW182" i="2"/>
  <c r="DH182" i="2"/>
  <c r="DF182" i="2"/>
  <c r="DG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FR183" i="2" s="1"/>
  <c r="HC183" i="2"/>
  <c r="HI183" i="2" s="1"/>
  <c r="GI183" i="2"/>
  <c r="GL183" i="2" s="1"/>
  <c r="FP183" i="2"/>
  <c r="EG183" i="2"/>
  <c r="FW183" i="2"/>
  <c r="ES183" i="2"/>
  <c r="EV183" i="2" s="1"/>
  <c r="FL183" i="2"/>
  <c r="EU183" i="2"/>
  <c r="EX183" i="2" s="1"/>
  <c r="DY183" i="2"/>
  <c r="DA183" i="2"/>
  <c r="DZ183" i="2"/>
  <c r="DB183" i="2"/>
  <c r="EQ183" i="2"/>
  <c r="DL183" i="2"/>
  <c r="ER183" i="2"/>
  <c r="DM183" i="2"/>
  <c r="ET183" i="2"/>
  <c r="EW183" i="2" s="1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HG183" i="2" l="1"/>
  <c r="FQ183" i="2"/>
  <c r="HH183" i="2"/>
  <c r="GM183" i="2"/>
  <c r="GN183" i="2"/>
  <c r="ED182" i="2"/>
  <c r="EA183" i="2"/>
  <c r="EB183" i="2"/>
  <c r="DH183" i="2"/>
  <c r="EC183" i="2"/>
  <c r="DI182" i="2"/>
  <c r="DG183" i="2"/>
  <c r="DF183" i="2"/>
  <c r="CM183" i="2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HH184" i="2" s="1"/>
  <c r="GK184" i="2"/>
  <c r="FB184" i="2"/>
  <c r="HF184" i="2"/>
  <c r="FC184" i="2"/>
  <c r="FW184" i="2"/>
  <c r="FL184" i="2"/>
  <c r="GR184" i="2"/>
  <c r="GS184" i="2"/>
  <c r="GG184" i="2"/>
  <c r="FN184" i="2"/>
  <c r="FQ184" i="2" s="1"/>
  <c r="HB184" i="2"/>
  <c r="GH184" i="2"/>
  <c r="FO184" i="2"/>
  <c r="FR184" i="2" s="1"/>
  <c r="HC184" i="2"/>
  <c r="HI184" i="2" s="1"/>
  <c r="GI184" i="2"/>
  <c r="FP184" i="2"/>
  <c r="HD184" i="2"/>
  <c r="HG184" i="2" s="1"/>
  <c r="GJ184" i="2"/>
  <c r="GM184" i="2" s="1"/>
  <c r="EH184" i="2"/>
  <c r="EQ184" i="2"/>
  <c r="EU184" i="2"/>
  <c r="DZ184" i="2"/>
  <c r="DB184" i="2"/>
  <c r="FM184" i="2"/>
  <c r="FS184" i="2" s="1"/>
  <c r="EG184" i="2"/>
  <c r="DC184" i="2"/>
  <c r="DW184" i="2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EV184" i="2" s="1"/>
  <c r="DE184" i="2"/>
  <c r="ET184" i="2"/>
  <c r="EW184" i="2" s="1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GN184" i="2" l="1"/>
  <c r="GL184" i="2"/>
  <c r="DH184" i="2"/>
  <c r="EC184" i="2"/>
  <c r="EA184" i="2"/>
  <c r="EB184" i="2"/>
  <c r="AW184" i="2"/>
  <c r="DI183" i="2"/>
  <c r="DG184" i="2"/>
  <c r="DF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HI185" i="2" s="1"/>
  <c r="FC185" i="2"/>
  <c r="FW185" i="2"/>
  <c r="FL185" i="2"/>
  <c r="GR185" i="2"/>
  <c r="FX185" i="2"/>
  <c r="FM185" i="2"/>
  <c r="FS185" i="2" s="1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EX185" i="2" s="1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GL185" i="2"/>
  <c r="EV185" i="2"/>
  <c r="GN185" i="2"/>
  <c r="GM185" i="2"/>
  <c r="FQ185" i="2"/>
  <c r="FR185" i="2"/>
  <c r="FR186" i="2" s="1"/>
  <c r="AU185" i="2"/>
  <c r="EB185" i="2"/>
  <c r="EA185" i="2"/>
  <c r="DI184" i="2"/>
  <c r="EC185" i="2"/>
  <c r="ED184" i="2"/>
  <c r="DH185" i="2"/>
  <c r="DF185" i="2"/>
  <c r="DG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FQ186" i="2" s="1"/>
  <c r="HB186" i="2"/>
  <c r="HC186" i="2"/>
  <c r="HI186" i="2" s="1"/>
  <c r="GI186" i="2"/>
  <c r="GL186" i="2" s="1"/>
  <c r="FP186" i="2"/>
  <c r="HD186" i="2"/>
  <c r="HG186" i="2" s="1"/>
  <c r="GJ186" i="2"/>
  <c r="HE186" i="2"/>
  <c r="GK186" i="2"/>
  <c r="FB186" i="2"/>
  <c r="HF186" i="2"/>
  <c r="FC186" i="2"/>
  <c r="ER186" i="2"/>
  <c r="EX186" i="2" s="1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GN186" i="2" l="1"/>
  <c r="EW186" i="2"/>
  <c r="EV186" i="2"/>
  <c r="HH186" i="2"/>
  <c r="GM186" i="2"/>
  <c r="ED185" i="2"/>
  <c r="EB186" i="2"/>
  <c r="EA186" i="2"/>
  <c r="EC186" i="2"/>
  <c r="DH186" i="2"/>
  <c r="DI185" i="2"/>
  <c r="DF186" i="2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FS187" i="2" s="1"/>
  <c r="GS187" i="2"/>
  <c r="GG187" i="2"/>
  <c r="FN187" i="2"/>
  <c r="HB187" i="2"/>
  <c r="GH187" i="2"/>
  <c r="FO187" i="2"/>
  <c r="HC187" i="2"/>
  <c r="HI187" i="2" s="1"/>
  <c r="HD187" i="2"/>
  <c r="GJ187" i="2"/>
  <c r="HE187" i="2"/>
  <c r="GK187" i="2"/>
  <c r="FB187" i="2"/>
  <c r="HF187" i="2"/>
  <c r="FC187" i="2"/>
  <c r="FW187" i="2"/>
  <c r="FL187" i="2"/>
  <c r="ES187" i="2"/>
  <c r="EV187" i="2" s="1"/>
  <c r="FP187" i="2"/>
  <c r="ER187" i="2"/>
  <c r="EX187" i="2" s="1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GL187" i="2" l="1"/>
  <c r="HH187" i="2"/>
  <c r="GM187" i="2"/>
  <c r="EW187" i="2"/>
  <c r="HG187" i="2"/>
  <c r="GN187" i="2"/>
  <c r="FQ187" i="2"/>
  <c r="FR187" i="2"/>
  <c r="AB187" i="2"/>
  <c r="EA187" i="2"/>
  <c r="DH187" i="2"/>
  <c r="EC187" i="2"/>
  <c r="EB187" i="2"/>
  <c r="DI186" i="2"/>
  <c r="DF187" i="2"/>
  <c r="DG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FQ188" i="2" s="1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HI188" i="2" s="1"/>
  <c r="FC188" i="2"/>
  <c r="FW188" i="2"/>
  <c r="FL188" i="2"/>
  <c r="GR188" i="2"/>
  <c r="FX188" i="2"/>
  <c r="FM188" i="2"/>
  <c r="FS188" i="2" s="1"/>
  <c r="ET188" i="2"/>
  <c r="EW188" i="2" s="1"/>
  <c r="EH188" i="2"/>
  <c r="EU188" i="2"/>
  <c r="DV188" i="2"/>
  <c r="GJ188" i="2"/>
  <c r="GM188" i="2" s="1"/>
  <c r="EG188" i="2"/>
  <c r="DW188" i="2"/>
  <c r="CQ188" i="2"/>
  <c r="ER188" i="2"/>
  <c r="EX188" i="2" s="1"/>
  <c r="ES188" i="2"/>
  <c r="EV188" i="2" s="1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DH188" i="2" s="1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GN188" i="2" l="1"/>
  <c r="GL188" i="2"/>
  <c r="FR188" i="2"/>
  <c r="EC188" i="2"/>
  <c r="ED187" i="2"/>
  <c r="EB188" i="2"/>
  <c r="EA188" i="2"/>
  <c r="DI187" i="2"/>
  <c r="DG188" i="2"/>
  <c r="DF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HG189" i="2" s="1"/>
  <c r="GJ189" i="2"/>
  <c r="HE189" i="2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X189" i="2" s="1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W189" i="2" l="1"/>
  <c r="EV189" i="2"/>
  <c r="GL189" i="2"/>
  <c r="FR189" i="2"/>
  <c r="GN189" i="2"/>
  <c r="FQ189" i="2"/>
  <c r="HH189" i="2"/>
  <c r="GM189" i="2"/>
  <c r="EB189" i="2"/>
  <c r="DH189" i="2"/>
  <c r="EA189" i="2"/>
  <c r="EC189" i="2"/>
  <c r="DF189" i="2"/>
  <c r="DG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FS190" i="2" s="1"/>
  <c r="GS190" i="2"/>
  <c r="GG190" i="2"/>
  <c r="HB190" i="2"/>
  <c r="GH190" i="2"/>
  <c r="FO190" i="2"/>
  <c r="FR190" i="2" s="1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EX190" i="2" s="1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HG190" i="2"/>
  <c r="FQ190" i="2"/>
  <c r="GL190" i="2"/>
  <c r="GN190" i="2"/>
  <c r="GM190" i="2"/>
  <c r="GM191" i="2" s="1"/>
  <c r="EB190" i="2"/>
  <c r="CN189" i="2"/>
  <c r="ED189" i="2"/>
  <c r="EC190" i="2"/>
  <c r="EA190" i="2"/>
  <c r="DH190" i="2"/>
  <c r="DG190" i="2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S191" i="2" s="1"/>
  <c r="FO191" i="2"/>
  <c r="FR191" i="2" s="1"/>
  <c r="ER191" i="2"/>
  <c r="EX191" i="2" s="1"/>
  <c r="ET191" i="2"/>
  <c r="EW191" i="2" s="1"/>
  <c r="DY191" i="2"/>
  <c r="DA191" i="2"/>
  <c r="FB191" i="2"/>
  <c r="EU191" i="2"/>
  <c r="DZ191" i="2"/>
  <c r="DB191" i="2"/>
  <c r="FN191" i="2"/>
  <c r="FQ191" i="2" s="1"/>
  <c r="EH191" i="2"/>
  <c r="EQ191" i="2"/>
  <c r="ES191" i="2"/>
  <c r="EV191" i="2" s="1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GL191" i="2" l="1"/>
  <c r="HH191" i="2"/>
  <c r="GN191" i="2"/>
  <c r="HG191" i="2"/>
  <c r="ED190" i="2"/>
  <c r="EA191" i="2"/>
  <c r="EB191" i="2"/>
  <c r="EC191" i="2"/>
  <c r="DH191" i="2"/>
  <c r="DG191" i="2"/>
  <c r="DF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GL192" i="2" s="1"/>
  <c r="HD192" i="2"/>
  <c r="GJ192" i="2"/>
  <c r="EH192" i="2"/>
  <c r="FM192" i="2"/>
  <c r="EG192" i="2"/>
  <c r="FN192" i="2"/>
  <c r="FQ192" i="2" s="1"/>
  <c r="FX192" i="2"/>
  <c r="FO192" i="2"/>
  <c r="FR192" i="2" s="1"/>
  <c r="ET192" i="2"/>
  <c r="EW192" i="2" s="1"/>
  <c r="FB192" i="2"/>
  <c r="FC192" i="2"/>
  <c r="DZ192" i="2"/>
  <c r="DB192" i="2"/>
  <c r="FL192" i="2"/>
  <c r="DC192" i="2"/>
  <c r="DM192" i="2"/>
  <c r="FP192" i="2"/>
  <c r="FS192" i="2" s="1"/>
  <c r="DV192" i="2"/>
  <c r="DW192" i="2"/>
  <c r="CQ192" i="2"/>
  <c r="CI192" i="2"/>
  <c r="BN192" i="2"/>
  <c r="EQ192" i="2"/>
  <c r="DX192" i="2"/>
  <c r="CR192" i="2"/>
  <c r="CJ192" i="2"/>
  <c r="BO192" i="2"/>
  <c r="ER192" i="2"/>
  <c r="EX192" i="2" s="1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GM192" i="2" l="1"/>
  <c r="HG192" i="2"/>
  <c r="GN192" i="2"/>
  <c r="EB192" i="2"/>
  <c r="DI191" i="2"/>
  <c r="EA192" i="2"/>
  <c r="EC192" i="2"/>
  <c r="AW192" i="2"/>
  <c r="DH192" i="2"/>
  <c r="DF192" i="2"/>
  <c r="DG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GL193" i="2" s="1"/>
  <c r="HD193" i="2"/>
  <c r="HG193" i="2" s="1"/>
  <c r="GJ193" i="2"/>
  <c r="GM193" i="2" s="1"/>
  <c r="HE193" i="2"/>
  <c r="GK193" i="2"/>
  <c r="FB193" i="2"/>
  <c r="EQ193" i="2"/>
  <c r="FO193" i="2"/>
  <c r="ER193" i="2"/>
  <c r="EX193" i="2" s="1"/>
  <c r="FP193" i="2"/>
  <c r="FC193" i="2"/>
  <c r="FL193" i="2"/>
  <c r="FM193" i="2"/>
  <c r="FS193" i="2" s="1"/>
  <c r="EG193" i="2"/>
  <c r="DC193" i="2"/>
  <c r="FN193" i="2"/>
  <c r="EH193" i="2"/>
  <c r="DL193" i="2"/>
  <c r="DD193" i="2"/>
  <c r="ET193" i="2"/>
  <c r="EW193" i="2" s="1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GN193" i="2" l="1"/>
  <c r="FQ193" i="2"/>
  <c r="FR193" i="2"/>
  <c r="EV193" i="2"/>
  <c r="HH193" i="2"/>
  <c r="FR194" i="2"/>
  <c r="EA193" i="2"/>
  <c r="DH193" i="2"/>
  <c r="ED192" i="2"/>
  <c r="EC193" i="2"/>
  <c r="EB193" i="2"/>
  <c r="DI192" i="2"/>
  <c r="DF193" i="2"/>
  <c r="DG193" i="2"/>
  <c r="CN192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HH194" i="2" s="1"/>
  <c r="GK194" i="2"/>
  <c r="HF194" i="2"/>
  <c r="FC194" i="2"/>
  <c r="ER194" i="2"/>
  <c r="EX194" i="2" s="1"/>
  <c r="ET194" i="2"/>
  <c r="EW194" i="2" s="1"/>
  <c r="FB194" i="2"/>
  <c r="GH194" i="2"/>
  <c r="FM194" i="2"/>
  <c r="FS194" i="2" s="1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GM194" i="2" l="1"/>
  <c r="HG194" i="2"/>
  <c r="GN194" i="2"/>
  <c r="GL194" i="2"/>
  <c r="EV194" i="2"/>
  <c r="EY194" i="2" s="1"/>
  <c r="ED193" i="2"/>
  <c r="EB194" i="2"/>
  <c r="DH194" i="2"/>
  <c r="CN193" i="2"/>
  <c r="EC194" i="2"/>
  <c r="EA194" i="2"/>
  <c r="AW194" i="2"/>
  <c r="DI193" i="2"/>
  <c r="DF194" i="2"/>
  <c r="DG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GM195" i="2" s="1"/>
  <c r="HE195" i="2"/>
  <c r="HH195" i="2" s="1"/>
  <c r="GK195" i="2"/>
  <c r="HF195" i="2"/>
  <c r="FW195" i="2"/>
  <c r="FL195" i="2"/>
  <c r="ES195" i="2"/>
  <c r="FB195" i="2"/>
  <c r="FC195" i="2"/>
  <c r="FM195" i="2"/>
  <c r="FS195" i="2" s="1"/>
  <c r="FO195" i="2"/>
  <c r="EQ195" i="2"/>
  <c r="GI195" i="2"/>
  <c r="GL195" i="2" s="1"/>
  <c r="FP195" i="2"/>
  <c r="ET195" i="2"/>
  <c r="EW195" i="2" s="1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GN195" i="2" l="1"/>
  <c r="FR195" i="2"/>
  <c r="FR196" i="2" s="1"/>
  <c r="EV195" i="2"/>
  <c r="FQ195" i="2"/>
  <c r="EA195" i="2"/>
  <c r="EB195" i="2"/>
  <c r="ED194" i="2"/>
  <c r="EC195" i="2"/>
  <c r="DF195" i="2"/>
  <c r="DG195" i="2"/>
  <c r="AU195" i="2"/>
  <c r="CN194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HI196" i="2" s="1"/>
  <c r="GI196" i="2"/>
  <c r="HD196" i="2"/>
  <c r="HE196" i="2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EX196" i="2" s="1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GL196" i="2" l="1"/>
  <c r="GM196" i="2"/>
  <c r="EV196" i="2"/>
  <c r="EY196" i="2" s="1"/>
  <c r="GN196" i="2"/>
  <c r="FQ196" i="2"/>
  <c r="HH196" i="2"/>
  <c r="HG196" i="2"/>
  <c r="AW196" i="2"/>
  <c r="EA196" i="2"/>
  <c r="EB196" i="2"/>
  <c r="DF196" i="2"/>
  <c r="EC196" i="2"/>
  <c r="DH196" i="2"/>
  <c r="DG196" i="2"/>
  <c r="DI196" i="2" s="1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HI197" i="2" s="1"/>
  <c r="GI197" i="2"/>
  <c r="GL197" i="2" s="1"/>
  <c r="HD197" i="2"/>
  <c r="HG197" i="2" s="1"/>
  <c r="GJ197" i="2"/>
  <c r="GM197" i="2" s="1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EX197" i="2" s="1"/>
  <c r="DM197" i="2"/>
  <c r="CG197" i="2"/>
  <c r="BN197" i="2"/>
  <c r="ES197" i="2"/>
  <c r="EV197" i="2" s="1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Q197" i="2" l="1"/>
  <c r="GN197" i="2"/>
  <c r="FR197" i="2"/>
  <c r="ED196" i="2"/>
  <c r="Z197" i="2"/>
  <c r="DF197" i="2"/>
  <c r="EA197" i="2"/>
  <c r="EB197" i="2"/>
  <c r="EC197" i="2"/>
  <c r="DH197" i="2"/>
  <c r="DG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GL198" i="2" s="1"/>
  <c r="HD198" i="2"/>
  <c r="HG198" i="2" s="1"/>
  <c r="GJ198" i="2"/>
  <c r="HE198" i="2"/>
  <c r="HH198" i="2" s="1"/>
  <c r="GK198" i="2"/>
  <c r="HF198" i="2"/>
  <c r="FW198" i="2"/>
  <c r="GR198" i="2"/>
  <c r="FX198" i="2"/>
  <c r="GS198" i="2"/>
  <c r="GG198" i="2"/>
  <c r="HB198" i="2"/>
  <c r="GH198" i="2"/>
  <c r="FO198" i="2"/>
  <c r="FR198" i="2" s="1"/>
  <c r="ES198" i="2"/>
  <c r="FB198" i="2"/>
  <c r="FL198" i="2"/>
  <c r="EG198" i="2"/>
  <c r="FM198" i="2"/>
  <c r="FS198" i="2" s="1"/>
  <c r="FN198" i="2"/>
  <c r="FQ198" i="2" s="1"/>
  <c r="EQ198" i="2"/>
  <c r="DW198" i="2"/>
  <c r="CR198" i="2"/>
  <c r="FP198" i="2"/>
  <c r="ER198" i="2"/>
  <c r="EX198" i="2" s="1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GM198" i="2"/>
  <c r="GN198" i="2"/>
  <c r="EV198" i="2"/>
  <c r="AC197" i="2"/>
  <c r="ED197" i="2"/>
  <c r="Z198" i="2"/>
  <c r="EC198" i="2"/>
  <c r="EA198" i="2"/>
  <c r="EB198" i="2"/>
  <c r="AW198" i="2"/>
  <c r="DH198" i="2"/>
  <c r="DG198" i="2"/>
  <c r="DF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FC199" i="2"/>
  <c r="FL199" i="2"/>
  <c r="FN199" i="2"/>
  <c r="EH199" i="2"/>
  <c r="FO199" i="2"/>
  <c r="ER199" i="2"/>
  <c r="EX199" i="2" s="1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GL199" i="2" l="1"/>
  <c r="HH199" i="2"/>
  <c r="FR199" i="2"/>
  <c r="GM199" i="2"/>
  <c r="GN199" i="2"/>
  <c r="FQ199" i="2"/>
  <c r="EW199" i="2"/>
  <c r="AU199" i="2"/>
  <c r="EV199" i="2"/>
  <c r="DI198" i="2"/>
  <c r="EB199" i="2"/>
  <c r="EA199" i="2"/>
  <c r="EC199" i="2"/>
  <c r="DH199" i="2"/>
  <c r="DF199" i="2"/>
  <c r="DG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HH200" i="2" s="1"/>
  <c r="GK200" i="2"/>
  <c r="HF200" i="2"/>
  <c r="FW200" i="2"/>
  <c r="GR200" i="2"/>
  <c r="GS200" i="2"/>
  <c r="GG200" i="2"/>
  <c r="HB200" i="2"/>
  <c r="GH200" i="2"/>
  <c r="HC200" i="2"/>
  <c r="HI200" i="2" s="1"/>
  <c r="GI200" i="2"/>
  <c r="GL200" i="2" s="1"/>
  <c r="HD200" i="2"/>
  <c r="HG200" i="2" s="1"/>
  <c r="GJ200" i="2"/>
  <c r="GM200" i="2" s="1"/>
  <c r="FL200" i="2"/>
  <c r="EU200" i="2"/>
  <c r="FX200" i="2"/>
  <c r="FM200" i="2"/>
  <c r="FS200" i="2" s="1"/>
  <c r="FN200" i="2"/>
  <c r="FQ200" i="2" s="1"/>
  <c r="FP200" i="2"/>
  <c r="EQ200" i="2"/>
  <c r="FB200" i="2"/>
  <c r="ES200" i="2"/>
  <c r="EV200" i="2" s="1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BX4" i="2" s="1" a="1"/>
  <c r="BX4" i="2" s="1"/>
  <c r="BY4" i="2" s="1"/>
  <c r="AQ200" i="2"/>
  <c r="FO200" i="2"/>
  <c r="FR200" i="2" s="1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AA199" i="2"/>
  <c r="AX197" i="2"/>
  <c r="GN200" i="2" l="1"/>
  <c r="EC200" i="2"/>
  <c r="EA200" i="2"/>
  <c r="EB200" i="2"/>
  <c r="DH200" i="2"/>
  <c r="DG200" i="2"/>
  <c r="DF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HI201" i="2" s="1"/>
  <c r="GI201" i="2"/>
  <c r="GL201" i="2" s="1"/>
  <c r="HD201" i="2"/>
  <c r="HG201" i="2" s="1"/>
  <c r="GJ201" i="2"/>
  <c r="GM201" i="2" s="1"/>
  <c r="HE201" i="2"/>
  <c r="HH201" i="2" s="1"/>
  <c r="GK201" i="2"/>
  <c r="FB201" i="2"/>
  <c r="FN201" i="2"/>
  <c r="FO201" i="2"/>
  <c r="FR201" i="2" s="1"/>
  <c r="GG201" i="2"/>
  <c r="FP201" i="2"/>
  <c r="ER201" i="2"/>
  <c r="EX201" i="2" s="1"/>
  <c r="FC201" i="2"/>
  <c r="FL201" i="2"/>
  <c r="ET201" i="2"/>
  <c r="EW201" i="2" s="1"/>
  <c r="DY201" i="2"/>
  <c r="DC201" i="2"/>
  <c r="FM201" i="2"/>
  <c r="FS201" i="2" s="1"/>
  <c r="EU201" i="2"/>
  <c r="DZ201" i="2"/>
  <c r="DD201" i="2"/>
  <c r="EH201" i="2"/>
  <c r="DL201" i="2"/>
  <c r="EQ201" i="2"/>
  <c r="ES201" i="2"/>
  <c r="EV201" i="2" s="1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I5" i="2" s="1"/>
  <c r="EI4" i="2" a="1"/>
  <c r="EI4" i="2" s="1"/>
  <c r="EJ4" i="2" s="1"/>
  <c r="AX198" i="2"/>
  <c r="EY200" i="2"/>
  <c r="FQ201" i="2" l="1"/>
  <c r="GN201" i="2"/>
  <c r="CM201" i="2"/>
  <c r="DH201" i="2"/>
  <c r="EC201" i="2"/>
  <c r="EA201" i="2"/>
  <c r="ED200" i="2"/>
  <c r="EB201" i="2"/>
  <c r="DI200" i="2"/>
  <c r="DG201" i="2"/>
  <c r="DF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HH202" i="2" l="1"/>
  <c r="EW202" i="2"/>
  <c r="FQ202" i="2"/>
  <c r="GM202" i="2"/>
  <c r="GN202" i="2"/>
  <c r="FZ6" i="2"/>
  <c r="EV202" i="2"/>
  <c r="GL202" i="2"/>
  <c r="ED201" i="2"/>
  <c r="EA202" i="2"/>
  <c r="CN201" i="2"/>
  <c r="EC202" i="2"/>
  <c r="EB202" i="2"/>
  <c r="DH202" i="2"/>
  <c r="DG202" i="2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GM203" i="2" s="1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GL203" i="2" s="1"/>
  <c r="FN203" i="2"/>
  <c r="FQ203" i="2" s="1"/>
  <c r="ET203" i="2"/>
  <c r="FO203" i="2"/>
  <c r="FP203" i="2"/>
  <c r="DX203" i="2"/>
  <c r="DD203" i="2"/>
  <c r="EG203" i="2"/>
  <c r="DY203" i="2"/>
  <c r="DE203" i="2"/>
  <c r="ER203" i="2"/>
  <c r="EX203" i="2" s="1"/>
  <c r="DW203" i="2"/>
  <c r="FM203" i="2"/>
  <c r="FS203" i="2" s="1"/>
  <c r="ES203" i="2"/>
  <c r="EU203" i="2"/>
  <c r="BV203" i="2"/>
  <c r="BO203" i="2"/>
  <c r="DL203" i="2"/>
  <c r="CQ203" i="2"/>
  <c r="BW203" i="2"/>
  <c r="BX176" i="2" s="1" a="1"/>
  <c r="BX176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40" i="2" s="1" a="1"/>
  <c r="AH140" i="2" s="1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BX197" i="2" a="1"/>
  <c r="BX197" i="2" s="1"/>
  <c r="BX158" i="2" a="1"/>
  <c r="BX158" i="2" s="1"/>
  <c r="BX117" i="2" a="1"/>
  <c r="BX117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CS77" i="2" a="1"/>
  <c r="CS77" i="2" s="1"/>
  <c r="BX8" i="2" a="1"/>
  <c r="BX8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BX50" i="2" a="1"/>
  <c r="BX50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HJ202" i="2"/>
  <c r="EY202" i="2"/>
  <c r="AX200" i="2"/>
  <c r="BX29" i="2" l="1" a="1"/>
  <c r="BX29" i="2" s="1"/>
  <c r="BX163" i="2" a="1"/>
  <c r="BX163" i="2" s="1"/>
  <c r="BX136" i="2" a="1"/>
  <c r="BX136" i="2" s="1"/>
  <c r="BX174" i="2" a="1"/>
  <c r="BX174" i="2" s="1"/>
  <c r="BX67" i="2" a="1"/>
  <c r="BX67" i="2" s="1"/>
  <c r="GT122" i="2" a="1"/>
  <c r="GT122" i="2" s="1"/>
  <c r="FD21" i="2" a="1"/>
  <c r="FD21" i="2" s="1"/>
  <c r="FY10" i="2" a="1"/>
  <c r="FY10" i="2" s="1"/>
  <c r="FY51" i="2" a="1"/>
  <c r="FY51" i="2" s="1"/>
  <c r="GN203" i="2"/>
  <c r="EV203" i="2"/>
  <c r="FR203" i="2"/>
  <c r="EW203" i="2"/>
  <c r="FD187" i="2" a="1"/>
  <c r="FD187" i="2" s="1"/>
  <c r="FD64" i="2" a="1"/>
  <c r="FD64" i="2" s="1"/>
  <c r="BX182" i="2" a="1"/>
  <c r="BX182" i="2" s="1"/>
  <c r="GT121" i="2" a="1"/>
  <c r="GT121" i="2" s="1"/>
  <c r="FD144" i="2" a="1"/>
  <c r="FD144" i="2" s="1"/>
  <c r="FY27" i="2" a="1"/>
  <c r="FY27" i="2" s="1"/>
  <c r="FY147" i="2" a="1"/>
  <c r="FY147" i="2" s="1"/>
  <c r="FY9" i="2" a="1"/>
  <c r="FY9" i="2" s="1"/>
  <c r="FY130" i="2" a="1"/>
  <c r="FY130" i="2" s="1"/>
  <c r="FY59" i="2" a="1"/>
  <c r="FY59" i="2" s="1"/>
  <c r="AH56" i="2" a="1"/>
  <c r="AH56" i="2" s="1"/>
  <c r="AH197" i="2" a="1"/>
  <c r="AH197" i="2" s="1"/>
  <c r="AH201" i="2" a="1"/>
  <c r="AH201" i="2" s="1"/>
  <c r="AH79" i="2" a="1"/>
  <c r="AH79" i="2" s="1"/>
  <c r="AH17" i="2" a="1"/>
  <c r="AH17" i="2" s="1"/>
  <c r="AH37" i="2" a="1"/>
  <c r="AH37" i="2" s="1"/>
  <c r="AH89" i="2" a="1"/>
  <c r="AH89" i="2" s="1"/>
  <c r="AH144" i="2" a="1"/>
  <c r="AH144" i="2" s="1"/>
  <c r="AH92" i="2" a="1"/>
  <c r="AH92" i="2" s="1"/>
  <c r="AH19" i="2" a="1"/>
  <c r="AH19" i="2" s="1"/>
  <c r="AH166" i="2" a="1"/>
  <c r="AH166" i="2" s="1"/>
  <c r="AH146" i="2" a="1"/>
  <c r="AH146" i="2" s="1"/>
  <c r="AH198" i="2" a="1"/>
  <c r="AH198" i="2" s="1"/>
  <c r="AH163" i="2" a="1"/>
  <c r="AH163" i="2" s="1"/>
  <c r="AH186" i="2" a="1"/>
  <c r="AH186" i="2" s="1"/>
  <c r="AH157" i="2" a="1"/>
  <c r="AH157" i="2" s="1"/>
  <c r="AH155" i="2" a="1"/>
  <c r="AH155" i="2" s="1"/>
  <c r="AH14" i="2" a="1"/>
  <c r="AH14" i="2" s="1"/>
  <c r="AH162" i="2" a="1"/>
  <c r="AH162" i="2" s="1"/>
  <c r="AH62" i="2" a="1"/>
  <c r="AH62" i="2" s="1"/>
  <c r="AH151" i="2" a="1"/>
  <c r="AH151" i="2" s="1"/>
  <c r="AH83" i="2" a="1"/>
  <c r="AH83" i="2" s="1"/>
  <c r="AH185" i="2" a="1"/>
  <c r="AH185" i="2" s="1"/>
  <c r="AH199" i="2" a="1"/>
  <c r="AH199" i="2" s="1"/>
  <c r="AH90" i="2" a="1"/>
  <c r="AH90" i="2" s="1"/>
  <c r="AH38" i="2" a="1"/>
  <c r="AH38" i="2" s="1"/>
  <c r="DN132" i="2" a="1"/>
  <c r="DN132" i="2" s="1"/>
  <c r="DN45" i="2" a="1"/>
  <c r="DN45" i="2" s="1"/>
  <c r="DN30" i="2" a="1"/>
  <c r="DN30" i="2" s="1"/>
  <c r="DN55" i="2" a="1"/>
  <c r="DN55" i="2" s="1"/>
  <c r="DN110" i="2" a="1"/>
  <c r="DN110" i="2" s="1"/>
  <c r="DN16" i="2" a="1"/>
  <c r="DN16" i="2" s="1"/>
  <c r="DN43" i="2" a="1"/>
  <c r="DN43" i="2" s="1"/>
  <c r="DN31" i="2" a="1"/>
  <c r="DN31" i="2" s="1"/>
  <c r="DN168" i="2" a="1"/>
  <c r="DN168" i="2" s="1"/>
  <c r="DN164" i="2" a="1"/>
  <c r="DN164" i="2" s="1"/>
  <c r="DN46" i="2" a="1"/>
  <c r="DN46" i="2" s="1"/>
  <c r="DN187" i="2" a="1"/>
  <c r="DN187" i="2" s="1"/>
  <c r="DN190" i="2" a="1"/>
  <c r="DN190" i="2" s="1"/>
  <c r="DN70" i="2" a="1"/>
  <c r="DN70" i="2" s="1"/>
  <c r="DN80" i="2" a="1"/>
  <c r="DN80" i="2" s="1"/>
  <c r="DN192" i="2" a="1"/>
  <c r="DN192" i="2" s="1"/>
  <c r="DN188" i="2" a="1"/>
  <c r="DN188" i="2" s="1"/>
  <c r="DN176" i="2" a="1"/>
  <c r="DN176" i="2" s="1"/>
  <c r="DN167" i="2" a="1"/>
  <c r="DN167" i="2" s="1"/>
  <c r="DN66" i="2" a="1"/>
  <c r="DN66" i="2" s="1"/>
  <c r="DN133" i="2" a="1"/>
  <c r="DN133" i="2" s="1"/>
  <c r="DN162" i="2" a="1"/>
  <c r="DN162" i="2" s="1"/>
  <c r="DN86" i="2" a="1"/>
  <c r="DN86" i="2" s="1"/>
  <c r="DN65" i="2" a="1"/>
  <c r="DN65" i="2" s="1"/>
  <c r="DN49" i="2" a="1"/>
  <c r="DN49" i="2" s="1"/>
  <c r="DN123" i="2" a="1"/>
  <c r="DN123" i="2" s="1"/>
  <c r="DN177" i="2" a="1"/>
  <c r="DN177" i="2" s="1"/>
  <c r="DN114" i="2" a="1"/>
  <c r="DN114" i="2" s="1"/>
  <c r="DN115" i="2" a="1"/>
  <c r="DN115" i="2" s="1"/>
  <c r="DN135" i="2" a="1"/>
  <c r="DN135" i="2" s="1"/>
  <c r="DN63" i="2" a="1"/>
  <c r="DN63" i="2" s="1"/>
  <c r="DN103" i="2" a="1"/>
  <c r="DN103" i="2" s="1"/>
  <c r="DN50" i="2" a="1"/>
  <c r="DN50" i="2" s="1"/>
  <c r="DN38" i="2" a="1"/>
  <c r="DN38" i="2" s="1"/>
  <c r="DN150" i="2" a="1"/>
  <c r="DN150" i="2" s="1"/>
  <c r="DN29" i="2" a="1"/>
  <c r="DN29" i="2" s="1"/>
  <c r="DN153" i="2" a="1"/>
  <c r="DN153" i="2" s="1"/>
  <c r="DN170" i="2" a="1"/>
  <c r="DN170" i="2" s="1"/>
  <c r="DN129" i="2" a="1"/>
  <c r="DN129" i="2" s="1"/>
  <c r="DN113" i="2" a="1"/>
  <c r="DN113" i="2" s="1"/>
  <c r="DN25" i="2" a="1"/>
  <c r="DN25" i="2" s="1"/>
  <c r="DN41" i="2" a="1"/>
  <c r="DN41" i="2" s="1"/>
  <c r="DN152" i="2" a="1"/>
  <c r="DN152" i="2" s="1"/>
  <c r="DN155" i="2" a="1"/>
  <c r="DN155" i="2" s="1"/>
  <c r="DN56" i="2" a="1"/>
  <c r="DN56" i="2" s="1"/>
  <c r="DN137" i="2" a="1"/>
  <c r="DN137" i="2" s="1"/>
  <c r="DN184" i="2" a="1"/>
  <c r="DN184" i="2" s="1"/>
  <c r="DN124" i="2" a="1"/>
  <c r="DN124" i="2" s="1"/>
  <c r="DN186" i="2" a="1"/>
  <c r="DN186" i="2" s="1"/>
  <c r="CM203" i="2"/>
  <c r="BC84" i="2" a="1"/>
  <c r="BC84" i="2" s="1"/>
  <c r="BC18" i="2" a="1"/>
  <c r="BC18" i="2" s="1"/>
  <c r="BC47" i="2" a="1"/>
  <c r="BC47" i="2" s="1"/>
  <c r="BC38" i="2" a="1"/>
  <c r="BC38" i="2" s="1"/>
  <c r="BC32" i="2" a="1"/>
  <c r="BC32" i="2" s="1"/>
  <c r="BC71" i="2" a="1"/>
  <c r="BC71" i="2" s="1"/>
  <c r="BC164" i="2" a="1"/>
  <c r="BC164" i="2" s="1"/>
  <c r="BC117" i="2" a="1"/>
  <c r="BC117" i="2" s="1"/>
  <c r="BC68" i="2" a="1"/>
  <c r="BC68" i="2" s="1"/>
  <c r="BC151" i="2" a="1"/>
  <c r="BC151" i="2" s="1"/>
  <c r="BC192" i="2" a="1"/>
  <c r="BC192" i="2" s="1"/>
  <c r="BC181" i="2" a="1"/>
  <c r="BC181" i="2" s="1"/>
  <c r="BC146" i="2" a="1"/>
  <c r="BC146" i="2" s="1"/>
  <c r="BC55" i="2" a="1"/>
  <c r="BC55" i="2" s="1"/>
  <c r="BC65" i="2" a="1"/>
  <c r="BC65" i="2" s="1"/>
  <c r="BC15" i="2" a="1"/>
  <c r="BC15" i="2" s="1"/>
  <c r="BC83" i="2" a="1"/>
  <c r="BC83" i="2" s="1"/>
  <c r="BC185" i="2" a="1"/>
  <c r="BC185" i="2" s="1"/>
  <c r="BC130" i="2" a="1"/>
  <c r="BC130" i="2" s="1"/>
  <c r="BC114" i="2" a="1"/>
  <c r="BC114" i="2" s="1"/>
  <c r="BC196" i="2" a="1"/>
  <c r="BC196" i="2" s="1"/>
  <c r="BC143" i="2" a="1"/>
  <c r="BC143" i="2" s="1"/>
  <c r="BC126" i="2" a="1"/>
  <c r="BC126" i="2" s="1"/>
  <c r="BC58" i="2" a="1"/>
  <c r="BC58" i="2" s="1"/>
  <c r="BC7" i="2" a="1"/>
  <c r="BC7" i="2" s="1"/>
  <c r="BD7" i="2" s="1"/>
  <c r="BC31" i="2" a="1"/>
  <c r="BC31" i="2" s="1"/>
  <c r="BC82" i="2" a="1"/>
  <c r="BC82" i="2" s="1"/>
  <c r="BC34" i="2" a="1"/>
  <c r="BC34" i="2" s="1"/>
  <c r="AH136" i="2" a="1"/>
  <c r="AH136" i="2" s="1"/>
  <c r="AH143" i="2" a="1"/>
  <c r="AH143" i="2" s="1"/>
  <c r="BQ203" i="2"/>
  <c r="DH203" i="2"/>
  <c r="EC203" i="2"/>
  <c r="EB203" i="2"/>
  <c r="EA203" i="2"/>
  <c r="BP203" i="2"/>
  <c r="DF203" i="2"/>
  <c r="DG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93" i="2" l="1"/>
  <c r="CY47" i="2"/>
  <c r="CY16" i="2"/>
  <c r="CY70" i="2"/>
  <c r="CY6" i="2"/>
  <c r="CY130" i="2"/>
  <c r="CY69" i="2"/>
  <c r="CY201" i="2"/>
  <c r="CY164" i="2"/>
  <c r="CY24" i="2"/>
  <c r="CY10" i="2"/>
  <c r="CY168" i="2"/>
  <c r="CY175" i="2"/>
  <c r="CY74" i="2"/>
  <c r="CY73" i="2"/>
  <c r="CY60" i="2"/>
  <c r="CY117" i="2"/>
  <c r="CY7" i="2"/>
  <c r="CY51" i="2"/>
  <c r="CY91" i="2"/>
  <c r="CY152" i="2"/>
  <c r="CY176" i="2"/>
  <c r="CY68" i="2"/>
  <c r="CY26" i="2"/>
  <c r="CY85" i="2"/>
  <c r="CY44" i="2"/>
  <c r="CY66" i="2"/>
  <c r="CY107" i="2"/>
  <c r="CY62" i="2"/>
  <c r="CY21" i="2"/>
  <c r="CY137" i="2"/>
  <c r="CY172" i="2"/>
  <c r="CY97" i="2"/>
  <c r="CY22" i="2"/>
  <c r="CY127" i="2"/>
  <c r="CY179" i="2"/>
  <c r="CY115" i="2"/>
  <c r="CY188" i="2"/>
  <c r="CY109" i="2"/>
  <c r="CY86" i="2"/>
  <c r="CY28" i="2"/>
  <c r="CY31" i="2"/>
  <c r="CY183" i="2"/>
  <c r="CY134" i="2"/>
  <c r="CY143" i="2"/>
  <c r="CY36" i="2"/>
  <c r="CY76" i="2"/>
  <c r="CY61" i="2"/>
  <c r="CY52" i="2"/>
  <c r="CY42" i="2"/>
  <c r="CY45" i="2"/>
  <c r="CY58" i="2"/>
  <c r="CY129" i="2"/>
  <c r="CY75" i="2"/>
  <c r="CY59" i="2"/>
  <c r="CY40" i="2"/>
  <c r="CY148" i="2"/>
  <c r="CY131" i="2"/>
  <c r="CY88" i="2"/>
  <c r="CY57" i="2"/>
  <c r="CY99" i="2"/>
  <c r="CY166" i="2"/>
  <c r="CY193" i="2"/>
  <c r="CY173" i="2"/>
  <c r="CY111" i="2"/>
  <c r="CY133" i="2"/>
  <c r="CY23" i="2"/>
  <c r="CY100" i="2"/>
  <c r="CY101" i="2"/>
  <c r="CY180" i="2"/>
  <c r="CY140" i="2"/>
  <c r="CY80" i="2"/>
  <c r="CY119" i="2"/>
  <c r="CY29" i="2"/>
  <c r="CY64" i="2"/>
  <c r="CY113" i="2"/>
  <c r="CY162" i="2"/>
  <c r="CY128" i="2"/>
  <c r="CY34" i="2"/>
  <c r="CY158" i="2"/>
  <c r="CY72" i="2"/>
  <c r="CY191" i="2"/>
  <c r="CY181" i="2"/>
  <c r="CY203" i="2"/>
  <c r="CY156" i="2"/>
  <c r="CY150" i="2"/>
  <c r="CY83" i="2"/>
  <c r="CY190" i="2"/>
  <c r="CY8" i="2"/>
  <c r="CY171" i="2"/>
  <c r="CY104" i="2"/>
  <c r="CY138" i="2"/>
  <c r="CY186" i="2"/>
  <c r="CY79" i="2"/>
  <c r="CY3" i="2"/>
  <c r="C10" i="4" s="1"/>
  <c r="E10" i="4" s="1"/>
  <c r="F10" i="4" s="1"/>
  <c r="G10" i="4" s="1"/>
  <c r="L10" i="4" s="1"/>
  <c r="CY170" i="2"/>
  <c r="CY165" i="2"/>
  <c r="CY163" i="2"/>
  <c r="CY132" i="2"/>
  <c r="CY112" i="2"/>
  <c r="CY139" i="2"/>
  <c r="CY200" i="2"/>
  <c r="CY147" i="2"/>
  <c r="CY39" i="2"/>
  <c r="CY199" i="2"/>
  <c r="CY56" i="2"/>
  <c r="CY102" i="2"/>
  <c r="CY108" i="2"/>
  <c r="CY142" i="2"/>
  <c r="CY161" i="2"/>
  <c r="CY151" i="2"/>
  <c r="CY18" i="2"/>
  <c r="CY15" i="2"/>
  <c r="CY98" i="2"/>
  <c r="CY106" i="2"/>
  <c r="CY178" i="2"/>
  <c r="CY146" i="2"/>
  <c r="CY177" i="2"/>
  <c r="CY84" i="2"/>
  <c r="CY154" i="2"/>
  <c r="CY92" i="2"/>
  <c r="CY25" i="2"/>
  <c r="CY196" i="2"/>
  <c r="CY185" i="2"/>
  <c r="CY118" i="2"/>
  <c r="CY155" i="2"/>
  <c r="CY124" i="2"/>
  <c r="CY65" i="2"/>
  <c r="CY103" i="2"/>
  <c r="CY87" i="2"/>
  <c r="CY55" i="2"/>
  <c r="CY135" i="2"/>
  <c r="CY197" i="2"/>
  <c r="CY13" i="2"/>
  <c r="CY153" i="2"/>
  <c r="CY94" i="2"/>
  <c r="CY48" i="2"/>
  <c r="CY189" i="2"/>
  <c r="CY160" i="2"/>
  <c r="CY27" i="2"/>
  <c r="CY149" i="2"/>
  <c r="CY30" i="2"/>
  <c r="CY81" i="2"/>
  <c r="CY78" i="2"/>
  <c r="CY159" i="2"/>
  <c r="CY14" i="2"/>
  <c r="CY4" i="2"/>
  <c r="CY121" i="2"/>
  <c r="CY192" i="2"/>
  <c r="CY54" i="2"/>
  <c r="CY9" i="2"/>
  <c r="CY198" i="2"/>
  <c r="CY202" i="2"/>
  <c r="CY96" i="2"/>
  <c r="CY195" i="2"/>
  <c r="CY43" i="2"/>
  <c r="CY46" i="2"/>
  <c r="CY184" i="2"/>
  <c r="CY63" i="2"/>
  <c r="CY126" i="2"/>
  <c r="CY123" i="2"/>
  <c r="CY5" i="2"/>
  <c r="CY145" i="2"/>
  <c r="CY35" i="2"/>
  <c r="CY95" i="2"/>
  <c r="CY90" i="2"/>
  <c r="CY110" i="2"/>
  <c r="CY169" i="2"/>
  <c r="CY120" i="2"/>
  <c r="CY114" i="2"/>
  <c r="CY182" i="2"/>
  <c r="CY41" i="2"/>
  <c r="CY89" i="2"/>
  <c r="CY32" i="2"/>
  <c r="CY11" i="2"/>
  <c r="CY167" i="2"/>
  <c r="CY194" i="2"/>
  <c r="CY71" i="2"/>
  <c r="CY67" i="2"/>
  <c r="CY38" i="2"/>
  <c r="CY157" i="2"/>
  <c r="CY105" i="2"/>
  <c r="CY141" i="2"/>
  <c r="CY37" i="2"/>
  <c r="CY17" i="2"/>
  <c r="CY19" i="2"/>
  <c r="CY187" i="2"/>
  <c r="CY53" i="2"/>
  <c r="CY50" i="2"/>
  <c r="CY82" i="2"/>
  <c r="CY33" i="2"/>
  <c r="CY122" i="2"/>
  <c r="CY116" i="2"/>
  <c r="CY125" i="2"/>
  <c r="CY12" i="2"/>
  <c r="CY20" i="2"/>
  <c r="CY77" i="2"/>
  <c r="CY49" i="2"/>
  <c r="CY136" i="2"/>
  <c r="CY144" i="2"/>
  <c r="CY174" i="2"/>
  <c r="CD60" i="2"/>
  <c r="CD158" i="2"/>
  <c r="CD53" i="2"/>
  <c r="CD101" i="2"/>
  <c r="CD150" i="2"/>
  <c r="CD119" i="2"/>
  <c r="CD65" i="2"/>
  <c r="CD97" i="2"/>
  <c r="CD52" i="2"/>
  <c r="CD151" i="2"/>
  <c r="CD177" i="2"/>
  <c r="CD43" i="2"/>
  <c r="CD61" i="2"/>
  <c r="CD18" i="2"/>
  <c r="CD168" i="2"/>
  <c r="CD22" i="2"/>
  <c r="CD133" i="2"/>
  <c r="CD10" i="2"/>
  <c r="CD176" i="2"/>
  <c r="CD29" i="2"/>
  <c r="CD120" i="2"/>
  <c r="CD121" i="2"/>
  <c r="CD169" i="2"/>
  <c r="CD106" i="2"/>
  <c r="CD163" i="2"/>
  <c r="CD155" i="2"/>
  <c r="CD44" i="2"/>
  <c r="CD138" i="2"/>
  <c r="CD123" i="2"/>
  <c r="CD201" i="2"/>
  <c r="CD14" i="2"/>
  <c r="CD75" i="2"/>
  <c r="CD70" i="2"/>
  <c r="CD90" i="2"/>
  <c r="CD183" i="2"/>
  <c r="CD186" i="2"/>
  <c r="CD113" i="2"/>
  <c r="CD41" i="2"/>
  <c r="CD81" i="2"/>
  <c r="CD99" i="2"/>
  <c r="CD170" i="2"/>
  <c r="CD98" i="2"/>
  <c r="CD172" i="2"/>
  <c r="CD132" i="2"/>
  <c r="CD145" i="2"/>
  <c r="CD109" i="2"/>
  <c r="CD33" i="2"/>
  <c r="CD185" i="2"/>
  <c r="CD76" i="2"/>
  <c r="CD20" i="2"/>
  <c r="CD112" i="2"/>
  <c r="CD87" i="2"/>
  <c r="CD181" i="2"/>
  <c r="CD157" i="2"/>
  <c r="CD124" i="2"/>
  <c r="CD47" i="2"/>
  <c r="CD35" i="2"/>
  <c r="CD152" i="2"/>
  <c r="CD182" i="2"/>
  <c r="CD104" i="2"/>
  <c r="CD15" i="2"/>
  <c r="CD128" i="2"/>
  <c r="CD200" i="2"/>
  <c r="CD139" i="2"/>
  <c r="CD92" i="2"/>
  <c r="CD114" i="2"/>
  <c r="CD191" i="2"/>
  <c r="CD39" i="2"/>
  <c r="CD66" i="2"/>
  <c r="CD40" i="2"/>
  <c r="CD78" i="2"/>
  <c r="CD79" i="2"/>
  <c r="CD93" i="2"/>
  <c r="CD136" i="2"/>
  <c r="CD74" i="2"/>
  <c r="CD34" i="2"/>
  <c r="CD154" i="2"/>
  <c r="CD129" i="2"/>
  <c r="CD13" i="2"/>
  <c r="CD8" i="2"/>
  <c r="CD46" i="2"/>
  <c r="CD23" i="2"/>
  <c r="CD173" i="2"/>
  <c r="CD141" i="2"/>
  <c r="CD164" i="2"/>
  <c r="CD142" i="2"/>
  <c r="CD12" i="2"/>
  <c r="CD36" i="2"/>
  <c r="CD64" i="2"/>
  <c r="CD54" i="2"/>
  <c r="CD160" i="2"/>
  <c r="CD38" i="2"/>
  <c r="CD7" i="2"/>
  <c r="CD147" i="2"/>
  <c r="CD162" i="2"/>
  <c r="CD187" i="2"/>
  <c r="CD198" i="2"/>
  <c r="CD108" i="2"/>
  <c r="CD68" i="2"/>
  <c r="CD131" i="2"/>
  <c r="CD122" i="2"/>
  <c r="CD80" i="2"/>
  <c r="CD6" i="2"/>
  <c r="CD71" i="2"/>
  <c r="CD96" i="2"/>
  <c r="CD171" i="2"/>
  <c r="CD125" i="2"/>
  <c r="CD134" i="2"/>
  <c r="CD25" i="2"/>
  <c r="CD11" i="2"/>
  <c r="CD100" i="2"/>
  <c r="CD27" i="2"/>
  <c r="CD28" i="2"/>
  <c r="CD62" i="2"/>
  <c r="CD130" i="2"/>
  <c r="CD69" i="2"/>
  <c r="CD126" i="2"/>
  <c r="CD159" i="2"/>
  <c r="CD17" i="2"/>
  <c r="CD73" i="2"/>
  <c r="CD116" i="2"/>
  <c r="CD161" i="2"/>
  <c r="CD144" i="2"/>
  <c r="CD166" i="2"/>
  <c r="CD5" i="2"/>
  <c r="CD32" i="2"/>
  <c r="CD50" i="2"/>
  <c r="CD59" i="2"/>
  <c r="CD55" i="2"/>
  <c r="CD85" i="2"/>
  <c r="CD56" i="2"/>
  <c r="CD179" i="2"/>
  <c r="CD95" i="2"/>
  <c r="CD156" i="2"/>
  <c r="CD195" i="2"/>
  <c r="CD67" i="2"/>
  <c r="CD143" i="2"/>
  <c r="CD180" i="2"/>
  <c r="CD115" i="2"/>
  <c r="CD58" i="2"/>
  <c r="CD83" i="2"/>
  <c r="CD45" i="2"/>
  <c r="CD4" i="2"/>
  <c r="CD82" i="2"/>
  <c r="CD196" i="2"/>
  <c r="CD167" i="2"/>
  <c r="CD193" i="2"/>
  <c r="CD91" i="2"/>
  <c r="CD165" i="2"/>
  <c r="CD118" i="2"/>
  <c r="CD110" i="2"/>
  <c r="CD77" i="2"/>
  <c r="CD16" i="2"/>
  <c r="CD135" i="2"/>
  <c r="CD63" i="2"/>
  <c r="CD102" i="2"/>
  <c r="CD107" i="2"/>
  <c r="CD117" i="2"/>
  <c r="CD111" i="2"/>
  <c r="CD105" i="2"/>
  <c r="CD188" i="2"/>
  <c r="CD199" i="2"/>
  <c r="CD202" i="2"/>
  <c r="CD190" i="2"/>
  <c r="CD175" i="2"/>
  <c r="CD153" i="2"/>
  <c r="CD189" i="2"/>
  <c r="CD149" i="2"/>
  <c r="CD192" i="2"/>
  <c r="CD146" i="2"/>
  <c r="CD174" i="2"/>
  <c r="CD37" i="2"/>
  <c r="CD94" i="2"/>
  <c r="CD19" i="2"/>
  <c r="CD48" i="2"/>
  <c r="CD103" i="2"/>
  <c r="CD30" i="2"/>
  <c r="CD31" i="2"/>
  <c r="CD88" i="2"/>
  <c r="CD86" i="2"/>
  <c r="CD140" i="2"/>
  <c r="CD51" i="2"/>
  <c r="CD127" i="2"/>
  <c r="CD42" i="2"/>
  <c r="CD9" i="2"/>
  <c r="CD3" i="2"/>
  <c r="C9" i="4" s="1"/>
  <c r="E9" i="4" s="1"/>
  <c r="F9" i="4" s="1"/>
  <c r="G9" i="4" s="1"/>
  <c r="L9" i="4" s="1"/>
  <c r="CD57" i="2"/>
  <c r="CD194" i="2"/>
  <c r="CD49" i="2"/>
  <c r="CD137" i="2"/>
  <c r="CD84" i="2"/>
  <c r="CD24" i="2"/>
  <c r="CD26" i="2"/>
  <c r="CD21" i="2"/>
  <c r="CD148" i="2"/>
  <c r="CD178" i="2"/>
  <c r="CD72" i="2"/>
  <c r="CD197" i="2"/>
  <c r="CD203" i="2"/>
  <c r="CD89" i="2"/>
  <c r="CD18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22" i="2"/>
  <c r="BI101" i="2"/>
  <c r="BI80" i="2"/>
  <c r="BI8" i="2"/>
  <c r="BI123" i="2"/>
  <c r="BI169" i="2"/>
  <c r="BI46" i="2"/>
  <c r="BI179" i="2"/>
  <c r="BI130" i="2"/>
  <c r="BI12" i="2"/>
  <c r="BI83" i="2"/>
  <c r="BI99" i="2"/>
  <c r="BI192" i="2"/>
  <c r="BI3" i="2"/>
  <c r="C8" i="4" s="1"/>
  <c r="E8" i="4" s="1"/>
  <c r="F8" i="4" s="1"/>
  <c r="G8" i="4" s="1"/>
  <c r="L8" i="4" s="1"/>
  <c r="BI15" i="2"/>
  <c r="BI127" i="2"/>
  <c r="BI69" i="2"/>
  <c r="BI105" i="2"/>
  <c r="BI183" i="2"/>
  <c r="BI174" i="2"/>
  <c r="BI4" i="2"/>
  <c r="BI65" i="2"/>
  <c r="BI149" i="2"/>
  <c r="BI41" i="2"/>
  <c r="BI91" i="2"/>
  <c r="BI116" i="2"/>
  <c r="BI32" i="2"/>
  <c r="BI97" i="2"/>
  <c r="BI203" i="2"/>
  <c r="BI112" i="2"/>
  <c r="BI175" i="2"/>
  <c r="BI49" i="2"/>
  <c r="BI193" i="2"/>
  <c r="BI25" i="2"/>
  <c r="BI42" i="2"/>
  <c r="BI100" i="2"/>
  <c r="BI109" i="2"/>
  <c r="BI94" i="2"/>
  <c r="BI139" i="2"/>
  <c r="BI117" i="2"/>
  <c r="BI61" i="2"/>
  <c r="BI84" i="2"/>
  <c r="BI119" i="2"/>
  <c r="BI74" i="2"/>
  <c r="BI126" i="2"/>
  <c r="BI150" i="2"/>
  <c r="BI111" i="2"/>
  <c r="BI147" i="2"/>
  <c r="BI7" i="2"/>
  <c r="BI200" i="2"/>
  <c r="BI36" i="2"/>
  <c r="BI11" i="2"/>
  <c r="BI48" i="2"/>
  <c r="BI159" i="2"/>
  <c r="BI129" i="2"/>
  <c r="BI31" i="2"/>
  <c r="BI90" i="2"/>
  <c r="BI178" i="2"/>
  <c r="BI66" i="2"/>
  <c r="BI181" i="2"/>
  <c r="BI113" i="2"/>
  <c r="BI26" i="2"/>
  <c r="BI133" i="2"/>
  <c r="BI93" i="2"/>
  <c r="BI189" i="2"/>
  <c r="BI148" i="2"/>
  <c r="BI52" i="2"/>
  <c r="BI168" i="2"/>
  <c r="BI146" i="2"/>
  <c r="BI64" i="2"/>
  <c r="BI6" i="2"/>
  <c r="BI88" i="2"/>
  <c r="BI128" i="2"/>
  <c r="BI43" i="2"/>
  <c r="BI110" i="2"/>
  <c r="BI45" i="2"/>
  <c r="BI106" i="2"/>
  <c r="BI87" i="2"/>
  <c r="BI73" i="2"/>
  <c r="BI141" i="2"/>
  <c r="BI71" i="2"/>
  <c r="BI132" i="2"/>
  <c r="BI196" i="2"/>
  <c r="BI38" i="2"/>
  <c r="BI24" i="2"/>
  <c r="BI78" i="2"/>
  <c r="BI68" i="2"/>
  <c r="BI62" i="2"/>
  <c r="BI56" i="2"/>
  <c r="BI51" i="2"/>
  <c r="BI108" i="2"/>
  <c r="BI53" i="2"/>
  <c r="BI166" i="2"/>
  <c r="BI23" i="2"/>
  <c r="BI165" i="2"/>
  <c r="BI77" i="2"/>
  <c r="BI34" i="2"/>
  <c r="BI164" i="2"/>
  <c r="BI142" i="2"/>
  <c r="BI55" i="2"/>
  <c r="BI160" i="2"/>
  <c r="BI89" i="2"/>
  <c r="BI157" i="2"/>
  <c r="BI154" i="2"/>
  <c r="BI182" i="2"/>
  <c r="BI21" i="2"/>
  <c r="BI75" i="2"/>
  <c r="BI70" i="2"/>
  <c r="BI162" i="2"/>
  <c r="BI134" i="2"/>
  <c r="BI138" i="2"/>
  <c r="BI104" i="2"/>
  <c r="BI115" i="2"/>
  <c r="BI82" i="2"/>
  <c r="BI114" i="2"/>
  <c r="BI161" i="2"/>
  <c r="BI199" i="2"/>
  <c r="BI103" i="2"/>
  <c r="BI195" i="2"/>
  <c r="BI171" i="2"/>
  <c r="BI107" i="2"/>
  <c r="BI187" i="2"/>
  <c r="BI177" i="2"/>
  <c r="BI153" i="2"/>
  <c r="BI17" i="2"/>
  <c r="BI184" i="2"/>
  <c r="BI194" i="2"/>
  <c r="BI63" i="2"/>
  <c r="BI28" i="2"/>
  <c r="BI140" i="2"/>
  <c r="BI131" i="2"/>
  <c r="BI143" i="2"/>
  <c r="BI121" i="2"/>
  <c r="BI167" i="2"/>
  <c r="BI158" i="2"/>
  <c r="BI188" i="2"/>
  <c r="BI33" i="2"/>
  <c r="BI60" i="2"/>
  <c r="BI5" i="2"/>
  <c r="BI122" i="2"/>
  <c r="BI16" i="2"/>
  <c r="BI152" i="2"/>
  <c r="BI81" i="2"/>
  <c r="BI186" i="2"/>
  <c r="BI172" i="2"/>
  <c r="BI201" i="2"/>
  <c r="BI197" i="2"/>
  <c r="BI72" i="2"/>
  <c r="BI144" i="2"/>
  <c r="BI57" i="2"/>
  <c r="BI27" i="2"/>
  <c r="BI18" i="2"/>
  <c r="BI155" i="2"/>
  <c r="BI9" i="2"/>
  <c r="BI180" i="2"/>
  <c r="BI185" i="2"/>
  <c r="BI44" i="2"/>
  <c r="BI40" i="2"/>
  <c r="BI163" i="2"/>
  <c r="BI14" i="2"/>
  <c r="BI19" i="2"/>
  <c r="BI92" i="2"/>
  <c r="BI137" i="2"/>
  <c r="BI124" i="2"/>
  <c r="BI136" i="2"/>
  <c r="BI151" i="2"/>
  <c r="BI125" i="2"/>
  <c r="BI29" i="2"/>
  <c r="BI176" i="2"/>
  <c r="BI37" i="2"/>
  <c r="BI10" i="2"/>
  <c r="BI95" i="2"/>
  <c r="BI30" i="2"/>
  <c r="BI13" i="2"/>
  <c r="BI58" i="2"/>
  <c r="BI156" i="2"/>
  <c r="BI79" i="2"/>
  <c r="BI59" i="2"/>
  <c r="BI170" i="2"/>
  <c r="BI98" i="2"/>
  <c r="BI202" i="2"/>
  <c r="BI135" i="2"/>
  <c r="BI35" i="2"/>
  <c r="BI54" i="2"/>
  <c r="BI102" i="2"/>
  <c r="BI50" i="2"/>
  <c r="BI118" i="2"/>
  <c r="BI190" i="2"/>
  <c r="BI198" i="2"/>
  <c r="BI96" i="2"/>
  <c r="BI86" i="2"/>
  <c r="BI85" i="2"/>
  <c r="BI191" i="2"/>
  <c r="BI67" i="2"/>
  <c r="BI173" i="2"/>
  <c r="BI76" i="2"/>
  <c r="BI145" i="2"/>
  <c r="BI39" i="2"/>
  <c r="BI120" i="2"/>
  <c r="BI2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<sst xmlns="http://schemas.openxmlformats.org/spreadsheetml/2006/main" count="1003" uniqueCount="314">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</sst>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1.9682721765140532</c:v>
                </c:pt>
                <c:pt idx="2">
                  <c:v>2.4981061819104675</c:v>
                </c:pt>
                <c:pt idx="3">
                  <c:v>3.1711338890237304</c:v>
                </c:pt>
                <c:pt idx="4">
                  <c:v>4.0262002490174442</c:v>
                </c:pt>
                <c:pt idx="5">
                  <c:v>5.112724806750041</c:v>
                </c:pt>
                <c:pt idx="6">
                  <c:v>6.4935897223338683</c:v>
                </c:pt>
                <c:pt idx="7">
                  <c:v>8.2488188968124181</c:v>
                </c:pt>
                <c:pt idx="8">
                  <c:v>10.480265499011379</c:v>
                </c:pt>
                <c:pt idx="9">
                  <c:v>13.317585025557497</c:v>
                </c:pt>
                <c:pt idx="10">
                  <c:v>16.92584737434435</c:v>
                </c:pt>
                <c:pt idx="11">
                  <c:v>21.515238840014391</c:v>
                </c:pt>
                <c:pt idx="12">
                  <c:v>27.353429280170602</c:v>
                </c:pt>
                <c:pt idx="13">
                  <c:v>34.781338401158301</c:v>
                </c:pt>
                <c:pt idx="14">
                  <c:v>44.233237685444927</c:v>
                </c:pt>
                <c:pt idx="15">
                  <c:v>56.262383080284224</c:v>
                </c:pt>
                <c:pt idx="16">
                  <c:v>71.418161045874058</c:v>
                </c:pt>
                <c:pt idx="17">
                  <c:v>86.491167829522624</c:v>
                </c:pt>
                <c:pt idx="18">
                  <c:v>101.49793981919532</c:v>
                </c:pt>
                <c:pt idx="19">
                  <c:v>116.44968184198814</c:v>
                </c:pt>
                <c:pt idx="20">
                  <c:v>131.35446970954578</c:v>
                </c:pt>
                <c:pt idx="21">
                  <c:v>129.78756206585908</c:v>
                </c:pt>
                <c:pt idx="22">
                  <c:v>147.78083841069224</c:v>
                </c:pt>
                <c:pt idx="23">
                  <c:v>165.7217707368807</c:v>
                </c:pt>
                <c:pt idx="24">
                  <c:v>183.6168280453945</c:v>
                </c:pt>
                <c:pt idx="25">
                  <c:v>201.47111266072739</c:v>
                </c:pt>
                <c:pt idx="26">
                  <c:v>175.06369642864445</c:v>
                </c:pt>
                <c:pt idx="27">
                  <c:v>193.97182170496015</c:v>
                </c:pt>
                <c:pt idx="28">
                  <c:v>212.83708887213754</c:v>
                </c:pt>
                <c:pt idx="29">
                  <c:v>231.66383182460814</c:v>
                </c:pt>
                <c:pt idx="30">
                  <c:v>250.45562182479364</c:v>
                </c:pt>
                <c:pt idx="31">
                  <c:v>223.67337571267649</c:v>
                </c:pt>
                <c:pt idx="32">
                  <c:v>241.96482912220847</c:v>
                </c:pt>
                <c:pt idx="33">
                  <c:v>260.22483038651933</c:v>
                </c:pt>
                <c:pt idx="34">
                  <c:v>278.45589678624464</c:v>
                </c:pt>
                <c:pt idx="35">
                  <c:v>296.6601889647884</c:v>
                </c:pt>
                <c:pt idx="36">
                  <c:v>268.70188491946999</c:v>
                </c:pt>
                <c:pt idx="37">
                  <c:v>285.63814189539363</c:v>
                </c:pt>
                <c:pt idx="38">
                  <c:v>302.55193079450152</c:v>
                </c:pt>
                <c:pt idx="39">
                  <c:v>319.44468427368446</c:v>
                </c:pt>
                <c:pt idx="40">
                  <c:v>336.3176710921274</c:v>
                </c:pt>
                <c:pt idx="41">
                  <c:v>306.90505238979614</c:v>
                </c:pt>
                <c:pt idx="42">
                  <c:v>322.25818930207623</c:v>
                </c:pt>
                <c:pt idx="43">
                  <c:v>337.59515490696026</c:v>
                </c:pt>
                <c:pt idx="44">
                  <c:v>352.91678725781003</c:v>
                </c:pt>
                <c:pt idx="45">
                  <c:v>368.22384570264688</c:v>
                </c:pt>
                <c:pt idx="46">
                  <c:v>338.36159407720385</c:v>
                </c:pt>
                <c:pt idx="47">
                  <c:v>353.17202231575806</c:v>
                </c:pt>
                <c:pt idx="48">
                  <c:v>367.96884365668006</c:v>
                </c:pt>
                <c:pt idx="49">
                  <c:v>382.75268227452921</c:v>
                </c:pt>
                <c:pt idx="50">
                  <c:v>397.52411019447663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146.43353271796309</c:v>
                </c:pt>
                <c:pt idx="32">
                  <c:v>156.61609434461207</c:v>
                </c:pt>
                <c:pt idx="33">
                  <c:v>166.78293977832863</c:v>
                </c:pt>
                <c:pt idx="34">
                  <c:v>176.93516310576453</c:v>
                </c:pt>
                <c:pt idx="35">
                  <c:v>187.07372242622981</c:v>
                </c:pt>
                <c:pt idx="36">
                  <c:v>197.19946337106239</c:v>
                </c:pt>
                <c:pt idx="37">
                  <c:v>207.31313753029789</c:v>
                </c:pt>
                <c:pt idx="38">
                  <c:v>217.41541708927389</c:v>
                </c:pt>
                <c:pt idx="39">
                  <c:v>227.50690659831915</c:v>
                </c:pt>
                <c:pt idx="40">
                  <c:v>237.58815254200749</c:v>
                </c:pt>
                <c:pt idx="41">
                  <c:v>207.31313753029789</c:v>
                </c:pt>
                <c:pt idx="42">
                  <c:v>217.41541708927389</c:v>
                </c:pt>
                <c:pt idx="43">
                  <c:v>227.50690659831915</c:v>
                </c:pt>
                <c:pt idx="44">
                  <c:v>237.58815254200749</c:v>
                </c:pt>
                <c:pt idx="45">
                  <c:v>247.65965119723435</c:v>
                </c:pt>
                <c:pt idx="46">
                  <c:v>257.72185514470988</c:v>
                </c:pt>
                <c:pt idx="47">
                  <c:v>267.77517870928631</c:v>
                </c:pt>
                <c:pt idx="48">
                  <c:v>277.82000253977031</c:v>
                </c:pt>
                <c:pt idx="49">
                  <c:v>287.85667749117107</c:v>
                </c:pt>
                <c:pt idx="50">
                  <c:v>297.88552793675632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2.0460469017056964</c:v>
                </c:pt>
                <c:pt idx="2">
                  <c:v>2.6995991230950414</c:v>
                </c:pt>
                <c:pt idx="3">
                  <c:v>3.562771444498678</c:v>
                </c:pt>
                <c:pt idx="4">
                  <c:v>4.7030577575577004</c:v>
                </c:pt>
                <c:pt idx="5">
                  <c:v>6.2097621939282925</c:v>
                </c:pt>
                <c:pt idx="6">
                  <c:v>8.2010704976533066</c:v>
                </c:pt>
                <c:pt idx="7">
                  <c:v>10.833421128289144</c:v>
                </c:pt>
                <c:pt idx="8">
                  <c:v>14.313926101367471</c:v>
                </c:pt>
                <c:pt idx="9">
                  <c:v>18.916836793120535</c:v>
                </c:pt>
                <c:pt idx="10">
                  <c:v>25.00537551768484</c:v>
                </c:pt>
                <c:pt idx="11">
                  <c:v>33.060686016670395</c:v>
                </c:pt>
                <c:pt idx="12">
                  <c:v>43.720230154476248</c:v>
                </c:pt>
                <c:pt idx="13">
                  <c:v>57.828720702515874</c:v>
                </c:pt>
                <c:pt idx="14">
                  <c:v>76.505693084340137</c:v>
                </c:pt>
                <c:pt idx="15">
                  <c:v>101.2351647140362</c:v>
                </c:pt>
                <c:pt idx="16">
                  <c:v>121.42282776908787</c:v>
                </c:pt>
                <c:pt idx="17">
                  <c:v>141.52862557478466</c:v>
                </c:pt>
                <c:pt idx="18">
                  <c:v>161.5658510210931</c:v>
                </c:pt>
                <c:pt idx="19">
                  <c:v>181.54421568397308</c:v>
                </c:pt>
                <c:pt idx="20">
                  <c:v>201.47111266072739</c:v>
                </c:pt>
                <c:pt idx="21">
                  <c:v>170.13474046014434</c:v>
                </c:pt>
                <c:pt idx="22">
                  <c:v>193.19565270231035</c:v>
                </c:pt>
                <c:pt idx="23">
                  <c:v>216.19250449808783</c:v>
                </c:pt>
                <c:pt idx="24">
                  <c:v>239.13306994162625</c:v>
                </c:pt>
                <c:pt idx="25">
                  <c:v>262.02350754857292</c:v>
                </c:pt>
                <c:pt idx="26">
                  <c:v>223.15764021827408</c:v>
                </c:pt>
                <c:pt idx="27">
                  <c:v>247.36882925179316</c:v>
                </c:pt>
                <c:pt idx="28">
                  <c:v>271.52622115220447</c:v>
                </c:pt>
                <c:pt idx="29">
                  <c:v>295.6352733311474</c:v>
                </c:pt>
                <c:pt idx="30">
                  <c:v>319.70048005131201</c:v>
                </c:pt>
                <c:pt idx="31">
                  <c:v>281.27798254904388</c:v>
                </c:pt>
                <c:pt idx="32">
                  <c:v>305.62486594574449</c:v>
                </c:pt>
                <c:pt idx="33">
                  <c:v>329.92863915898096</c:v>
                </c:pt>
                <c:pt idx="34">
                  <c:v>354.19292214702432</c:v>
                </c:pt>
                <c:pt idx="35">
                  <c:v>378.42079852394386</c:v>
                </c:pt>
                <c:pt idx="36">
                  <c:v>339.63890781505705</c:v>
                </c:pt>
                <c:pt idx="37">
                  <c:v>363.3781441249842</c:v>
                </c:pt>
                <c:pt idx="38">
                  <c:v>387.08350012671559</c:v>
                </c:pt>
                <c:pt idx="39">
                  <c:v>410.75734075793372</c:v>
                </c:pt>
                <c:pt idx="40">
                  <c:v>434.40173626523733</c:v>
                </c:pt>
                <c:pt idx="41">
                  <c:v>394.72356117692362</c:v>
                </c:pt>
                <c:pt idx="42">
                  <c:v>417.37048455983546</c:v>
                </c:pt>
                <c:pt idx="43">
                  <c:v>439.99093116362383</c:v>
                </c:pt>
                <c:pt idx="44">
                  <c:v>462.58645250591309</c:v>
                </c:pt>
                <c:pt idx="45">
                  <c:v>485.15843628013289</c:v>
                </c:pt>
                <c:pt idx="46">
                  <c:v>443.8008717585447</c:v>
                </c:pt>
                <c:pt idx="47">
                  <c:v>464.61633817298008</c:v>
                </c:pt>
                <c:pt idx="48">
                  <c:v>485.41192522927469</c:v>
                </c:pt>
                <c:pt idx="49">
                  <c:v>506.18860374788687</c:v>
                </c:pt>
                <c:pt idx="50">
                  <c:v>526.94725841435593</c:v>
                </c:pt>
                <c:pt idx="51">
                  <c:v>2.839744816738581E-12</c:v>
                </c:pt>
                <c:pt idx="52">
                  <c:v>2.839744816738581E-12</c:v>
                </c:pt>
                <c:pt idx="53">
                  <c:v>2.839744816738581E-12</c:v>
                </c:pt>
                <c:pt idx="54">
                  <c:v>2.839744816738581E-12</c:v>
                </c:pt>
                <c:pt idx="55">
                  <c:v>2.839744816738581E-12</c:v>
                </c:pt>
                <c:pt idx="56">
                  <c:v>2.839744816738581E-12</c:v>
                </c:pt>
                <c:pt idx="57">
                  <c:v>2.839744816738581E-12</c:v>
                </c:pt>
                <c:pt idx="58">
                  <c:v>2.839744816738581E-12</c:v>
                </c:pt>
                <c:pt idx="59">
                  <c:v>2.839744816738581E-12</c:v>
                </c:pt>
                <c:pt idx="60">
                  <c:v>2.839744816738581E-12</c:v>
                </c:pt>
                <c:pt idx="61">
                  <c:v>2.839744816738581E-12</c:v>
                </c:pt>
                <c:pt idx="62">
                  <c:v>2.839744816738581E-12</c:v>
                </c:pt>
                <c:pt idx="63">
                  <c:v>2.839744816738581E-12</c:v>
                </c:pt>
                <c:pt idx="64">
                  <c:v>2.839744816738581E-12</c:v>
                </c:pt>
                <c:pt idx="65">
                  <c:v>2.839744816738581E-12</c:v>
                </c:pt>
                <c:pt idx="66">
                  <c:v>2.839744816738581E-12</c:v>
                </c:pt>
                <c:pt idx="67">
                  <c:v>2.839744816738581E-12</c:v>
                </c:pt>
                <c:pt idx="68">
                  <c:v>2.839744816738581E-12</c:v>
                </c:pt>
                <c:pt idx="69">
                  <c:v>2.839744816738581E-12</c:v>
                </c:pt>
                <c:pt idx="70">
                  <c:v>2.839744816738581E-12</c:v>
                </c:pt>
                <c:pt idx="71">
                  <c:v>2.839744816738581E-12</c:v>
                </c:pt>
                <c:pt idx="72">
                  <c:v>2.839744816738581E-12</c:v>
                </c:pt>
                <c:pt idx="73">
                  <c:v>2.839744816738581E-12</c:v>
                </c:pt>
                <c:pt idx="74">
                  <c:v>2.839744816738581E-12</c:v>
                </c:pt>
                <c:pt idx="75">
                  <c:v>2.839744816738581E-12</c:v>
                </c:pt>
                <c:pt idx="76">
                  <c:v>2.839744816738581E-12</c:v>
                </c:pt>
                <c:pt idx="77">
                  <c:v>2.839744816738581E-12</c:v>
                </c:pt>
                <c:pt idx="78">
                  <c:v>2.839744816738581E-12</c:v>
                </c:pt>
                <c:pt idx="79">
                  <c:v>2.839744816738581E-12</c:v>
                </c:pt>
                <c:pt idx="80">
                  <c:v>2.839744816738581E-12</c:v>
                </c:pt>
                <c:pt idx="81">
                  <c:v>2.839744816738581E-12</c:v>
                </c:pt>
                <c:pt idx="82">
                  <c:v>2.839744816738581E-12</c:v>
                </c:pt>
                <c:pt idx="83">
                  <c:v>2.839744816738581E-12</c:v>
                </c:pt>
                <c:pt idx="84">
                  <c:v>2.839744816738581E-12</c:v>
                </c:pt>
                <c:pt idx="85">
                  <c:v>2.839744816738581E-12</c:v>
                </c:pt>
                <c:pt idx="86">
                  <c:v>2.839744816738581E-12</c:v>
                </c:pt>
                <c:pt idx="87">
                  <c:v>2.839744816738581E-12</c:v>
                </c:pt>
                <c:pt idx="88">
                  <c:v>2.839744816738581E-12</c:v>
                </c:pt>
                <c:pt idx="89">
                  <c:v>2.839744816738581E-12</c:v>
                </c:pt>
                <c:pt idx="90">
                  <c:v>2.839744816738581E-12</c:v>
                </c:pt>
                <c:pt idx="91">
                  <c:v>2.839744816738581E-12</c:v>
                </c:pt>
                <c:pt idx="92">
                  <c:v>2.839744816738581E-12</c:v>
                </c:pt>
                <c:pt idx="93">
                  <c:v>2.839744816738581E-12</c:v>
                </c:pt>
                <c:pt idx="94">
                  <c:v>2.839744816738581E-12</c:v>
                </c:pt>
                <c:pt idx="95">
                  <c:v>2.839744816738581E-12</c:v>
                </c:pt>
                <c:pt idx="96">
                  <c:v>2.839744816738581E-12</c:v>
                </c:pt>
                <c:pt idx="97">
                  <c:v>2.839744816738581E-12</c:v>
                </c:pt>
                <c:pt idx="98">
                  <c:v>2.839744816738581E-12</c:v>
                </c:pt>
                <c:pt idx="99">
                  <c:v>2.839744816738581E-12</c:v>
                </c:pt>
                <c:pt idx="100">
                  <c:v>2.839744816738581E-12</c:v>
                </c:pt>
                <c:pt idx="101">
                  <c:v>2.839744816738581E-12</c:v>
                </c:pt>
                <c:pt idx="102">
                  <c:v>2.839744816738581E-12</c:v>
                </c:pt>
                <c:pt idx="103">
                  <c:v>2.839744816738581E-12</c:v>
                </c:pt>
                <c:pt idx="104">
                  <c:v>2.839744816738581E-12</c:v>
                </c:pt>
                <c:pt idx="105">
                  <c:v>2.839744816738581E-12</c:v>
                </c:pt>
                <c:pt idx="106">
                  <c:v>2.839744816738581E-12</c:v>
                </c:pt>
                <c:pt idx="107">
                  <c:v>2.839744816738581E-12</c:v>
                </c:pt>
                <c:pt idx="108">
                  <c:v>2.839744816738581E-12</c:v>
                </c:pt>
                <c:pt idx="109">
                  <c:v>2.839744816738581E-12</c:v>
                </c:pt>
                <c:pt idx="110">
                  <c:v>2.839744816738581E-12</c:v>
                </c:pt>
                <c:pt idx="111">
                  <c:v>2.839744816738581E-12</c:v>
                </c:pt>
                <c:pt idx="112">
                  <c:v>2.839744816738581E-12</c:v>
                </c:pt>
                <c:pt idx="113">
                  <c:v>2.839744816738581E-12</c:v>
                </c:pt>
                <c:pt idx="114">
                  <c:v>2.839744816738581E-12</c:v>
                </c:pt>
                <c:pt idx="115">
                  <c:v>2.839744816738581E-12</c:v>
                </c:pt>
                <c:pt idx="116">
                  <c:v>2.839744816738581E-12</c:v>
                </c:pt>
                <c:pt idx="117">
                  <c:v>2.839744816738581E-12</c:v>
                </c:pt>
                <c:pt idx="118">
                  <c:v>2.839744816738581E-12</c:v>
                </c:pt>
                <c:pt idx="119">
                  <c:v>2.839744816738581E-12</c:v>
                </c:pt>
                <c:pt idx="120">
                  <c:v>2.839744816738581E-12</c:v>
                </c:pt>
                <c:pt idx="121">
                  <c:v>2.839744816738581E-12</c:v>
                </c:pt>
                <c:pt idx="122">
                  <c:v>2.839744816738581E-12</c:v>
                </c:pt>
                <c:pt idx="123">
                  <c:v>2.839744816738581E-12</c:v>
                </c:pt>
                <c:pt idx="124">
                  <c:v>2.839744816738581E-12</c:v>
                </c:pt>
                <c:pt idx="125">
                  <c:v>2.839744816738581E-12</c:v>
                </c:pt>
                <c:pt idx="126">
                  <c:v>2.839744816738581E-12</c:v>
                </c:pt>
                <c:pt idx="127">
                  <c:v>2.839744816738581E-12</c:v>
                </c:pt>
                <c:pt idx="128">
                  <c:v>2.839744816738581E-12</c:v>
                </c:pt>
                <c:pt idx="129">
                  <c:v>2.839744816738581E-12</c:v>
                </c:pt>
                <c:pt idx="130">
                  <c:v>2.839744816738581E-12</c:v>
                </c:pt>
                <c:pt idx="131">
                  <c:v>2.839744816738581E-12</c:v>
                </c:pt>
                <c:pt idx="132">
                  <c:v>2.839744816738581E-12</c:v>
                </c:pt>
                <c:pt idx="133">
                  <c:v>2.839744816738581E-12</c:v>
                </c:pt>
                <c:pt idx="134">
                  <c:v>2.839744816738581E-12</c:v>
                </c:pt>
                <c:pt idx="135">
                  <c:v>2.839744816738581E-12</c:v>
                </c:pt>
                <c:pt idx="136">
                  <c:v>2.839744816738581E-12</c:v>
                </c:pt>
                <c:pt idx="137">
                  <c:v>2.839744816738581E-12</c:v>
                </c:pt>
                <c:pt idx="138">
                  <c:v>2.839744816738581E-12</c:v>
                </c:pt>
                <c:pt idx="139">
                  <c:v>2.839744816738581E-12</c:v>
                </c:pt>
                <c:pt idx="140">
                  <c:v>2.839744816738581E-12</c:v>
                </c:pt>
                <c:pt idx="141">
                  <c:v>2.839744816738581E-12</c:v>
                </c:pt>
                <c:pt idx="142">
                  <c:v>2.839744816738581E-12</c:v>
                </c:pt>
                <c:pt idx="143">
                  <c:v>2.839744816738581E-12</c:v>
                </c:pt>
                <c:pt idx="144">
                  <c:v>2.839744816738581E-12</c:v>
                </c:pt>
                <c:pt idx="145">
                  <c:v>2.839744816738581E-12</c:v>
                </c:pt>
                <c:pt idx="146">
                  <c:v>2.839744816738581E-12</c:v>
                </c:pt>
                <c:pt idx="147">
                  <c:v>2.839744816738581E-12</c:v>
                </c:pt>
                <c:pt idx="148">
                  <c:v>2.839744816738581E-12</c:v>
                </c:pt>
                <c:pt idx="149">
                  <c:v>2.839744816738581E-12</c:v>
                </c:pt>
                <c:pt idx="150">
                  <c:v>2.839744816738581E-12</c:v>
                </c:pt>
                <c:pt idx="151">
                  <c:v>2.839744816738581E-12</c:v>
                </c:pt>
                <c:pt idx="152">
                  <c:v>2.839744816738581E-12</c:v>
                </c:pt>
                <c:pt idx="153">
                  <c:v>2.839744816738581E-12</c:v>
                </c:pt>
                <c:pt idx="154">
                  <c:v>2.839744816738581E-12</c:v>
                </c:pt>
                <c:pt idx="155">
                  <c:v>2.839744816738581E-12</c:v>
                </c:pt>
                <c:pt idx="156">
                  <c:v>2.839744816738581E-12</c:v>
                </c:pt>
                <c:pt idx="157">
                  <c:v>2.839744816738581E-12</c:v>
                </c:pt>
                <c:pt idx="158">
                  <c:v>2.839744816738581E-12</c:v>
                </c:pt>
                <c:pt idx="159">
                  <c:v>2.839744816738581E-12</c:v>
                </c:pt>
                <c:pt idx="160">
                  <c:v>2.839744816738581E-12</c:v>
                </c:pt>
                <c:pt idx="161">
                  <c:v>2.839744816738581E-12</c:v>
                </c:pt>
                <c:pt idx="162">
                  <c:v>2.839744816738581E-12</c:v>
                </c:pt>
                <c:pt idx="163">
                  <c:v>2.839744816738581E-12</c:v>
                </c:pt>
                <c:pt idx="164">
                  <c:v>2.839744816738581E-12</c:v>
                </c:pt>
                <c:pt idx="165">
                  <c:v>2.839744816738581E-12</c:v>
                </c:pt>
                <c:pt idx="166">
                  <c:v>2.839744816738581E-12</c:v>
                </c:pt>
                <c:pt idx="167">
                  <c:v>2.839744816738581E-12</c:v>
                </c:pt>
                <c:pt idx="168">
                  <c:v>2.839744816738581E-12</c:v>
                </c:pt>
                <c:pt idx="169">
                  <c:v>2.839744816738581E-12</c:v>
                </c:pt>
                <c:pt idx="170">
                  <c:v>2.839744816738581E-12</c:v>
                </c:pt>
                <c:pt idx="171">
                  <c:v>2.839744816738581E-12</c:v>
                </c:pt>
                <c:pt idx="172">
                  <c:v>2.839744816738581E-12</c:v>
                </c:pt>
                <c:pt idx="173">
                  <c:v>2.839744816738581E-12</c:v>
                </c:pt>
                <c:pt idx="174">
                  <c:v>2.839744816738581E-12</c:v>
                </c:pt>
                <c:pt idx="175">
                  <c:v>2.839744816738581E-12</c:v>
                </c:pt>
                <c:pt idx="176">
                  <c:v>2.839744816738581E-12</c:v>
                </c:pt>
                <c:pt idx="177">
                  <c:v>2.839744816738581E-12</c:v>
                </c:pt>
                <c:pt idx="178">
                  <c:v>2.839744816738581E-12</c:v>
                </c:pt>
                <c:pt idx="179">
                  <c:v>2.839744816738581E-12</c:v>
                </c:pt>
                <c:pt idx="180">
                  <c:v>2.839744816738581E-12</c:v>
                </c:pt>
                <c:pt idx="181">
                  <c:v>2.839744816738581E-12</c:v>
                </c:pt>
                <c:pt idx="182">
                  <c:v>2.839744816738581E-12</c:v>
                </c:pt>
                <c:pt idx="183">
                  <c:v>2.839744816738581E-12</c:v>
                </c:pt>
                <c:pt idx="184">
                  <c:v>2.839744816738581E-12</c:v>
                </c:pt>
                <c:pt idx="185">
                  <c:v>2.839744816738581E-12</c:v>
                </c:pt>
                <c:pt idx="186">
                  <c:v>2.839744816738581E-12</c:v>
                </c:pt>
                <c:pt idx="187">
                  <c:v>2.839744816738581E-12</c:v>
                </c:pt>
                <c:pt idx="188">
                  <c:v>2.839744816738581E-12</c:v>
                </c:pt>
                <c:pt idx="189">
                  <c:v>2.839744816738581E-12</c:v>
                </c:pt>
                <c:pt idx="190">
                  <c:v>2.839744816738581E-12</c:v>
                </c:pt>
                <c:pt idx="191">
                  <c:v>2.839744816738581E-12</c:v>
                </c:pt>
                <c:pt idx="192">
                  <c:v>2.839744816738581E-12</c:v>
                </c:pt>
                <c:pt idx="193">
                  <c:v>2.839744816738581E-12</c:v>
                </c:pt>
                <c:pt idx="194">
                  <c:v>2.839744816738581E-12</c:v>
                </c:pt>
                <c:pt idx="195">
                  <c:v>2.839744816738581E-12</c:v>
                </c:pt>
                <c:pt idx="196">
                  <c:v>2.839744816738581E-12</c:v>
                </c:pt>
                <c:pt idx="197">
                  <c:v>2.839744816738581E-12</c:v>
                </c:pt>
                <c:pt idx="198">
                  <c:v>2.839744816738581E-12</c:v>
                </c:pt>
                <c:pt idx="199">
                  <c:v>2.839744816738581E-12</c:v>
                </c:pt>
                <c:pt idx="200">
                  <c:v>2.839744816738581E-12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1.9682721765140532</c:v>
                </c:pt>
                <c:pt idx="2">
                  <c:v>2.4981061819104675</c:v>
                </c:pt>
                <c:pt idx="3">
                  <c:v>3.1711338890237304</c:v>
                </c:pt>
                <c:pt idx="4">
                  <c:v>4.0262002490174442</c:v>
                </c:pt>
                <c:pt idx="5">
                  <c:v>5.112724806750041</c:v>
                </c:pt>
                <c:pt idx="6">
                  <c:v>6.4935897223338683</c:v>
                </c:pt>
                <c:pt idx="7">
                  <c:v>8.2488188968124181</c:v>
                </c:pt>
                <c:pt idx="8">
                  <c:v>10.480265499011379</c:v>
                </c:pt>
                <c:pt idx="9">
                  <c:v>13.317585025557497</c:v>
                </c:pt>
                <c:pt idx="10">
                  <c:v>16.92584737434435</c:v>
                </c:pt>
                <c:pt idx="11">
                  <c:v>21.515238840014391</c:v>
                </c:pt>
                <c:pt idx="12">
                  <c:v>27.353429280170602</c:v>
                </c:pt>
                <c:pt idx="13">
                  <c:v>34.781338401158301</c:v>
                </c:pt>
                <c:pt idx="14">
                  <c:v>44.233237685444927</c:v>
                </c:pt>
                <c:pt idx="15">
                  <c:v>56.262383080284224</c:v>
                </c:pt>
                <c:pt idx="16">
                  <c:v>71.418161045874058</c:v>
                </c:pt>
                <c:pt idx="17">
                  <c:v>86.491167829522624</c:v>
                </c:pt>
                <c:pt idx="18">
                  <c:v>101.49793981919532</c:v>
                </c:pt>
                <c:pt idx="19">
                  <c:v>116.44968184198814</c:v>
                </c:pt>
                <c:pt idx="20">
                  <c:v>131.35446970954578</c:v>
                </c:pt>
                <c:pt idx="21">
                  <c:v>129.78756206585908</c:v>
                </c:pt>
                <c:pt idx="22">
                  <c:v>147.78083841069224</c:v>
                </c:pt>
                <c:pt idx="23">
                  <c:v>165.7217707368807</c:v>
                </c:pt>
                <c:pt idx="24">
                  <c:v>183.6168280453945</c:v>
                </c:pt>
                <c:pt idx="25">
                  <c:v>201.47111266072739</c:v>
                </c:pt>
                <c:pt idx="26">
                  <c:v>175.06369642864445</c:v>
                </c:pt>
                <c:pt idx="27">
                  <c:v>193.97182170496015</c:v>
                </c:pt>
                <c:pt idx="28">
                  <c:v>212.83708887213754</c:v>
                </c:pt>
                <c:pt idx="29">
                  <c:v>231.66383182460814</c:v>
                </c:pt>
                <c:pt idx="30">
                  <c:v>250.45562182479364</c:v>
                </c:pt>
                <c:pt idx="31">
                  <c:v>223.67337571267649</c:v>
                </c:pt>
                <c:pt idx="32">
                  <c:v>241.96482912220847</c:v>
                </c:pt>
                <c:pt idx="33">
                  <c:v>260.22483038651933</c:v>
                </c:pt>
                <c:pt idx="34">
                  <c:v>278.45589678624464</c:v>
                </c:pt>
                <c:pt idx="35">
                  <c:v>296.6601889647884</c:v>
                </c:pt>
                <c:pt idx="36">
                  <c:v>268.70188491946999</c:v>
                </c:pt>
                <c:pt idx="37">
                  <c:v>285.63814189539363</c:v>
                </c:pt>
                <c:pt idx="38">
                  <c:v>302.55193079450152</c:v>
                </c:pt>
                <c:pt idx="39">
                  <c:v>319.44468427368446</c:v>
                </c:pt>
                <c:pt idx="40">
                  <c:v>336.3176710921274</c:v>
                </c:pt>
                <c:pt idx="41">
                  <c:v>306.90505238979614</c:v>
                </c:pt>
                <c:pt idx="42">
                  <c:v>322.25818930207623</c:v>
                </c:pt>
                <c:pt idx="43">
                  <c:v>337.59515490696026</c:v>
                </c:pt>
                <c:pt idx="44">
                  <c:v>352.91678725781003</c:v>
                </c:pt>
                <c:pt idx="45">
                  <c:v>368.22384570264688</c:v>
                </c:pt>
                <c:pt idx="46">
                  <c:v>338.36159407720385</c:v>
                </c:pt>
                <c:pt idx="47">
                  <c:v>353.17202231575806</c:v>
                </c:pt>
                <c:pt idx="48">
                  <c:v>367.96884365668006</c:v>
                </c:pt>
                <c:pt idx="49">
                  <c:v>382.75268227452921</c:v>
                </c:pt>
                <c:pt idx="50">
                  <c:v>397.52411019447663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2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2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2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2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2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2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2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2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2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2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2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2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2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2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2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2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2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2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5" zoomScale="81" zoomScaleNormal="55" workbookViewId="0">
      <selection activeCell="B125" sqref="B125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75" t="s">
        <v>190</v>
      </c>
      <c r="D1" s="275"/>
      <c r="E1" s="27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282" t="s">
        <v>231</v>
      </c>
      <c r="B5" s="282"/>
      <c r="C5" s="26">
        <v>4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" x14ac:dyDescent="0.2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36</v>
      </c>
      <c r="C9" s="35">
        <v>0.25</v>
      </c>
      <c r="D9" s="36">
        <f t="shared" ref="D9:D18" si="0">C9*$C$5</f>
        <v>1</v>
      </c>
      <c r="E9" s="37">
        <v>50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164</v>
      </c>
      <c r="C10" s="35">
        <v>0.25</v>
      </c>
      <c r="D10" s="36">
        <f t="shared" si="0"/>
        <v>1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35</v>
      </c>
      <c r="C11" s="35">
        <v>0.25</v>
      </c>
      <c r="D11" s="36">
        <f t="shared" si="0"/>
        <v>1</v>
      </c>
      <c r="E11" s="37">
        <v>50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138</v>
      </c>
      <c r="C12" s="35">
        <v>0.25</v>
      </c>
      <c r="D12" s="36">
        <f t="shared" si="0"/>
        <v>1</v>
      </c>
      <c r="E12" s="37">
        <v>50</v>
      </c>
      <c r="F12" s="38" t="str">
        <f t="array" ref="F12">IF(E12="","",IF(INDEX(A:A,MAX(IF(ISNUMBER($A$114:$A$133),ROW($A$114:$A$133),"")))&lt;&gt;E12,"Corrigez : révolution incorrecte","OK"))</f>
        <v>OK</v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1"/>
      <c r="B19" s="39" t="s">
        <v>175</v>
      </c>
      <c r="C19" s="40">
        <f>SUM(C9:C18)</f>
        <v>1</v>
      </c>
      <c r="D19" s="41">
        <f>SUM(D9:D18)</f>
        <v>4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2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2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maritime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71" t="s">
        <v>186</v>
      </c>
      <c r="D34" s="271"/>
      <c r="E34" s="272" t="s">
        <v>187</v>
      </c>
      <c r="F34" s="273"/>
      <c r="G34" s="273"/>
      <c r="H34" s="274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15</v>
      </c>
      <c r="B36" s="63">
        <v>41</v>
      </c>
      <c r="C36" s="63">
        <v>1</v>
      </c>
      <c r="D36" s="63">
        <v>0</v>
      </c>
      <c r="E36" s="54">
        <v>0</v>
      </c>
      <c r="F36" s="54">
        <v>0.56000000000000005</v>
      </c>
      <c r="G36" s="54">
        <v>0.44</v>
      </c>
      <c r="H36" s="94"/>
      <c r="I36" s="52">
        <f>IFERROR(B36/A36,"")</f>
        <v>2.7333333333333334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20</v>
      </c>
      <c r="B37" s="63">
        <v>98</v>
      </c>
      <c r="C37" s="63">
        <v>2</v>
      </c>
      <c r="D37" s="63">
        <v>15</v>
      </c>
      <c r="E37" s="54">
        <v>0</v>
      </c>
      <c r="F37" s="54">
        <v>0.56000000000000005</v>
      </c>
      <c r="G37" s="54">
        <v>0.44</v>
      </c>
      <c r="H37" s="94"/>
      <c r="I37" s="56">
        <f t="shared" ref="I37:I55" si="1">IF(A37&lt;&gt;0,(B37-(B36-D36))/(A37-A36),"")</f>
        <v>11.4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25</v>
      </c>
      <c r="B38" s="63">
        <v>152</v>
      </c>
      <c r="C38" s="63">
        <v>3</v>
      </c>
      <c r="D38" s="63">
        <v>35</v>
      </c>
      <c r="E38" s="54">
        <v>0</v>
      </c>
      <c r="F38" s="54">
        <v>0.56000000000000005</v>
      </c>
      <c r="G38" s="54">
        <v>0.44</v>
      </c>
      <c r="H38" s="94"/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30</v>
      </c>
      <c r="B39" s="63">
        <v>190</v>
      </c>
      <c r="C39" s="63">
        <v>4</v>
      </c>
      <c r="D39" s="63">
        <v>35</v>
      </c>
      <c r="E39" s="54">
        <v>0</v>
      </c>
      <c r="F39" s="54">
        <v>0.56000000000000005</v>
      </c>
      <c r="G39" s="54">
        <v>0.44</v>
      </c>
      <c r="H39" s="94"/>
      <c r="I39" s="52">
        <f t="shared" si="1"/>
        <v>14.6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35</v>
      </c>
      <c r="B40" s="63">
        <v>226</v>
      </c>
      <c r="C40" s="63">
        <v>5</v>
      </c>
      <c r="D40" s="63">
        <v>35</v>
      </c>
      <c r="E40" s="54">
        <v>0.2</v>
      </c>
      <c r="F40" s="54">
        <v>0.44800000000000006</v>
      </c>
      <c r="G40" s="54">
        <v>0.35200000000000004</v>
      </c>
      <c r="H40" s="94"/>
      <c r="I40" s="52">
        <f t="shared" si="1"/>
        <v>14.2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40</v>
      </c>
      <c r="B41" s="63">
        <v>257</v>
      </c>
      <c r="C41" s="63">
        <v>6</v>
      </c>
      <c r="D41" s="63">
        <v>35</v>
      </c>
      <c r="E41" s="54">
        <v>0.4</v>
      </c>
      <c r="F41" s="54">
        <v>0.33600000000000002</v>
      </c>
      <c r="G41" s="54">
        <v>0.26400000000000001</v>
      </c>
      <c r="H41" s="94"/>
      <c r="I41" s="56">
        <f t="shared" si="1"/>
        <v>13.2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45</v>
      </c>
      <c r="B42" s="63">
        <v>282</v>
      </c>
      <c r="C42" s="63">
        <v>7</v>
      </c>
      <c r="D42" s="63">
        <v>35</v>
      </c>
      <c r="E42" s="54">
        <v>0.6</v>
      </c>
      <c r="F42" s="54">
        <v>0.22400000000000003</v>
      </c>
      <c r="G42" s="54">
        <v>0.17600000000000002</v>
      </c>
      <c r="H42" s="94"/>
      <c r="I42" s="56">
        <f t="shared" si="1"/>
        <v>12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53">
        <v>50</v>
      </c>
      <c r="B43" s="63">
        <v>305</v>
      </c>
      <c r="C43" s="63">
        <v>8</v>
      </c>
      <c r="D43" s="63">
        <v>305</v>
      </c>
      <c r="E43" s="54">
        <v>0.8</v>
      </c>
      <c r="F43" s="54">
        <v>0.11</v>
      </c>
      <c r="G43" s="54">
        <v>0.09</v>
      </c>
      <c r="H43" s="94"/>
      <c r="I43" s="52">
        <f t="shared" si="1"/>
        <v>11.6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63"/>
      <c r="B44" s="63"/>
      <c r="C44" s="63"/>
      <c r="D44" s="63"/>
      <c r="E44" s="94"/>
      <c r="F44" s="94"/>
      <c r="G44" s="94"/>
      <c r="H44" s="9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63"/>
      <c r="B45" s="63"/>
      <c r="C45" s="63"/>
      <c r="D45" s="63"/>
      <c r="E45" s="94"/>
      <c r="F45" s="94"/>
      <c r="G45" s="94"/>
      <c r="H45" s="9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63"/>
      <c r="B46" s="63"/>
      <c r="C46" s="63"/>
      <c r="D46" s="63"/>
      <c r="E46" s="94"/>
      <c r="F46" s="94"/>
      <c r="G46" s="94"/>
      <c r="H46" s="9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63"/>
      <c r="B47" s="63"/>
      <c r="C47" s="63"/>
      <c r="D47" s="63"/>
      <c r="E47" s="94"/>
      <c r="F47" s="94"/>
      <c r="G47" s="94"/>
      <c r="H47" s="9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63"/>
      <c r="B48" s="63"/>
      <c r="C48" s="63"/>
      <c r="D48" s="63"/>
      <c r="E48" s="68"/>
      <c r="F48" s="68"/>
      <c r="G48" s="68"/>
      <c r="H48" s="68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63"/>
      <c r="B49" s="63"/>
      <c r="C49" s="63"/>
      <c r="D49" s="63"/>
      <c r="E49" s="68"/>
      <c r="F49" s="68"/>
      <c r="G49" s="68"/>
      <c r="H49" s="68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63"/>
      <c r="B50" s="53"/>
      <c r="C50" s="63"/>
      <c r="D50" s="53"/>
      <c r="E50" s="57"/>
      <c r="F50" s="57"/>
      <c r="G50" s="57"/>
      <c r="H50" s="57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63"/>
      <c r="B51" s="53"/>
      <c r="C51" s="63"/>
      <c r="D51" s="53"/>
      <c r="E51" s="57"/>
      <c r="F51" s="57"/>
      <c r="G51" s="57"/>
      <c r="H51" s="57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63"/>
      <c r="B52" s="53"/>
      <c r="C52" s="63"/>
      <c r="D52" s="53"/>
      <c r="E52" s="57"/>
      <c r="F52" s="57"/>
      <c r="G52" s="57"/>
      <c r="H52" s="57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63"/>
      <c r="B53" s="53"/>
      <c r="C53" s="63"/>
      <c r="D53" s="53"/>
      <c r="E53" s="57"/>
      <c r="F53" s="57"/>
      <c r="G53" s="57"/>
      <c r="H53" s="57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63"/>
      <c r="B54" s="53"/>
      <c r="C54" s="63"/>
      <c r="D54" s="53"/>
      <c r="E54" s="57"/>
      <c r="F54" s="57"/>
      <c r="G54" s="57"/>
      <c r="H54" s="57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63"/>
      <c r="B55" s="53"/>
      <c r="C55" s="63"/>
      <c r="D55" s="53"/>
      <c r="E55" s="57"/>
      <c r="F55" s="57"/>
      <c r="G55" s="57"/>
      <c r="H55" s="57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Cèdre de l'Atlas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71" t="s">
        <v>186</v>
      </c>
      <c r="D60" s="271"/>
      <c r="E60" s="272" t="s">
        <v>187</v>
      </c>
      <c r="F60" s="273"/>
      <c r="G60" s="273"/>
      <c r="H60" s="274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63">
        <v>30</v>
      </c>
      <c r="B62" s="63">
        <v>170</v>
      </c>
      <c r="C62" s="63">
        <v>1</v>
      </c>
      <c r="D62" s="63">
        <v>40</v>
      </c>
      <c r="E62" s="54">
        <v>0</v>
      </c>
      <c r="F62" s="54">
        <v>0.56000000000000005</v>
      </c>
      <c r="G62" s="54">
        <v>0.44</v>
      </c>
      <c r="H62" s="94"/>
      <c r="I62" s="56">
        <f>IFERROR(B62/A62,"")</f>
        <v>5.666666666666667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63">
        <v>40</v>
      </c>
      <c r="B63" s="63">
        <v>230</v>
      </c>
      <c r="C63" s="63">
        <v>2</v>
      </c>
      <c r="D63" s="63">
        <v>40</v>
      </c>
      <c r="E63" s="54">
        <v>0.2</v>
      </c>
      <c r="F63" s="54">
        <v>0.44800000000000006</v>
      </c>
      <c r="G63" s="54">
        <v>0.35200000000000004</v>
      </c>
      <c r="H63" s="94"/>
      <c r="I63" s="52">
        <f>IF(A63&lt;&gt;0,(B63-(B62-D62))/(A63-A62),"")</f>
        <v>10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63">
        <v>50</v>
      </c>
      <c r="B64" s="63">
        <v>290</v>
      </c>
      <c r="C64" s="63">
        <v>3</v>
      </c>
      <c r="D64" s="63">
        <v>290</v>
      </c>
      <c r="E64" s="54">
        <v>0.7</v>
      </c>
      <c r="F64" s="54">
        <f>F62*0.3</f>
        <v>0.16800000000000001</v>
      </c>
      <c r="G64" s="54">
        <f>1-F64-E64</f>
        <v>0.13200000000000001</v>
      </c>
      <c r="H64" s="9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63"/>
      <c r="B65" s="63"/>
      <c r="C65" s="63"/>
      <c r="D65" s="63"/>
      <c r="E65" s="54"/>
      <c r="F65" s="54"/>
      <c r="G65" s="54"/>
      <c r="H65" s="9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63"/>
      <c r="B66" s="63"/>
      <c r="C66" s="63"/>
      <c r="D66" s="63"/>
      <c r="E66" s="94"/>
      <c r="F66" s="94"/>
      <c r="G66" s="94"/>
      <c r="H66" s="9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63"/>
      <c r="B67" s="63"/>
      <c r="C67" s="63"/>
      <c r="D67" s="63"/>
      <c r="E67" s="94"/>
      <c r="F67" s="94"/>
      <c r="G67" s="94"/>
      <c r="H67" s="9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63"/>
      <c r="B68" s="63"/>
      <c r="C68" s="63"/>
      <c r="D68" s="63"/>
      <c r="E68" s="94"/>
      <c r="F68" s="94"/>
      <c r="G68" s="94"/>
      <c r="H68" s="9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63"/>
      <c r="B69" s="63"/>
      <c r="C69" s="63"/>
      <c r="D69" s="63"/>
      <c r="E69" s="94"/>
      <c r="F69" s="94"/>
      <c r="G69" s="94"/>
      <c r="H69" s="9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63"/>
      <c r="B70" s="63"/>
      <c r="C70" s="63"/>
      <c r="D70" s="63"/>
      <c r="E70" s="94"/>
      <c r="F70" s="94"/>
      <c r="G70" s="94"/>
      <c r="H70" s="9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63"/>
      <c r="B71" s="63"/>
      <c r="C71" s="63"/>
      <c r="D71" s="63"/>
      <c r="E71" s="94"/>
      <c r="F71" s="94"/>
      <c r="G71" s="94"/>
      <c r="H71" s="9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63"/>
      <c r="B72" s="63"/>
      <c r="C72" s="63"/>
      <c r="D72" s="63"/>
      <c r="E72" s="94"/>
      <c r="F72" s="94"/>
      <c r="G72" s="94"/>
      <c r="H72" s="9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63"/>
      <c r="B73" s="63"/>
      <c r="C73" s="63"/>
      <c r="D73" s="63"/>
      <c r="E73" s="68"/>
      <c r="F73" s="68"/>
      <c r="G73" s="68"/>
      <c r="H73" s="68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63"/>
      <c r="B74" s="63"/>
      <c r="C74" s="63"/>
      <c r="D74" s="63"/>
      <c r="E74" s="57"/>
      <c r="F74" s="57"/>
      <c r="G74" s="57"/>
      <c r="H74" s="57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63"/>
      <c r="B75" s="63"/>
      <c r="C75" s="63"/>
      <c r="D75" s="63"/>
      <c r="E75" s="57"/>
      <c r="F75" s="57"/>
      <c r="G75" s="57"/>
      <c r="H75" s="57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63"/>
      <c r="B76" s="53"/>
      <c r="C76" s="63"/>
      <c r="D76" s="53"/>
      <c r="E76" s="57"/>
      <c r="F76" s="57"/>
      <c r="G76" s="57"/>
      <c r="H76" s="57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63"/>
      <c r="B77" s="53"/>
      <c r="C77" s="63"/>
      <c r="D77" s="53"/>
      <c r="E77" s="57"/>
      <c r="F77" s="57"/>
      <c r="G77" s="57"/>
      <c r="H77" s="57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63"/>
      <c r="B78" s="53"/>
      <c r="C78" s="63"/>
      <c r="D78" s="53"/>
      <c r="E78" s="57"/>
      <c r="F78" s="57"/>
      <c r="G78" s="57"/>
      <c r="H78" s="57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63"/>
      <c r="B79" s="53"/>
      <c r="C79" s="63"/>
      <c r="D79" s="53"/>
      <c r="E79" s="57"/>
      <c r="F79" s="57"/>
      <c r="G79" s="57"/>
      <c r="H79" s="57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63"/>
      <c r="B80" s="53"/>
      <c r="C80" s="63"/>
      <c r="D80" s="53"/>
      <c r="E80" s="57"/>
      <c r="F80" s="57"/>
      <c r="G80" s="57"/>
      <c r="H80" s="57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63"/>
      <c r="B81" s="53"/>
      <c r="C81" s="63"/>
      <c r="D81" s="53"/>
      <c r="E81" s="57"/>
      <c r="F81" s="57"/>
      <c r="G81" s="57"/>
      <c r="H81" s="57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Pin laricio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71" t="s">
        <v>186</v>
      </c>
      <c r="D86" s="271"/>
      <c r="E86" s="272" t="s">
        <v>187</v>
      </c>
      <c r="F86" s="273"/>
      <c r="G86" s="273"/>
      <c r="H86" s="274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15</v>
      </c>
      <c r="B88" s="63">
        <v>75</v>
      </c>
      <c r="C88" s="63">
        <v>1</v>
      </c>
      <c r="D88" s="63">
        <v>0</v>
      </c>
      <c r="E88" s="54">
        <v>0</v>
      </c>
      <c r="F88" s="54">
        <v>0.56000000000000005</v>
      </c>
      <c r="G88" s="54">
        <v>0.44</v>
      </c>
      <c r="H88" s="54"/>
      <c r="I88" s="56">
        <f>IFERROR(B88/A88,"")</f>
        <v>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20</v>
      </c>
      <c r="B89" s="63">
        <v>152</v>
      </c>
      <c r="C89" s="63">
        <v>2</v>
      </c>
      <c r="D89" s="63">
        <v>42</v>
      </c>
      <c r="E89" s="54">
        <v>0</v>
      </c>
      <c r="F89" s="54">
        <v>0.56000000000000005</v>
      </c>
      <c r="G89" s="54">
        <v>0.44</v>
      </c>
      <c r="H89" s="54"/>
      <c r="I89" s="56">
        <f t="shared" ref="I89:I107" si="3">IF(A89&lt;&gt;0,(B89-(B88-D88))/(A89-A88),"")</f>
        <v>15.4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25</v>
      </c>
      <c r="B90" s="63">
        <v>199</v>
      </c>
      <c r="C90" s="63">
        <v>3</v>
      </c>
      <c r="D90" s="63">
        <v>49</v>
      </c>
      <c r="E90" s="54">
        <v>0</v>
      </c>
      <c r="F90" s="54">
        <v>0.56000000000000005</v>
      </c>
      <c r="G90" s="54">
        <v>0.44</v>
      </c>
      <c r="H90" s="54"/>
      <c r="I90" s="56">
        <f t="shared" si="3"/>
        <v>17.8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30</v>
      </c>
      <c r="B91" s="63">
        <v>244</v>
      </c>
      <c r="C91" s="63">
        <v>4</v>
      </c>
      <c r="D91" s="63">
        <v>49</v>
      </c>
      <c r="E91" s="54">
        <v>0</v>
      </c>
      <c r="F91" s="54">
        <v>0.56000000000000005</v>
      </c>
      <c r="G91" s="54">
        <v>0.44</v>
      </c>
      <c r="H91" s="54"/>
      <c r="I91" s="56">
        <f t="shared" si="3"/>
        <v>18.8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35</v>
      </c>
      <c r="B92" s="63">
        <v>290</v>
      </c>
      <c r="C92" s="63">
        <v>5</v>
      </c>
      <c r="D92" s="63">
        <v>49</v>
      </c>
      <c r="E92" s="54">
        <v>0.2</v>
      </c>
      <c r="F92" s="54">
        <v>0.44800000000000006</v>
      </c>
      <c r="G92" s="54">
        <v>0.35200000000000004</v>
      </c>
      <c r="H92" s="54"/>
      <c r="I92" s="56">
        <f t="shared" si="3"/>
        <v>19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40</v>
      </c>
      <c r="B93" s="63">
        <v>334</v>
      </c>
      <c r="C93" s="63">
        <v>6</v>
      </c>
      <c r="D93" s="63">
        <v>49</v>
      </c>
      <c r="E93" s="54">
        <v>0.4</v>
      </c>
      <c r="F93" s="54">
        <v>0.33600000000000002</v>
      </c>
      <c r="G93" s="54">
        <v>0.26400000000000001</v>
      </c>
      <c r="H93" s="54"/>
      <c r="I93" s="56">
        <f t="shared" si="3"/>
        <v>18.600000000000001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45</v>
      </c>
      <c r="B94" s="63">
        <v>374</v>
      </c>
      <c r="C94" s="63">
        <v>7</v>
      </c>
      <c r="D94" s="63">
        <v>49</v>
      </c>
      <c r="E94" s="54">
        <v>0.6</v>
      </c>
      <c r="F94" s="54">
        <v>0.22400000000000003</v>
      </c>
      <c r="G94" s="54">
        <v>0.17600000000000002</v>
      </c>
      <c r="H94" s="54"/>
      <c r="I94" s="56">
        <f t="shared" si="3"/>
        <v>17.8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53">
        <v>50</v>
      </c>
      <c r="B95" s="63">
        <v>407</v>
      </c>
      <c r="C95" s="63">
        <v>8</v>
      </c>
      <c r="D95" s="63">
        <v>407</v>
      </c>
      <c r="E95" s="54">
        <v>0.8</v>
      </c>
      <c r="F95" s="54">
        <v>0.11</v>
      </c>
      <c r="G95" s="54">
        <v>0.09</v>
      </c>
      <c r="H95" s="54"/>
      <c r="I95" s="56">
        <f t="shared" si="3"/>
        <v>16.399999999999999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53"/>
      <c r="B96" s="63"/>
      <c r="C96" s="63"/>
      <c r="D96" s="63"/>
      <c r="E96" s="54"/>
      <c r="F96" s="54"/>
      <c r="G96" s="54"/>
      <c r="H96" s="5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53"/>
      <c r="B97" s="63"/>
      <c r="C97" s="63"/>
      <c r="D97" s="63"/>
      <c r="E97" s="54"/>
      <c r="F97" s="54"/>
      <c r="G97" s="54"/>
      <c r="H97" s="9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53"/>
      <c r="B98" s="63"/>
      <c r="C98" s="63"/>
      <c r="D98" s="63"/>
      <c r="E98" s="54"/>
      <c r="F98" s="54"/>
      <c r="G98" s="5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53"/>
      <c r="B99" s="63"/>
      <c r="C99" s="63"/>
      <c r="D99" s="63"/>
      <c r="E99" s="94"/>
      <c r="F99" s="94"/>
      <c r="G99" s="94"/>
      <c r="H99" s="68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53"/>
      <c r="C101" s="63"/>
      <c r="D101" s="63"/>
      <c r="E101" s="57"/>
      <c r="F101" s="57"/>
      <c r="G101" s="57"/>
      <c r="H101" s="57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6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63"/>
      <c r="B105" s="53"/>
      <c r="C105" s="6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63"/>
      <c r="B106" s="53"/>
      <c r="C106" s="6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63"/>
      <c r="B107" s="53"/>
      <c r="C107" s="6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Pin taeda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71" t="s">
        <v>186</v>
      </c>
      <c r="D112" s="271"/>
      <c r="E112" s="272" t="s">
        <v>187</v>
      </c>
      <c r="F112" s="273"/>
      <c r="G112" s="273"/>
      <c r="H112" s="274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15</v>
      </c>
      <c r="B114" s="63">
        <v>41</v>
      </c>
      <c r="C114" s="63">
        <v>1</v>
      </c>
      <c r="D114" s="63">
        <v>0</v>
      </c>
      <c r="E114" s="54">
        <v>0</v>
      </c>
      <c r="F114" s="54">
        <v>0.56000000000000005</v>
      </c>
      <c r="G114" s="54">
        <v>0.44</v>
      </c>
      <c r="H114" s="94"/>
      <c r="I114" s="56">
        <f>IFERROR(B114/A114,"")</f>
        <v>2.7333333333333334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20</v>
      </c>
      <c r="B115" s="63">
        <v>98</v>
      </c>
      <c r="C115" s="63">
        <v>2</v>
      </c>
      <c r="D115" s="63">
        <v>15</v>
      </c>
      <c r="E115" s="54">
        <v>0</v>
      </c>
      <c r="F115" s="54">
        <v>0.56000000000000005</v>
      </c>
      <c r="G115" s="54">
        <v>0.44</v>
      </c>
      <c r="H115" s="94"/>
      <c r="I115" s="56">
        <f t="shared" ref="I115:I133" si="4">IF(A115&lt;&gt;0,(B115-(B114-D114))/(A115-A114),"")</f>
        <v>11.4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25</v>
      </c>
      <c r="B116" s="63">
        <v>152</v>
      </c>
      <c r="C116" s="63">
        <v>3</v>
      </c>
      <c r="D116" s="63">
        <v>35</v>
      </c>
      <c r="E116" s="54">
        <v>0</v>
      </c>
      <c r="F116" s="54">
        <v>0.56000000000000005</v>
      </c>
      <c r="G116" s="54">
        <v>0.44</v>
      </c>
      <c r="H116" s="94"/>
      <c r="I116" s="56">
        <f t="shared" si="4"/>
        <v>13.8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30</v>
      </c>
      <c r="B117" s="63">
        <v>190</v>
      </c>
      <c r="C117" s="63">
        <v>4</v>
      </c>
      <c r="D117" s="63">
        <v>35</v>
      </c>
      <c r="E117" s="54">
        <v>0</v>
      </c>
      <c r="F117" s="54">
        <v>0.56000000000000005</v>
      </c>
      <c r="G117" s="54">
        <v>0.44</v>
      </c>
      <c r="H117" s="94"/>
      <c r="I117" s="56">
        <f t="shared" si="4"/>
        <v>14.6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35</v>
      </c>
      <c r="B118" s="63">
        <v>226</v>
      </c>
      <c r="C118" s="63">
        <v>5</v>
      </c>
      <c r="D118" s="63">
        <v>35</v>
      </c>
      <c r="E118" s="54">
        <v>0.2</v>
      </c>
      <c r="F118" s="54">
        <v>0.44800000000000006</v>
      </c>
      <c r="G118" s="54">
        <v>0.35200000000000004</v>
      </c>
      <c r="H118" s="94"/>
      <c r="I118" s="56">
        <f t="shared" si="4"/>
        <v>14.2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40</v>
      </c>
      <c r="B119" s="63">
        <v>257</v>
      </c>
      <c r="C119" s="63">
        <v>6</v>
      </c>
      <c r="D119" s="63">
        <v>35</v>
      </c>
      <c r="E119" s="54">
        <v>0.4</v>
      </c>
      <c r="F119" s="54">
        <v>0.33600000000000002</v>
      </c>
      <c r="G119" s="54">
        <v>0.26400000000000001</v>
      </c>
      <c r="H119" s="94"/>
      <c r="I119" s="56">
        <f t="shared" si="4"/>
        <v>13.2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53">
        <v>45</v>
      </c>
      <c r="B120" s="63">
        <v>282</v>
      </c>
      <c r="C120" s="63">
        <v>7</v>
      </c>
      <c r="D120" s="63">
        <v>35</v>
      </c>
      <c r="E120" s="54">
        <v>0.6</v>
      </c>
      <c r="F120" s="54">
        <v>0.22400000000000003</v>
      </c>
      <c r="G120" s="54">
        <v>0.17600000000000002</v>
      </c>
      <c r="H120" s="94"/>
      <c r="I120" s="56">
        <f t="shared" si="4"/>
        <v>12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53">
        <v>50</v>
      </c>
      <c r="B121" s="63">
        <v>305</v>
      </c>
      <c r="C121" s="63">
        <v>8</v>
      </c>
      <c r="D121" s="63">
        <v>305</v>
      </c>
      <c r="E121" s="54">
        <v>0.8</v>
      </c>
      <c r="F121" s="54">
        <v>0.11</v>
      </c>
      <c r="G121" s="54">
        <v>0.09</v>
      </c>
      <c r="H121" s="94"/>
      <c r="I121" s="56">
        <f t="shared" si="4"/>
        <v>11.6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68"/>
      <c r="F125" s="68"/>
      <c r="G125" s="68"/>
      <c r="H125" s="68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53"/>
      <c r="C127" s="63"/>
      <c r="D127" s="63"/>
      <c r="E127" s="57"/>
      <c r="F127" s="57"/>
      <c r="G127" s="57"/>
      <c r="H127" s="57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63"/>
      <c r="B128" s="53"/>
      <c r="C128" s="63"/>
      <c r="D128" s="6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63"/>
      <c r="B129" s="53"/>
      <c r="C129" s="6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63"/>
      <c r="B130" s="53"/>
      <c r="C130" s="6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71" t="s">
        <v>186</v>
      </c>
      <c r="D138" s="271"/>
      <c r="E138" s="272" t="s">
        <v>187</v>
      </c>
      <c r="F138" s="273"/>
      <c r="G138" s="273"/>
      <c r="H138" s="274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63"/>
      <c r="B140" s="63"/>
      <c r="C140" s="63"/>
      <c r="D140" s="63"/>
      <c r="E140" s="54"/>
      <c r="F140" s="54"/>
      <c r="G140" s="54"/>
      <c r="H140" s="9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63"/>
      <c r="B141" s="63"/>
      <c r="C141" s="63"/>
      <c r="D141" s="63"/>
      <c r="E141" s="54"/>
      <c r="F141" s="54"/>
      <c r="G141" s="54"/>
      <c r="H141" s="9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63"/>
      <c r="B142" s="63"/>
      <c r="C142" s="63"/>
      <c r="D142" s="63"/>
      <c r="E142" s="54"/>
      <c r="F142" s="54"/>
      <c r="G142" s="54"/>
      <c r="H142" s="9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63"/>
      <c r="B143" s="63"/>
      <c r="C143" s="63"/>
      <c r="D143" s="63"/>
      <c r="E143" s="54"/>
      <c r="F143" s="54"/>
      <c r="G143" s="54"/>
      <c r="H143" s="9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63"/>
      <c r="B144" s="63"/>
      <c r="C144" s="63"/>
      <c r="D144" s="63"/>
      <c r="E144" s="54"/>
      <c r="F144" s="54"/>
      <c r="G144" s="54"/>
      <c r="H144" s="9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63"/>
      <c r="B145" s="63"/>
      <c r="C145" s="63"/>
      <c r="D145" s="63"/>
      <c r="E145" s="94"/>
      <c r="F145" s="94"/>
      <c r="G145" s="94"/>
      <c r="H145" s="9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63"/>
      <c r="B146" s="63"/>
      <c r="C146" s="63"/>
      <c r="D146" s="63"/>
      <c r="E146" s="94"/>
      <c r="F146" s="94"/>
      <c r="G146" s="94"/>
      <c r="H146" s="9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63"/>
      <c r="B147" s="63"/>
      <c r="C147" s="63"/>
      <c r="D147" s="63"/>
      <c r="E147" s="94"/>
      <c r="F147" s="94"/>
      <c r="G147" s="94"/>
      <c r="H147" s="9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63"/>
      <c r="B148" s="63"/>
      <c r="C148" s="63"/>
      <c r="D148" s="63"/>
      <c r="E148" s="94"/>
      <c r="F148" s="94"/>
      <c r="G148" s="94"/>
      <c r="H148" s="9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63"/>
      <c r="B149" s="63"/>
      <c r="C149" s="63"/>
      <c r="D149" s="63"/>
      <c r="E149" s="94"/>
      <c r="F149" s="94"/>
      <c r="G149" s="94"/>
      <c r="H149" s="9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63"/>
      <c r="B150" s="63"/>
      <c r="C150" s="63"/>
      <c r="D150" s="63"/>
      <c r="E150" s="94"/>
      <c r="F150" s="94"/>
      <c r="G150" s="94"/>
      <c r="H150" s="9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63"/>
      <c r="B151" s="63"/>
      <c r="C151" s="63"/>
      <c r="D151" s="63"/>
      <c r="E151" s="94"/>
      <c r="F151" s="94"/>
      <c r="G151" s="94"/>
      <c r="H151" s="9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63"/>
      <c r="B152" s="63"/>
      <c r="C152" s="63"/>
      <c r="D152" s="63"/>
      <c r="E152" s="68"/>
      <c r="F152" s="68"/>
      <c r="G152" s="68"/>
      <c r="H152" s="68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63"/>
      <c r="B153" s="63"/>
      <c r="C153" s="63"/>
      <c r="D153" s="63"/>
      <c r="E153" s="68"/>
      <c r="F153" s="68"/>
      <c r="G153" s="68"/>
      <c r="H153" s="68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63"/>
      <c r="B154" s="53"/>
      <c r="C154" s="6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63"/>
      <c r="B155" s="53"/>
      <c r="C155" s="6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63"/>
      <c r="B156" s="53"/>
      <c r="C156" s="6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71" t="s">
        <v>186</v>
      </c>
      <c r="D164" s="271"/>
      <c r="E164" s="272" t="s">
        <v>187</v>
      </c>
      <c r="F164" s="273"/>
      <c r="G164" s="273"/>
      <c r="H164" s="274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63"/>
      <c r="B166" s="63"/>
      <c r="C166" s="63"/>
      <c r="D166" s="63"/>
      <c r="E166" s="54"/>
      <c r="F166" s="54"/>
      <c r="G166" s="54"/>
      <c r="H166" s="9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63"/>
      <c r="B167" s="63"/>
      <c r="C167" s="63"/>
      <c r="D167" s="63"/>
      <c r="E167" s="94"/>
      <c r="F167" s="94"/>
      <c r="G167" s="94"/>
      <c r="H167" s="9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63"/>
      <c r="B168" s="63"/>
      <c r="C168" s="63"/>
      <c r="D168" s="63"/>
      <c r="E168" s="94"/>
      <c r="F168" s="94"/>
      <c r="G168" s="94"/>
      <c r="H168" s="9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63"/>
      <c r="B169" s="63"/>
      <c r="C169" s="63"/>
      <c r="D169" s="63"/>
      <c r="E169" s="94"/>
      <c r="F169" s="94"/>
      <c r="G169" s="94"/>
      <c r="H169" s="9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63"/>
      <c r="B170" s="63"/>
      <c r="C170" s="63"/>
      <c r="D170" s="63"/>
      <c r="E170" s="94"/>
      <c r="F170" s="94"/>
      <c r="G170" s="94"/>
      <c r="H170" s="9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63"/>
      <c r="B171" s="63"/>
      <c r="C171" s="63"/>
      <c r="D171" s="63"/>
      <c r="E171" s="94"/>
      <c r="F171" s="94"/>
      <c r="G171" s="94"/>
      <c r="H171" s="9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63"/>
      <c r="B172" s="63"/>
      <c r="C172" s="63"/>
      <c r="D172" s="63"/>
      <c r="E172" s="94"/>
      <c r="F172" s="94"/>
      <c r="G172" s="94"/>
      <c r="H172" s="9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63"/>
      <c r="B173" s="63"/>
      <c r="C173" s="63"/>
      <c r="D173" s="63"/>
      <c r="E173" s="94"/>
      <c r="F173" s="94"/>
      <c r="G173" s="94"/>
      <c r="H173" s="9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63"/>
      <c r="B174" s="63"/>
      <c r="C174" s="63"/>
      <c r="D174" s="63"/>
      <c r="E174" s="94"/>
      <c r="F174" s="94"/>
      <c r="G174" s="94"/>
      <c r="H174" s="9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63"/>
      <c r="B175" s="63"/>
      <c r="C175" s="63"/>
      <c r="D175" s="63"/>
      <c r="E175" s="94"/>
      <c r="F175" s="94"/>
      <c r="G175" s="94"/>
      <c r="H175" s="9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63"/>
      <c r="B176" s="63"/>
      <c r="C176" s="63"/>
      <c r="D176" s="63"/>
      <c r="E176" s="94"/>
      <c r="F176" s="94"/>
      <c r="G176" s="94"/>
      <c r="H176" s="9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63"/>
      <c r="B177" s="63"/>
      <c r="C177" s="63"/>
      <c r="D177" s="63"/>
      <c r="E177" s="68"/>
      <c r="F177" s="68"/>
      <c r="G177" s="68"/>
      <c r="H177" s="68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63"/>
      <c r="B178" s="63"/>
      <c r="C178" s="63"/>
      <c r="D178" s="63"/>
      <c r="E178" s="68"/>
      <c r="F178" s="68"/>
      <c r="G178" s="68"/>
      <c r="H178" s="68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63"/>
      <c r="B179" s="53"/>
      <c r="C179" s="63"/>
      <c r="D179" s="63"/>
      <c r="E179" s="57"/>
      <c r="F179" s="57"/>
      <c r="G179" s="57"/>
      <c r="H179" s="57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63"/>
      <c r="B180" s="53"/>
      <c r="C180" s="63"/>
      <c r="D180" s="6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63"/>
      <c r="B181" s="53"/>
      <c r="C181" s="6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63"/>
      <c r="B182" s="53"/>
      <c r="C182" s="63"/>
      <c r="D182" s="53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71" t="s">
        <v>186</v>
      </c>
      <c r="D190" s="271"/>
      <c r="E190" s="272" t="s">
        <v>187</v>
      </c>
      <c r="F190" s="273"/>
      <c r="G190" s="273"/>
      <c r="H190" s="274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71" t="s">
        <v>186</v>
      </c>
      <c r="D216" s="271"/>
      <c r="E216" s="272" t="s">
        <v>187</v>
      </c>
      <c r="F216" s="273"/>
      <c r="G216" s="273"/>
      <c r="H216" s="274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71" t="s">
        <v>186</v>
      </c>
      <c r="D242" s="271"/>
      <c r="E242" s="272" t="s">
        <v>187</v>
      </c>
      <c r="F242" s="273"/>
      <c r="G242" s="273"/>
      <c r="H242" s="274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71" t="s">
        <v>186</v>
      </c>
      <c r="D268" s="271"/>
      <c r="E268" s="272" t="s">
        <v>187</v>
      </c>
      <c r="F268" s="273"/>
      <c r="G268" s="273"/>
      <c r="H268" s="274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1" zoomScale="85" zoomScaleNormal="85" workbookViewId="0">
      <selection activeCell="B9" sqref="B9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2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2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2">
      <c r="A15" s="25"/>
      <c r="B15" s="29" t="s">
        <v>300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1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Pin maritime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Cèdre de l'Atlas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Pin laricio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>Pin taeda</v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201.94015973767443</v>
      </c>
      <c r="T3" s="62">
        <f>IF('Données projet'!E9&gt;30,$R$33-$H$33,LOOKUP('Données projet'!$E$9,$A$3:$A$203,R3:R203)-LOOKUP('Données projet'!$E$9,$A$3:$A$203,$H$3:$H$203))</f>
        <v>287.12228849146032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135.19533066605396</v>
      </c>
      <c r="AO3" s="62">
        <f>IF('Données projet'!E10&gt;30,$AM$33-$H$33,LOOKUP('Données projet'!$E$10,$A$3:$A$203,AM3:AM203)-LOOKUP('Données projet'!$E$10,$A$3:$A$203,$H$3:$H$203))</f>
        <v>213.60182977243113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258.1884172762135</v>
      </c>
      <c r="BJ3" s="62">
        <f>IF('Données projet'!E11&gt;30,$BH$33-$H$33,LOOKUP('Données projet'!$E$11,$A$3:$A$203,BH3:BH203)-LOOKUP('Données projet'!$E$11,$A$3:$A$203,$H$3:$H$203))</f>
        <v>356.36714671797864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201.94015973767443</v>
      </c>
      <c r="CE3" s="62">
        <f>IF('Données projet'!E12&gt;30,$CC$33-$H$33,LOOKUP('Données projet'!$E$12,$A$3:$A$203,CC3:CC203)-LOOKUP('Données projet'!$E$12,$A$3:$A$203,$H$3:$H$203))</f>
        <v>287.12228849146032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2.7333333333333334</v>
      </c>
      <c r="N4" s="14">
        <f>IF('Données projet'!$A$36&gt;35,N3+M4-V3,IF(A4&lt;'Données projet'!$A$36,$K$205^A4,IF(A4='Données projet'!$A$36,'Données projet'!$B$36,N3+M4-V3)))</f>
        <v>1.2809109072412657</v>
      </c>
      <c r="O4" s="14">
        <f>N4*VLOOKUP('Données projet'!$B$9,Paramètres!$A$1:$I$88,3,0)*VLOOKUP('Données projet'!$B$9,Paramètres!$A$1:$I$88,5,0)</f>
        <v>0.76598472253027694</v>
      </c>
      <c r="P4" s="14">
        <f>EXP(-1.0587+0.8836*LN(O4)+0.284)</f>
        <v>0.36412370417635642</v>
      </c>
      <c r="Q4" s="22">
        <f t="shared" ref="Q4:Q34" si="2">(O4+P4)*0.475*44/12</f>
        <v>1.9682721765140532</v>
      </c>
      <c r="R4" s="62">
        <f t="shared" si="0"/>
        <v>259.85716106540292</v>
      </c>
      <c r="S4" s="62">
        <f ca="1">AVERAGE(OFFSET($R$3,0,0,'Données projet'!$E$9+1,1))-AVERAGE(OFFSET($H$3,0,0,'Données projet'!$E$9+1,1))</f>
        <v>201.94015973767443</v>
      </c>
      <c r="T4" s="62">
        <f>$T$3</f>
        <v>287.12228849146032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5.666666666666667</v>
      </c>
      <c r="AI4" s="14">
        <f>IF('Données projet'!$A$62&gt;35,AI3+AH4-AQ3,IF(A4&lt;'Données projet'!$A$62,$AF$205^A4,IF(A4='Données projet'!$A$62,'Données projet'!$B$62,AI3+AH4-AQ3)))</f>
        <v>1.1867200975826817</v>
      </c>
      <c r="AJ4" s="14">
        <f>AI4*VLOOKUP('Données projet'!$B$10,Paramètres!$A$1:$I$88,3,0)*VLOOKUP('Données projet'!$B$10,Paramètres!$A$1:$I$88,5,0)</f>
        <v>0.55538500566869509</v>
      </c>
      <c r="AK4" s="14">
        <f>EXP(-1.0587+0.8836*LN(AJ4)+0.284)</f>
        <v>0.27407880760927583</v>
      </c>
      <c r="AL4" s="22">
        <f t="shared" ref="AL4:AL67" si="4">(AJ4+AK4)*0.475*44/12</f>
        <v>1.4446494747924661</v>
      </c>
      <c r="AM4" s="62">
        <f t="shared" ref="AM4:AM67" si="5">AL4+(AD4+AE4)*44/12</f>
        <v>259.33353836368133</v>
      </c>
      <c r="AN4" s="62">
        <f ca="1">AVERAGE(OFFSET($AM$3,0,0,'Données projet'!$E$10+1,1))-AVERAGE(OFFSET($H$3,0,0,'Données projet'!$E$10+1,1))</f>
        <v>135.19533066605396</v>
      </c>
      <c r="AO4" s="62">
        <f>$AO$3</f>
        <v>213.60182977243113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</v>
      </c>
      <c r="BD4" s="13">
        <f>IF('Données projet'!$A$88&gt;35,BD3+BC4-BL3,IF(A4&lt;'Données projet'!$A$88,$BA$205^A4,IF(A4='Données projet'!$A$88,'Données projet'!$B$88,BD3+BC4-BL3)))</f>
        <v>1.3335339730287799</v>
      </c>
      <c r="BE4" s="14">
        <f>BD4*VLOOKUP('Données projet'!$B$11,Paramètres!$A$1:$I$88,3,0)*VLOOKUP('Données projet'!$B$11,Paramètres!$A$1:$I$88,5,0)</f>
        <v>0.79745331587121038</v>
      </c>
      <c r="BF4" s="14">
        <f>EXP(-1.0587+0.8836*LN(BE4)+0.284)</f>
        <v>0.37731045544306524</v>
      </c>
      <c r="BG4" s="22">
        <f t="shared" ref="BG4:BG67" si="7">(BE4+BF4)*0.475*44/12</f>
        <v>2.0460469017056964</v>
      </c>
      <c r="BH4" s="62">
        <f t="shared" ref="BH4:BH67" si="8">BG4+(AY4+AZ4)*44/12</f>
        <v>259.93493579059458</v>
      </c>
      <c r="BI4" s="62">
        <f ca="1">AVERAGE(OFFSET($BH$3,0,0,'Données projet'!$E$11+1,1))-AVERAGE(OFFSET($H$3,0,0,'Données projet'!$E$11+1,1))</f>
        <v>258.1884172762135</v>
      </c>
      <c r="BJ4" s="62">
        <f>$BJ$3</f>
        <v>356.36714671797864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2.7333333333333334</v>
      </c>
      <c r="BY4" s="13">
        <f>IF('Données projet'!$A$114&gt;35,BY3+BX4-CG3,IF(A4&lt;'Données projet'!$A$114,$BV$205^A4,IF(A4='Données projet'!$A$114,'Données projet'!$B$114,BY3+BX4-CG3)))</f>
        <v>1.2809109072412657</v>
      </c>
      <c r="BZ4" s="14">
        <f>BY4*VLOOKUP('Données projet'!$B$12,Paramètres!$A$1:$I$88,3,0)*VLOOKUP('Données projet'!$B$12,Paramètres!$A$1:$I$88,5,0)</f>
        <v>0.76598472253027694</v>
      </c>
      <c r="CA4" s="14">
        <f>EXP(-1.0587+0.8836*LN(BZ4)+0.284)</f>
        <v>0.36412370417635642</v>
      </c>
      <c r="CB4" s="22">
        <f t="shared" ref="CB4:CB67" si="10">(BZ4+CA4)*0.475*44/12</f>
        <v>1.9682721765140532</v>
      </c>
      <c r="CC4" s="62">
        <f t="shared" ref="CC4:CC67" si="11">CB4+(BT4+BU4)*44/12</f>
        <v>259.85716106540292</v>
      </c>
      <c r="CD4" s="62">
        <f ca="1">AVERAGE(OFFSET($CC$3,0,0,'Données projet'!$E$12+1,1))-AVERAGE(OFFSET($H$3,0,0,'Données projet'!$E$12+1,1))</f>
        <v>201.94015973767443</v>
      </c>
      <c r="CE4" s="62">
        <f>$CE$3</f>
        <v>287.12228849146032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2.7333333333333334</v>
      </c>
      <c r="N5" s="14">
        <f>IF('Données projet'!$A$36&gt;35,N4+M5-V4,IF(A5&lt;'Données projet'!$A$36,$K$205^A5,IF(A5='Données projet'!$A$36,'Données projet'!$B$36,N4+M5-V4)))</f>
        <v>1.6407327522896422</v>
      </c>
      <c r="O5" s="14">
        <f>N5*VLOOKUP('Données projet'!$B$9,Paramètres!$A$1:$I$88,3,0)*VLOOKUP('Données projet'!$B$9,Paramètres!$A$1:$I$88,5,0)</f>
        <v>0.98115818586920611</v>
      </c>
      <c r="P5" s="14">
        <f t="shared" ref="P5:P68" si="33">EXP(-1.0587+0.8836*LN(O5)+0.284)</f>
        <v>0.4531611530267563</v>
      </c>
      <c r="Q5" s="22">
        <f t="shared" si="2"/>
        <v>2.4981061819104675</v>
      </c>
      <c r="R5" s="62">
        <f t="shared" si="0"/>
        <v>261.60921729302163</v>
      </c>
      <c r="S5" s="62">
        <f ca="1">AVERAGE(OFFSET($R$3,0,0,'Données projet'!$E$9+1,1))-AVERAGE(OFFSET($H$3,0,0,'Données projet'!$E$9+1,1))</f>
        <v>201.94015973767443</v>
      </c>
      <c r="T5" s="62">
        <f t="shared" ref="T5:T68" si="34">$T$3</f>
        <v>287.12228849146032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5.666666666666667</v>
      </c>
      <c r="AI5" s="14">
        <f>IF('Données projet'!$A$62&gt;35,AI4+AH5-AQ4,IF(A5&lt;'Données projet'!$A$62,$AF$205^A5,IF(A5='Données projet'!$A$62,'Données projet'!$B$62,AI4+AH5-AQ4)))</f>
        <v>1.4083045900066495</v>
      </c>
      <c r="AJ5" s="14">
        <f>AI5*VLOOKUP('Données projet'!$B$10,Paramètres!$A$1:$I$88,3,0)*VLOOKUP('Données projet'!$B$10,Paramètres!$A$1:$I$88,5,0)</f>
        <v>0.65908654812311196</v>
      </c>
      <c r="AK5" s="14">
        <f t="shared" ref="AK5:AK68" si="35">EXP(-1.0587+0.8836*LN(AJ5)+0.284)</f>
        <v>0.31883765901680755</v>
      </c>
      <c r="AL5" s="22">
        <f t="shared" si="4"/>
        <v>1.7032179941020262</v>
      </c>
      <c r="AM5" s="62">
        <f t="shared" si="5"/>
        <v>260.81432910521318</v>
      </c>
      <c r="AN5" s="62">
        <f ca="1">AVERAGE(OFFSET($AM$3,0,0,'Données projet'!$E$10+1,1))-AVERAGE(OFFSET($H$3,0,0,'Données projet'!$E$10+1,1))</f>
        <v>135.19533066605396</v>
      </c>
      <c r="AO5" s="62">
        <f t="shared" ref="AO5:AO68" si="36">$AO$3</f>
        <v>213.60182977243113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</v>
      </c>
      <c r="BD5" s="13">
        <f>IF('Données projet'!$A$88&gt;35,BD4+BC5-BL4,IF(A5&lt;'Données projet'!$A$88,$BA$205^A5,IF(A5='Données projet'!$A$88,'Données projet'!$B$88,BD4+BC5-BL4)))</f>
        <v>1.7783128572219224</v>
      </c>
      <c r="BE5" s="14">
        <f>BD5*VLOOKUP('Données projet'!$B$11,Paramètres!$A$1:$I$88,3,0)*VLOOKUP('Données projet'!$B$11,Paramètres!$A$1:$I$88,5,0)</f>
        <v>1.0634310886187097</v>
      </c>
      <c r="BF5" s="14">
        <f t="shared" ref="BF5:BF68" si="37">EXP(-1.0587+0.8836*LN(BE5)+0.284)</f>
        <v>0.48657797727318047</v>
      </c>
      <c r="BG5" s="22">
        <f t="shared" si="7"/>
        <v>2.6995991230950414</v>
      </c>
      <c r="BH5" s="62">
        <f t="shared" si="8"/>
        <v>261.81071023420617</v>
      </c>
      <c r="BI5" s="62">
        <f ca="1">AVERAGE(OFFSET($BH$3,0,0,'Données projet'!$E$11+1,1))-AVERAGE(OFFSET($H$3,0,0,'Données projet'!$E$11+1,1))</f>
        <v>258.1884172762135</v>
      </c>
      <c r="BJ5" s="62">
        <f t="shared" ref="BJ5:BJ68" si="38">$BJ$3</f>
        <v>356.36714671797864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2.7333333333333334</v>
      </c>
      <c r="BY5" s="13">
        <f>IF('Données projet'!$A$114&gt;35,BY4+BX5-CG4,IF(A5&lt;'Données projet'!$A$114,$BV$205^A5,IF(A5='Données projet'!$A$114,'Données projet'!$B$114,BY4+BX5-CG4)))</f>
        <v>1.6407327522896422</v>
      </c>
      <c r="BZ5" s="14">
        <f>BY5*VLOOKUP('Données projet'!$B$12,Paramètres!$A$1:$I$88,3,0)*VLOOKUP('Données projet'!$B$12,Paramètres!$A$1:$I$88,5,0)</f>
        <v>0.98115818586920611</v>
      </c>
      <c r="CA5" s="14">
        <f t="shared" ref="CA5:CA68" si="39">EXP(-1.0587+0.8836*LN(BZ5)+0.284)</f>
        <v>0.4531611530267563</v>
      </c>
      <c r="CB5" s="22">
        <f t="shared" si="10"/>
        <v>2.4981061819104675</v>
      </c>
      <c r="CC5" s="62">
        <f t="shared" si="11"/>
        <v>261.60921729302163</v>
      </c>
      <c r="CD5" s="62">
        <f ca="1">AVERAGE(OFFSET($CC$3,0,0,'Données projet'!$E$12+1,1))-AVERAGE(OFFSET($H$3,0,0,'Données projet'!$E$12+1,1))</f>
        <v>201.94015973767443</v>
      </c>
      <c r="CE5" s="62">
        <f t="shared" ref="CE5:CE68" si="40">$CE$3</f>
        <v>287.12228849146032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2.7333333333333334</v>
      </c>
      <c r="N6" s="14">
        <f>IF('Données projet'!$A$36&gt;35,N5+M6-V5,IF(A6&lt;'Données projet'!$A$36,$K$205^A6,IF(A6='Données projet'!$A$36,'Données projet'!$B$36,N5+M6-V5)))</f>
        <v>2.1016324782757843</v>
      </c>
      <c r="O6" s="14">
        <f>N6*VLOOKUP('Données projet'!$B$9,Paramètres!$A$1:$I$88,3,0)*VLOOKUP('Données projet'!$B$9,Paramètres!$A$1:$I$88,5,0)</f>
        <v>1.2567762220089191</v>
      </c>
      <c r="P6" s="14">
        <f t="shared" si="33"/>
        <v>0.56397050853102204</v>
      </c>
      <c r="Q6" s="22">
        <f t="shared" si="2"/>
        <v>3.1711338890237304</v>
      </c>
      <c r="R6" s="62">
        <f t="shared" si="0"/>
        <v>263.50446722235705</v>
      </c>
      <c r="S6" s="62">
        <f ca="1">AVERAGE(OFFSET($R$3,0,0,'Données projet'!$E$9+1,1))-AVERAGE(OFFSET($H$3,0,0,'Données projet'!$E$9+1,1))</f>
        <v>201.94015973767443</v>
      </c>
      <c r="T6" s="62">
        <f t="shared" si="34"/>
        <v>287.12228849146032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5.666666666666667</v>
      </c>
      <c r="AI6" s="14">
        <f>IF('Données projet'!$A$62&gt;35,AI5+AH6-AQ5,IF(A6&lt;'Données projet'!$A$62,$AF$205^A6,IF(A6='Données projet'!$A$62,'Données projet'!$B$62,AI5+AH6-AQ5)))</f>
        <v>1.6712633604788296</v>
      </c>
      <c r="AJ6" s="14">
        <f>AI6*VLOOKUP('Données projet'!$B$10,Paramètres!$A$1:$I$88,3,0)*VLOOKUP('Données projet'!$B$10,Paramètres!$A$1:$I$88,5,0)</f>
        <v>0.78215125270409225</v>
      </c>
      <c r="AK6" s="14">
        <f t="shared" si="35"/>
        <v>0.37090592189177923</v>
      </c>
      <c r="AL6" s="22">
        <f t="shared" si="4"/>
        <v>2.0082412457544763</v>
      </c>
      <c r="AM6" s="62">
        <f t="shared" si="5"/>
        <v>262.34157457908782</v>
      </c>
      <c r="AN6" s="62">
        <f ca="1">AVERAGE(OFFSET($AM$3,0,0,'Données projet'!$E$10+1,1))-AVERAGE(OFFSET($H$3,0,0,'Données projet'!$E$10+1,1))</f>
        <v>135.19533066605396</v>
      </c>
      <c r="AO6" s="62">
        <f t="shared" si="36"/>
        <v>213.60182977243113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</v>
      </c>
      <c r="BD6" s="13">
        <f>IF('Données projet'!$A$88&gt;35,BD5+BC6-BL5,IF(A6&lt;'Données projet'!$A$88,$BA$205^A6,IF(A6='Données projet'!$A$88,'Données projet'!$B$88,BD5+BC6-BL5)))</f>
        <v>2.3714406097793117</v>
      </c>
      <c r="BE6" s="14">
        <f>BD6*VLOOKUP('Données projet'!$B$11,Paramètres!$A$1:$I$88,3,0)*VLOOKUP('Données projet'!$B$11,Paramètres!$A$1:$I$88,5,0)</f>
        <v>1.4181214846480283</v>
      </c>
      <c r="BF6" s="14">
        <f t="shared" si="37"/>
        <v>0.62748891410719376</v>
      </c>
      <c r="BG6" s="22">
        <f t="shared" si="7"/>
        <v>3.562771444498678</v>
      </c>
      <c r="BH6" s="62">
        <f t="shared" si="8"/>
        <v>263.89610477783197</v>
      </c>
      <c r="BI6" s="62">
        <f ca="1">AVERAGE(OFFSET($BH$3,0,0,'Données projet'!$E$11+1,1))-AVERAGE(OFFSET($H$3,0,0,'Données projet'!$E$11+1,1))</f>
        <v>258.1884172762135</v>
      </c>
      <c r="BJ6" s="62">
        <f t="shared" si="38"/>
        <v>356.36714671797864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2.7333333333333334</v>
      </c>
      <c r="BY6" s="13">
        <f>IF('Données projet'!$A$114&gt;35,BY5+BX6-CG5,IF(A6&lt;'Données projet'!$A$114,$BV$205^A6,IF(A6='Données projet'!$A$114,'Données projet'!$B$114,BY5+BX6-CG5)))</f>
        <v>2.1016324782757843</v>
      </c>
      <c r="BZ6" s="14">
        <f>BY6*VLOOKUP('Données projet'!$B$12,Paramètres!$A$1:$I$88,3,0)*VLOOKUP('Données projet'!$B$12,Paramètres!$A$1:$I$88,5,0)</f>
        <v>1.2567762220089191</v>
      </c>
      <c r="CA6" s="14">
        <f t="shared" si="39"/>
        <v>0.56397050853102204</v>
      </c>
      <c r="CB6" s="22">
        <f t="shared" si="10"/>
        <v>3.1711338890237304</v>
      </c>
      <c r="CC6" s="62">
        <f t="shared" si="11"/>
        <v>263.50446722235705</v>
      </c>
      <c r="CD6" s="62">
        <f ca="1">AVERAGE(OFFSET($CC$3,0,0,'Données projet'!$E$12+1,1))-AVERAGE(OFFSET($H$3,0,0,'Données projet'!$E$12+1,1))</f>
        <v>201.94015973767443</v>
      </c>
      <c r="CE6" s="62">
        <f t="shared" si="40"/>
        <v>287.12228849146032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2.7333333333333334</v>
      </c>
      <c r="N7" s="14">
        <f>IF('Données projet'!$A$36&gt;35,N6+M7-V6,IF(A7&lt;'Données projet'!$A$36,$K$205^A7,IF(A7='Données projet'!$A$36,'Données projet'!$B$36,N6+M7-V6)))</f>
        <v>2.6920039644359446</v>
      </c>
      <c r="O7" s="14">
        <f>N7*VLOOKUP('Données projet'!$B$9,Paramètres!$A$1:$I$88,3,0)*VLOOKUP('Données projet'!$B$9,Paramètres!$A$1:$I$88,5,0)</f>
        <v>1.6098183707326952</v>
      </c>
      <c r="P7" s="14">
        <f t="shared" si="33"/>
        <v>0.70187555214813413</v>
      </c>
      <c r="Q7" s="22">
        <f t="shared" si="2"/>
        <v>4.0262002490174442</v>
      </c>
      <c r="R7" s="62">
        <f t="shared" si="0"/>
        <v>265.58175580457299</v>
      </c>
      <c r="S7" s="62">
        <f ca="1">AVERAGE(OFFSET($R$3,0,0,'Données projet'!$E$9+1,1))-AVERAGE(OFFSET($H$3,0,0,'Données projet'!$E$9+1,1))</f>
        <v>201.94015973767443</v>
      </c>
      <c r="T7" s="62">
        <f t="shared" si="34"/>
        <v>287.12228849146032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5.666666666666667</v>
      </c>
      <c r="AI7" s="14">
        <f>IF('Données projet'!$A$62&gt;35,AI6+AH7-AQ6,IF(A7&lt;'Données projet'!$A$62,$AF$205^A7,IF(A7='Données projet'!$A$62,'Données projet'!$B$62,AI6+AH7-AQ6)))</f>
        <v>1.9833218182337973</v>
      </c>
      <c r="AJ7" s="14">
        <f>AI7*VLOOKUP('Données projet'!$B$10,Paramètres!$A$1:$I$88,3,0)*VLOOKUP('Données projet'!$B$10,Paramètres!$A$1:$I$88,5,0)</f>
        <v>0.92819461093341715</v>
      </c>
      <c r="AK7" s="14">
        <f t="shared" si="35"/>
        <v>0.43147727065433811</v>
      </c>
      <c r="AL7" s="22">
        <f t="shared" si="4"/>
        <v>2.3680951937653405</v>
      </c>
      <c r="AM7" s="62">
        <f t="shared" si="5"/>
        <v>263.92365074932087</v>
      </c>
      <c r="AN7" s="62">
        <f ca="1">AVERAGE(OFFSET($AM$3,0,0,'Données projet'!$E$10+1,1))-AVERAGE(OFFSET($H$3,0,0,'Données projet'!$E$10+1,1))</f>
        <v>135.19533066605396</v>
      </c>
      <c r="AO7" s="62">
        <f t="shared" si="36"/>
        <v>213.60182977243113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</v>
      </c>
      <c r="BD7" s="13">
        <f>IF('Données projet'!$A$88&gt;35,BD6+BC7-BL6,IF(A7&lt;'Données projet'!$A$88,$BA$205^A7,IF(A7='Données projet'!$A$88,'Données projet'!$B$88,BD6+BC7-BL6)))</f>
        <v>3.1623966181607974</v>
      </c>
      <c r="BE7" s="14">
        <f>BD7*VLOOKUP('Données projet'!$B$11,Paramètres!$A$1:$I$88,3,0)*VLOOKUP('Données projet'!$B$11,Paramètres!$A$1:$I$88,5,0)</f>
        <v>1.8911131776601571</v>
      </c>
      <c r="BF7" s="14">
        <f t="shared" si="37"/>
        <v>0.80920706591364211</v>
      </c>
      <c r="BG7" s="22">
        <f t="shared" si="7"/>
        <v>4.7030577575577004</v>
      </c>
      <c r="BH7" s="62">
        <f t="shared" si="8"/>
        <v>266.25861331311324</v>
      </c>
      <c r="BI7" s="62">
        <f ca="1">AVERAGE(OFFSET($BH$3,0,0,'Données projet'!$E$11+1,1))-AVERAGE(OFFSET($H$3,0,0,'Données projet'!$E$11+1,1))</f>
        <v>258.1884172762135</v>
      </c>
      <c r="BJ7" s="62">
        <f t="shared" si="38"/>
        <v>356.36714671797864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2.7333333333333334</v>
      </c>
      <c r="BY7" s="13">
        <f>IF('Données projet'!$A$114&gt;35,BY6+BX7-CG6,IF(A7&lt;'Données projet'!$A$114,$BV$205^A7,IF(A7='Données projet'!$A$114,'Données projet'!$B$114,BY6+BX7-CG6)))</f>
        <v>2.6920039644359446</v>
      </c>
      <c r="BZ7" s="14">
        <f>BY7*VLOOKUP('Données projet'!$B$12,Paramètres!$A$1:$I$88,3,0)*VLOOKUP('Données projet'!$B$12,Paramètres!$A$1:$I$88,5,0)</f>
        <v>1.6098183707326952</v>
      </c>
      <c r="CA7" s="14">
        <f t="shared" si="39"/>
        <v>0.70187555214813413</v>
      </c>
      <c r="CB7" s="22">
        <f t="shared" si="10"/>
        <v>4.0262002490174442</v>
      </c>
      <c r="CC7" s="62">
        <f t="shared" si="11"/>
        <v>265.58175580457299</v>
      </c>
      <c r="CD7" s="62">
        <f ca="1">AVERAGE(OFFSET($CC$3,0,0,'Données projet'!$E$12+1,1))-AVERAGE(OFFSET($H$3,0,0,'Données projet'!$E$12+1,1))</f>
        <v>201.94015973767443</v>
      </c>
      <c r="CE7" s="62">
        <f t="shared" si="40"/>
        <v>287.12228849146032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2.7333333333333334</v>
      </c>
      <c r="N8" s="14">
        <f>IF('Données projet'!$A$36&gt;35,N7+M8-V7,IF(A8&lt;'Données projet'!$A$36,$K$205^A8,IF(A8='Données projet'!$A$36,'Données projet'!$B$36,N7+M8-V7)))</f>
        <v>3.4482172403827298</v>
      </c>
      <c r="O8" s="14">
        <f>N8*VLOOKUP('Données projet'!$B$9,Paramètres!$A$1:$I$88,3,0)*VLOOKUP('Données projet'!$B$9,Paramètres!$A$1:$I$88,5,0)</f>
        <v>2.0620339097488727</v>
      </c>
      <c r="P8" s="14">
        <f t="shared" si="33"/>
        <v>0.87350186446167732</v>
      </c>
      <c r="Q8" s="22">
        <f t="shared" si="2"/>
        <v>5.112724806750041</v>
      </c>
      <c r="R8" s="62">
        <f t="shared" si="0"/>
        <v>267.89050258452784</v>
      </c>
      <c r="S8" s="62">
        <f ca="1">AVERAGE(OFFSET($R$3,0,0,'Données projet'!$E$9+1,1))-AVERAGE(OFFSET($H$3,0,0,'Données projet'!$E$9+1,1))</f>
        <v>201.94015973767443</v>
      </c>
      <c r="T8" s="62">
        <f t="shared" si="34"/>
        <v>287.12228849146032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5.666666666666667</v>
      </c>
      <c r="AI8" s="14">
        <f>IF('Données projet'!$A$62&gt;35,AI7+AH8-AQ7,IF(A8&lt;'Données projet'!$A$62,$AF$205^A8,IF(A8='Données projet'!$A$62,'Données projet'!$B$62,AI7+AH8-AQ7)))</f>
        <v>2.3536478616722736</v>
      </c>
      <c r="AJ8" s="14">
        <f>AI8*VLOOKUP('Données projet'!$B$10,Paramètres!$A$1:$I$88,3,0)*VLOOKUP('Données projet'!$B$10,Paramètres!$A$1:$I$88,5,0)</f>
        <v>1.101507199262624</v>
      </c>
      <c r="AK8" s="14">
        <f t="shared" si="35"/>
        <v>0.50194031451899346</v>
      </c>
      <c r="AL8" s="22">
        <f t="shared" si="4"/>
        <v>2.7926710865029833</v>
      </c>
      <c r="AM8" s="62">
        <f t="shared" si="5"/>
        <v>265.57044886428076</v>
      </c>
      <c r="AN8" s="62">
        <f ca="1">AVERAGE(OFFSET($AM$3,0,0,'Données projet'!$E$10+1,1))-AVERAGE(OFFSET($H$3,0,0,'Données projet'!$E$10+1,1))</f>
        <v>135.19533066605396</v>
      </c>
      <c r="AO8" s="62">
        <f t="shared" si="36"/>
        <v>213.60182977243113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</v>
      </c>
      <c r="BD8" s="13">
        <f>IF('Données projet'!$A$88&gt;35,BD7+BC8-BL7,IF(A8&lt;'Données projet'!$A$88,$BA$205^A8,IF(A8='Données projet'!$A$88,'Données projet'!$B$88,BD7+BC8-BL7)))</f>
        <v>4.2171633265087456</v>
      </c>
      <c r="BE8" s="14">
        <f>BD8*VLOOKUP('Données projet'!$B$11,Paramètres!$A$1:$I$88,3,0)*VLOOKUP('Données projet'!$B$11,Paramètres!$A$1:$I$88,5,0)</f>
        <v>2.5218636692522298</v>
      </c>
      <c r="BF8" s="14">
        <f t="shared" si="37"/>
        <v>1.0435500306109049</v>
      </c>
      <c r="BG8" s="22">
        <f t="shared" si="7"/>
        <v>6.2097621939282925</v>
      </c>
      <c r="BH8" s="62">
        <f t="shared" si="8"/>
        <v>268.98753997170604</v>
      </c>
      <c r="BI8" s="62">
        <f ca="1">AVERAGE(OFFSET($BH$3,0,0,'Données projet'!$E$11+1,1))-AVERAGE(OFFSET($H$3,0,0,'Données projet'!$E$11+1,1))</f>
        <v>258.1884172762135</v>
      </c>
      <c r="BJ8" s="62">
        <f t="shared" si="38"/>
        <v>356.36714671797864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2.7333333333333334</v>
      </c>
      <c r="BY8" s="13">
        <f>IF('Données projet'!$A$114&gt;35,BY7+BX8-CG7,IF(A8&lt;'Données projet'!$A$114,$BV$205^A8,IF(A8='Données projet'!$A$114,'Données projet'!$B$114,BY7+BX8-CG7)))</f>
        <v>3.4482172403827298</v>
      </c>
      <c r="BZ8" s="14">
        <f>BY8*VLOOKUP('Données projet'!$B$12,Paramètres!$A$1:$I$88,3,0)*VLOOKUP('Données projet'!$B$12,Paramètres!$A$1:$I$88,5,0)</f>
        <v>2.0620339097488727</v>
      </c>
      <c r="CA8" s="14">
        <f t="shared" si="39"/>
        <v>0.87350186446167732</v>
      </c>
      <c r="CB8" s="22">
        <f t="shared" si="10"/>
        <v>5.112724806750041</v>
      </c>
      <c r="CC8" s="62">
        <f t="shared" si="11"/>
        <v>267.89050258452784</v>
      </c>
      <c r="CD8" s="62">
        <f ca="1">AVERAGE(OFFSET($CC$3,0,0,'Données projet'!$E$12+1,1))-AVERAGE(OFFSET($H$3,0,0,'Données projet'!$E$12+1,1))</f>
        <v>201.94015973767443</v>
      </c>
      <c r="CE8" s="62">
        <f t="shared" si="40"/>
        <v>287.12228849146032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2.7333333333333334</v>
      </c>
      <c r="N9" s="14">
        <f>IF('Données projet'!$A$36&gt;35,N8+M9-V8,IF(A9&lt;'Données projet'!$A$36,$K$205^A9,IF(A9='Données projet'!$A$36,'Données projet'!$B$36,N8+M9-V8)))</f>
        <v>4.4168590737436153</v>
      </c>
      <c r="O9" s="14">
        <f>N9*VLOOKUP('Données projet'!$B$9,Paramètres!$A$1:$I$88,3,0)*VLOOKUP('Données projet'!$B$9,Paramètres!$A$1:$I$88,5,0)</f>
        <v>2.6412817260986818</v>
      </c>
      <c r="P9" s="14">
        <f t="shared" si="33"/>
        <v>1.0870951479686108</v>
      </c>
      <c r="Q9" s="22">
        <f t="shared" si="2"/>
        <v>6.4935897223338683</v>
      </c>
      <c r="R9" s="62">
        <f t="shared" si="0"/>
        <v>270.49358972233387</v>
      </c>
      <c r="S9" s="62">
        <f ca="1">AVERAGE(OFFSET($R$3,0,0,'Données projet'!$E$9+1,1))-AVERAGE(OFFSET($H$3,0,0,'Données projet'!$E$9+1,1))</f>
        <v>201.94015973767443</v>
      </c>
      <c r="T9" s="62">
        <f t="shared" si="34"/>
        <v>287.12228849146032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5.666666666666667</v>
      </c>
      <c r="AI9" s="14">
        <f>IF('Données projet'!$A$62&gt;35,AI8+AH9-AQ8,IF(A9&lt;'Données projet'!$A$62,$AF$205^A9,IF(A9='Données projet'!$A$62,'Données projet'!$B$62,AI8+AH9-AQ8)))</f>
        <v>2.7931212200789908</v>
      </c>
      <c r="AJ9" s="14">
        <f>AI9*VLOOKUP('Données projet'!$B$10,Paramètres!$A$1:$I$88,3,0)*VLOOKUP('Données projet'!$B$10,Paramètres!$A$1:$I$88,5,0)</f>
        <v>1.3071807309969676</v>
      </c>
      <c r="AK9" s="14">
        <f t="shared" si="35"/>
        <v>0.58391043161404843</v>
      </c>
      <c r="AL9" s="22">
        <f t="shared" si="4"/>
        <v>3.2936504415475194</v>
      </c>
      <c r="AM9" s="62">
        <f t="shared" si="5"/>
        <v>267.29365044154753</v>
      </c>
      <c r="AN9" s="62">
        <f ca="1">AVERAGE(OFFSET($AM$3,0,0,'Données projet'!$E$10+1,1))-AVERAGE(OFFSET($H$3,0,0,'Données projet'!$E$10+1,1))</f>
        <v>135.19533066605396</v>
      </c>
      <c r="AO9" s="62">
        <f t="shared" si="36"/>
        <v>213.60182977243113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</v>
      </c>
      <c r="BD9" s="13">
        <f>IF('Données projet'!$A$88&gt;35,BD8+BC9-BL8,IF(A9&lt;'Données projet'!$A$88,$BA$205^A9,IF(A9='Données projet'!$A$88,'Données projet'!$B$88,BD8+BC9-BL8)))</f>
        <v>5.6237305657104724</v>
      </c>
      <c r="BE9" s="14">
        <f>BD9*VLOOKUP('Données projet'!$B$11,Paramètres!$A$1:$I$88,3,0)*VLOOKUP('Données projet'!$B$11,Paramètres!$A$1:$I$88,5,0)</f>
        <v>3.3629908782948625</v>
      </c>
      <c r="BF9" s="14">
        <f t="shared" si="37"/>
        <v>1.3457577327979455</v>
      </c>
      <c r="BG9" s="22">
        <f t="shared" si="7"/>
        <v>8.2010704976533066</v>
      </c>
      <c r="BH9" s="62">
        <f t="shared" si="8"/>
        <v>272.20107049765329</v>
      </c>
      <c r="BI9" s="62">
        <f ca="1">AVERAGE(OFFSET($BH$3,0,0,'Données projet'!$E$11+1,1))-AVERAGE(OFFSET($H$3,0,0,'Données projet'!$E$11+1,1))</f>
        <v>258.1884172762135</v>
      </c>
      <c r="BJ9" s="62">
        <f t="shared" si="38"/>
        <v>356.36714671797864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2.7333333333333334</v>
      </c>
      <c r="BY9" s="13">
        <f>IF('Données projet'!$A$114&gt;35,BY8+BX9-CG8,IF(A9&lt;'Données projet'!$A$114,$BV$205^A9,IF(A9='Données projet'!$A$114,'Données projet'!$B$114,BY8+BX9-CG8)))</f>
        <v>4.4168590737436153</v>
      </c>
      <c r="BZ9" s="14">
        <f>BY9*VLOOKUP('Données projet'!$B$12,Paramètres!$A$1:$I$88,3,0)*VLOOKUP('Données projet'!$B$12,Paramètres!$A$1:$I$88,5,0)</f>
        <v>2.6412817260986818</v>
      </c>
      <c r="CA9" s="14">
        <f t="shared" si="39"/>
        <v>1.0870951479686108</v>
      </c>
      <c r="CB9" s="22">
        <f t="shared" si="10"/>
        <v>6.4935897223338683</v>
      </c>
      <c r="CC9" s="62">
        <f t="shared" si="11"/>
        <v>270.49358972233387</v>
      </c>
      <c r="CD9" s="62">
        <f ca="1">AVERAGE(OFFSET($CC$3,0,0,'Données projet'!$E$12+1,1))-AVERAGE(OFFSET($H$3,0,0,'Données projet'!$E$12+1,1))</f>
        <v>201.94015973767443</v>
      </c>
      <c r="CE9" s="62">
        <f t="shared" si="40"/>
        <v>287.12228849146032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2.7333333333333334</v>
      </c>
      <c r="N10" s="14">
        <f>IF('Données projet'!$A$36&gt;35,N9+M10-V9,IF(A10&lt;'Données projet'!$A$36,$K$205^A10,IF(A10='Données projet'!$A$36,'Données projet'!$B$36,N9+M10-V9)))</f>
        <v>5.6576029633057505</v>
      </c>
      <c r="O10" s="14">
        <f>N10*VLOOKUP('Données projet'!$B$9,Paramètres!$A$1:$I$88,3,0)*VLOOKUP('Données projet'!$B$9,Paramètres!$A$1:$I$88,5,0)</f>
        <v>3.383246572056839</v>
      </c>
      <c r="P10" s="14">
        <f t="shared" si="33"/>
        <v>1.3529173878354599</v>
      </c>
      <c r="Q10" s="22">
        <f t="shared" si="2"/>
        <v>8.2488188968124181</v>
      </c>
      <c r="R10" s="62">
        <f t="shared" si="0"/>
        <v>273.47104111903462</v>
      </c>
      <c r="S10" s="62">
        <f ca="1">AVERAGE(OFFSET($R$3,0,0,'Données projet'!$E$9+1,1))-AVERAGE(OFFSET($H$3,0,0,'Données projet'!$E$9+1,1))</f>
        <v>201.94015973767443</v>
      </c>
      <c r="T10" s="62">
        <f t="shared" si="34"/>
        <v>287.12228849146032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5.666666666666667</v>
      </c>
      <c r="AI10" s="14">
        <f>IF('Données projet'!$A$62&gt;35,AI9+AH10-AQ9,IF(A10&lt;'Données projet'!$A$62,$AF$205^A10,IF(A10='Données projet'!$A$62,'Données projet'!$B$62,AI9+AH10-AQ9)))</f>
        <v>3.3146530868523985</v>
      </c>
      <c r="AJ10" s="14">
        <f>AI10*VLOOKUP('Données projet'!$B$10,Paramètres!$A$1:$I$88,3,0)*VLOOKUP('Données projet'!$B$10,Paramètres!$A$1:$I$88,5,0)</f>
        <v>1.5512576446469224</v>
      </c>
      <c r="AK10" s="14">
        <f t="shared" si="35"/>
        <v>0.67926680181972632</v>
      </c>
      <c r="AL10" s="22">
        <f t="shared" si="4"/>
        <v>3.8848300775960793</v>
      </c>
      <c r="AM10" s="62">
        <f t="shared" si="5"/>
        <v>269.10705229981829</v>
      </c>
      <c r="AN10" s="62">
        <f ca="1">AVERAGE(OFFSET($AM$3,0,0,'Données projet'!$E$10+1,1))-AVERAGE(OFFSET($H$3,0,0,'Données projet'!$E$10+1,1))</f>
        <v>135.19533066605396</v>
      </c>
      <c r="AO10" s="62">
        <f t="shared" si="36"/>
        <v>213.60182977243113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</v>
      </c>
      <c r="BD10" s="13">
        <f>IF('Données projet'!$A$88&gt;35,BD9+BC10-BL9,IF(A10&lt;'Données projet'!$A$88,$BA$205^A10,IF(A10='Données projet'!$A$88,'Données projet'!$B$88,BD9+BC10-BL9)))</f>
        <v>7.4994357645352743</v>
      </c>
      <c r="BE10" s="14">
        <f>BD10*VLOOKUP('Données projet'!$B$11,Paramètres!$A$1:$I$88,3,0)*VLOOKUP('Données projet'!$B$11,Paramètres!$A$1:$I$88,5,0)</f>
        <v>4.4846625871920942</v>
      </c>
      <c r="BF10" s="14">
        <f t="shared" si="37"/>
        <v>1.7354835151748795</v>
      </c>
      <c r="BG10" s="22">
        <f t="shared" si="7"/>
        <v>10.833421128289144</v>
      </c>
      <c r="BH10" s="62">
        <f t="shared" si="8"/>
        <v>276.05564335051139</v>
      </c>
      <c r="BI10" s="62">
        <f ca="1">AVERAGE(OFFSET($BH$3,0,0,'Données projet'!$E$11+1,1))-AVERAGE(OFFSET($H$3,0,0,'Données projet'!$E$11+1,1))</f>
        <v>258.1884172762135</v>
      </c>
      <c r="BJ10" s="62">
        <f t="shared" si="38"/>
        <v>356.36714671797864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2.7333333333333334</v>
      </c>
      <c r="BY10" s="13">
        <f>IF('Données projet'!$A$114&gt;35,BY9+BX10-CG9,IF(A10&lt;'Données projet'!$A$114,$BV$205^A10,IF(A10='Données projet'!$A$114,'Données projet'!$B$114,BY9+BX10-CG9)))</f>
        <v>5.6576029633057505</v>
      </c>
      <c r="BZ10" s="14">
        <f>BY10*VLOOKUP('Données projet'!$B$12,Paramètres!$A$1:$I$88,3,0)*VLOOKUP('Données projet'!$B$12,Paramètres!$A$1:$I$88,5,0)</f>
        <v>3.383246572056839</v>
      </c>
      <c r="CA10" s="14">
        <f t="shared" si="39"/>
        <v>1.3529173878354599</v>
      </c>
      <c r="CB10" s="22">
        <f t="shared" si="10"/>
        <v>8.2488188968124181</v>
      </c>
      <c r="CC10" s="62">
        <f t="shared" si="11"/>
        <v>273.47104111903462</v>
      </c>
      <c r="CD10" s="62">
        <f ca="1">AVERAGE(OFFSET($CC$3,0,0,'Données projet'!$E$12+1,1))-AVERAGE(OFFSET($H$3,0,0,'Données projet'!$E$12+1,1))</f>
        <v>201.94015973767443</v>
      </c>
      <c r="CE10" s="62">
        <f t="shared" si="40"/>
        <v>287.12228849146032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2.7333333333333334</v>
      </c>
      <c r="N11" s="14">
        <f>IF('Données projet'!$A$36&gt;35,N10+M11-V10,IF(A11&lt;'Données projet'!$A$36,$K$205^A11,IF(A11='Données projet'!$A$36,'Données projet'!$B$36,N10+M11-V10)))</f>
        <v>7.2468853445388426</v>
      </c>
      <c r="O11" s="14">
        <f>N11*VLOOKUP('Données projet'!$B$9,Paramètres!$A$1:$I$88,3,0)*VLOOKUP('Données projet'!$B$9,Paramètres!$A$1:$I$88,5,0)</f>
        <v>4.3336374360342287</v>
      </c>
      <c r="P11" s="14">
        <f t="shared" si="33"/>
        <v>1.6837398839723052</v>
      </c>
      <c r="Q11" s="22">
        <f t="shared" si="2"/>
        <v>10.480265499011379</v>
      </c>
      <c r="R11" s="62">
        <f t="shared" si="0"/>
        <v>276.92470994345581</v>
      </c>
      <c r="S11" s="62">
        <f ca="1">AVERAGE(OFFSET($R$3,0,0,'Données projet'!$E$9+1,1))-AVERAGE(OFFSET($H$3,0,0,'Données projet'!$E$9+1,1))</f>
        <v>201.94015973767443</v>
      </c>
      <c r="T11" s="62">
        <f t="shared" si="34"/>
        <v>287.12228849146032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5.666666666666667</v>
      </c>
      <c r="AI11" s="14">
        <f>IF('Données projet'!$A$62&gt;35,AI10+AH11-AQ10,IF(A11&lt;'Données projet'!$A$62,$AF$205^A11,IF(A11='Données projet'!$A$62,'Données projet'!$B$62,AI10+AH11-AQ10)))</f>
        <v>3.9335654346822158</v>
      </c>
      <c r="AJ11" s="14">
        <f>AI11*VLOOKUP('Données projet'!$B$10,Paramètres!$A$1:$I$88,3,0)*VLOOKUP('Données projet'!$B$10,Paramètres!$A$1:$I$88,5,0)</f>
        <v>1.8409086234312768</v>
      </c>
      <c r="AK11" s="14">
        <f t="shared" si="35"/>
        <v>0.79019548730956168</v>
      </c>
      <c r="AL11" s="22">
        <f t="shared" si="4"/>
        <v>4.5825063262069596</v>
      </c>
      <c r="AM11" s="62">
        <f t="shared" si="5"/>
        <v>271.02695077065141</v>
      </c>
      <c r="AN11" s="62">
        <f ca="1">AVERAGE(OFFSET($AM$3,0,0,'Données projet'!$E$10+1,1))-AVERAGE(OFFSET($H$3,0,0,'Données projet'!$E$10+1,1))</f>
        <v>135.19533066605396</v>
      </c>
      <c r="AO11" s="62">
        <f t="shared" si="36"/>
        <v>213.60182977243113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</v>
      </c>
      <c r="BD11" s="13">
        <f>IF('Données projet'!$A$88&gt;35,BD10+BC11-BL10,IF(A11&lt;'Données projet'!$A$88,$BA$205^A11,IF(A11='Données projet'!$A$88,'Données projet'!$B$88,BD10+BC11-BL10)))</f>
        <v>10.000752370554848</v>
      </c>
      <c r="BE11" s="14">
        <f>BD11*VLOOKUP('Données projet'!$B$11,Paramètres!$A$1:$I$88,3,0)*VLOOKUP('Données projet'!$B$11,Paramètres!$A$1:$I$88,5,0)</f>
        <v>5.9804499175917991</v>
      </c>
      <c r="BF11" s="14">
        <f t="shared" si="37"/>
        <v>2.238072245872778</v>
      </c>
      <c r="BG11" s="22">
        <f t="shared" si="7"/>
        <v>14.313926101367471</v>
      </c>
      <c r="BH11" s="62">
        <f t="shared" si="8"/>
        <v>280.75837054581194</v>
      </c>
      <c r="BI11" s="62">
        <f ca="1">AVERAGE(OFFSET($BH$3,0,0,'Données projet'!$E$11+1,1))-AVERAGE(OFFSET($H$3,0,0,'Données projet'!$E$11+1,1))</f>
        <v>258.1884172762135</v>
      </c>
      <c r="BJ11" s="62">
        <f t="shared" si="38"/>
        <v>356.36714671797864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2.7333333333333334</v>
      </c>
      <c r="BY11" s="13">
        <f>IF('Données projet'!$A$114&gt;35,BY10+BX11-CG10,IF(A11&lt;'Données projet'!$A$114,$BV$205^A11,IF(A11='Données projet'!$A$114,'Données projet'!$B$114,BY10+BX11-CG10)))</f>
        <v>7.2468853445388426</v>
      </c>
      <c r="BZ11" s="14">
        <f>BY11*VLOOKUP('Données projet'!$B$12,Paramètres!$A$1:$I$88,3,0)*VLOOKUP('Données projet'!$B$12,Paramètres!$A$1:$I$88,5,0)</f>
        <v>4.3336374360342287</v>
      </c>
      <c r="CA11" s="14">
        <f t="shared" si="39"/>
        <v>1.6837398839723052</v>
      </c>
      <c r="CB11" s="22">
        <f t="shared" si="10"/>
        <v>10.480265499011379</v>
      </c>
      <c r="CC11" s="62">
        <f t="shared" si="11"/>
        <v>276.92470994345581</v>
      </c>
      <c r="CD11" s="62">
        <f ca="1">AVERAGE(OFFSET($CC$3,0,0,'Données projet'!$E$12+1,1))-AVERAGE(OFFSET($H$3,0,0,'Données projet'!$E$12+1,1))</f>
        <v>201.94015973767443</v>
      </c>
      <c r="CE11" s="62">
        <f t="shared" si="40"/>
        <v>287.12228849146032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2.7333333333333334</v>
      </c>
      <c r="N12" s="14">
        <f>IF('Données projet'!$A$36&gt;35,N11+M12-V11,IF(A12&lt;'Données projet'!$A$36,$K$205^A12,IF(A12='Données projet'!$A$36,'Données projet'!$B$36,N11+M12-V11)))</f>
        <v>9.2826144813466804</v>
      </c>
      <c r="O12" s="14">
        <f>N12*VLOOKUP('Données projet'!$B$9,Paramètres!$A$1:$I$88,3,0)*VLOOKUP('Données projet'!$B$9,Paramètres!$A$1:$I$88,5,0)</f>
        <v>5.5510034598453153</v>
      </c>
      <c r="P12" s="14">
        <f t="shared" si="33"/>
        <v>2.0954568419101851</v>
      </c>
      <c r="Q12" s="22">
        <f t="shared" si="2"/>
        <v>13.317585025557497</v>
      </c>
      <c r="R12" s="62">
        <f t="shared" si="0"/>
        <v>280.98425169222418</v>
      </c>
      <c r="S12" s="62">
        <f ca="1">AVERAGE(OFFSET($R$3,0,0,'Données projet'!$E$9+1,1))-AVERAGE(OFFSET($H$3,0,0,'Données projet'!$E$9+1,1))</f>
        <v>201.94015973767443</v>
      </c>
      <c r="T12" s="62">
        <f t="shared" si="34"/>
        <v>287.12228849146032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5.666666666666667</v>
      </c>
      <c r="AI12" s="14">
        <f>IF('Données projet'!$A$62&gt;35,AI11+AH12-AQ11,IF(A12&lt;'Données projet'!$A$62,$AF$205^A12,IF(A12='Données projet'!$A$62,'Données projet'!$B$62,AI11+AH12-AQ11)))</f>
        <v>4.6680411564939428</v>
      </c>
      <c r="AJ12" s="14">
        <f>AI12*VLOOKUP('Données projet'!$B$10,Paramètres!$A$1:$I$88,3,0)*VLOOKUP('Données projet'!$B$10,Paramètres!$A$1:$I$88,5,0)</f>
        <v>2.1846432612391653</v>
      </c>
      <c r="AK12" s="14">
        <f t="shared" si="35"/>
        <v>0.91923954842431754</v>
      </c>
      <c r="AL12" s="22">
        <f t="shared" si="4"/>
        <v>5.4059292268305654</v>
      </c>
      <c r="AM12" s="62">
        <f t="shared" si="5"/>
        <v>273.07259589349724</v>
      </c>
      <c r="AN12" s="62">
        <f ca="1">AVERAGE(OFFSET($AM$3,0,0,'Données projet'!$E$10+1,1))-AVERAGE(OFFSET($H$3,0,0,'Données projet'!$E$10+1,1))</f>
        <v>135.19533066605396</v>
      </c>
      <c r="AO12" s="62">
        <f t="shared" si="36"/>
        <v>213.60182977243113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</v>
      </c>
      <c r="BD12" s="13">
        <f>IF('Données projet'!$A$88&gt;35,BD11+BC12-BL11,IF(A12&lt;'Données projet'!$A$88,$BA$205^A12,IF(A12='Données projet'!$A$88,'Données projet'!$B$88,BD11+BC12-BL11)))</f>
        <v>13.336343041982994</v>
      </c>
      <c r="BE12" s="14">
        <f>BD12*VLOOKUP('Données projet'!$B$11,Paramètres!$A$1:$I$88,3,0)*VLOOKUP('Données projet'!$B$11,Paramètres!$A$1:$I$88,5,0)</f>
        <v>7.9751331391058313</v>
      </c>
      <c r="BF12" s="14">
        <f t="shared" si="37"/>
        <v>2.8862085602935181</v>
      </c>
      <c r="BG12" s="22">
        <f t="shared" si="7"/>
        <v>18.916836793120535</v>
      </c>
      <c r="BH12" s="62">
        <f t="shared" si="8"/>
        <v>286.58350345978721</v>
      </c>
      <c r="BI12" s="62">
        <f ca="1">AVERAGE(OFFSET($BH$3,0,0,'Données projet'!$E$11+1,1))-AVERAGE(OFFSET($H$3,0,0,'Données projet'!$E$11+1,1))</f>
        <v>258.1884172762135</v>
      </c>
      <c r="BJ12" s="62">
        <f t="shared" si="38"/>
        <v>356.36714671797864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2.7333333333333334</v>
      </c>
      <c r="BY12" s="13">
        <f>IF('Données projet'!$A$114&gt;35,BY11+BX12-CG11,IF(A12&lt;'Données projet'!$A$114,$BV$205^A12,IF(A12='Données projet'!$A$114,'Données projet'!$B$114,BY11+BX12-CG11)))</f>
        <v>9.2826144813466804</v>
      </c>
      <c r="BZ12" s="14">
        <f>BY12*VLOOKUP('Données projet'!$B$12,Paramètres!$A$1:$I$88,3,0)*VLOOKUP('Données projet'!$B$12,Paramètres!$A$1:$I$88,5,0)</f>
        <v>5.5510034598453153</v>
      </c>
      <c r="CA12" s="14">
        <f t="shared" si="39"/>
        <v>2.0954568419101851</v>
      </c>
      <c r="CB12" s="22">
        <f t="shared" si="10"/>
        <v>13.317585025557497</v>
      </c>
      <c r="CC12" s="62">
        <f t="shared" si="11"/>
        <v>280.98425169222418</v>
      </c>
      <c r="CD12" s="62">
        <f ca="1">AVERAGE(OFFSET($CC$3,0,0,'Données projet'!$E$12+1,1))-AVERAGE(OFFSET($H$3,0,0,'Données projet'!$E$12+1,1))</f>
        <v>201.94015973767443</v>
      </c>
      <c r="CE12" s="62">
        <f t="shared" si="40"/>
        <v>287.12228849146032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2.7333333333333334</v>
      </c>
      <c r="N13" s="14">
        <f>IF('Données projet'!$A$36&gt;35,N12+M13-V12,IF(A13&lt;'Données projet'!$A$36,$K$205^A13,IF(A13='Données projet'!$A$36,'Données projet'!$B$36,N12+M13-V12)))</f>
        <v>11.890202136872688</v>
      </c>
      <c r="O13" s="14">
        <f>N13*VLOOKUP('Données projet'!$B$9,Paramètres!$A$1:$I$88,3,0)*VLOOKUP('Données projet'!$B$9,Paramètres!$A$1:$I$88,5,0)</f>
        <v>7.1103408778498673</v>
      </c>
      <c r="P13" s="14">
        <f t="shared" si="33"/>
        <v>2.6078490021564589</v>
      </c>
      <c r="Q13" s="22">
        <f t="shared" si="2"/>
        <v>16.92584737434435</v>
      </c>
      <c r="R13" s="62">
        <f t="shared" si="0"/>
        <v>285.81473626323321</v>
      </c>
      <c r="S13" s="62">
        <f ca="1">AVERAGE(OFFSET($R$3,0,0,'Données projet'!$E$9+1,1))-AVERAGE(OFFSET($H$3,0,0,'Données projet'!$E$9+1,1))</f>
        <v>201.94015973767443</v>
      </c>
      <c r="T13" s="62">
        <f t="shared" si="34"/>
        <v>287.12228849146032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5.666666666666667</v>
      </c>
      <c r="AI13" s="14">
        <f>IF('Données projet'!$A$62&gt;35,AI12+AH13-AQ12,IF(A13&lt;'Données projet'!$A$62,$AF$205^A13,IF(A13='Données projet'!$A$62,'Données projet'!$B$62,AI12+AH13-AQ12)))</f>
        <v>5.5396582567544659</v>
      </c>
      <c r="AJ13" s="14">
        <f>AI13*VLOOKUP('Données projet'!$B$10,Paramètres!$A$1:$I$88,3,0)*VLOOKUP('Données projet'!$B$10,Paramètres!$A$1:$I$88,5,0)</f>
        <v>2.59256006416109</v>
      </c>
      <c r="AK13" s="14">
        <f t="shared" si="35"/>
        <v>1.069357343793981</v>
      </c>
      <c r="AL13" s="22">
        <f t="shared" si="4"/>
        <v>6.377839485521748</v>
      </c>
      <c r="AM13" s="62">
        <f t="shared" si="5"/>
        <v>275.2667283744106</v>
      </c>
      <c r="AN13" s="62">
        <f ca="1">AVERAGE(OFFSET($AM$3,0,0,'Données projet'!$E$10+1,1))-AVERAGE(OFFSET($H$3,0,0,'Données projet'!$E$10+1,1))</f>
        <v>135.19533066605396</v>
      </c>
      <c r="AO13" s="62">
        <f t="shared" si="36"/>
        <v>213.60182977243113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</v>
      </c>
      <c r="BD13" s="13">
        <f>IF('Données projet'!$A$88&gt;35,BD12+BC13-BL12,IF(A13&lt;'Données projet'!$A$88,$BA$205^A13,IF(A13='Données projet'!$A$88,'Données projet'!$B$88,BD12+BC13-BL12)))</f>
        <v>17.784466522450305</v>
      </c>
      <c r="BE13" s="14">
        <f>BD13*VLOOKUP('Données projet'!$B$11,Paramètres!$A$1:$I$88,3,0)*VLOOKUP('Données projet'!$B$11,Paramètres!$A$1:$I$88,5,0)</f>
        <v>10.635110980425283</v>
      </c>
      <c r="BF13" s="14">
        <f t="shared" si="37"/>
        <v>3.7220424268578798</v>
      </c>
      <c r="BG13" s="22">
        <f t="shared" si="7"/>
        <v>25.00537551768484</v>
      </c>
      <c r="BH13" s="62">
        <f t="shared" si="8"/>
        <v>293.89426440657371</v>
      </c>
      <c r="BI13" s="62">
        <f ca="1">AVERAGE(OFFSET($BH$3,0,0,'Données projet'!$E$11+1,1))-AVERAGE(OFFSET($H$3,0,0,'Données projet'!$E$11+1,1))</f>
        <v>258.1884172762135</v>
      </c>
      <c r="BJ13" s="62">
        <f t="shared" si="38"/>
        <v>356.36714671797864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2.7333333333333334</v>
      </c>
      <c r="BY13" s="13">
        <f>IF('Données projet'!$A$114&gt;35,BY12+BX13-CG12,IF(A13&lt;'Données projet'!$A$114,$BV$205^A13,IF(A13='Données projet'!$A$114,'Données projet'!$B$114,BY12+BX13-CG12)))</f>
        <v>11.890202136872688</v>
      </c>
      <c r="BZ13" s="14">
        <f>BY13*VLOOKUP('Données projet'!$B$12,Paramètres!$A$1:$I$88,3,0)*VLOOKUP('Données projet'!$B$12,Paramètres!$A$1:$I$88,5,0)</f>
        <v>7.1103408778498673</v>
      </c>
      <c r="CA13" s="14">
        <f t="shared" si="39"/>
        <v>2.6078490021564589</v>
      </c>
      <c r="CB13" s="22">
        <f t="shared" si="10"/>
        <v>16.92584737434435</v>
      </c>
      <c r="CC13" s="62">
        <f t="shared" si="11"/>
        <v>285.81473626323321</v>
      </c>
      <c r="CD13" s="62">
        <f ca="1">AVERAGE(OFFSET($CC$3,0,0,'Données projet'!$E$12+1,1))-AVERAGE(OFFSET($H$3,0,0,'Données projet'!$E$12+1,1))</f>
        <v>201.94015973767443</v>
      </c>
      <c r="CE13" s="62">
        <f t="shared" si="40"/>
        <v>287.12228849146032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2.7333333333333334</v>
      </c>
      <c r="N14" s="14">
        <f>IF('Données projet'!$A$36&gt;35,N13+M14-V13,IF(A14&lt;'Données projet'!$A$36,$K$205^A14,IF(A14='Données projet'!$A$36,'Données projet'!$B$36,N13+M14-V13)))</f>
        <v>15.230289606423629</v>
      </c>
      <c r="O14" s="14">
        <f>N14*VLOOKUP('Données projet'!$B$9,Paramètres!$A$1:$I$88,3,0)*VLOOKUP('Données projet'!$B$9,Paramètres!$A$1:$I$88,5,0)</f>
        <v>9.1077131846413302</v>
      </c>
      <c r="P14" s="14">
        <f t="shared" si="33"/>
        <v>3.2455339962281764</v>
      </c>
      <c r="Q14" s="22">
        <f t="shared" si="2"/>
        <v>21.515238840014391</v>
      </c>
      <c r="R14" s="62">
        <f t="shared" si="0"/>
        <v>291.62634995112552</v>
      </c>
      <c r="S14" s="62">
        <f ca="1">AVERAGE(OFFSET($R$3,0,0,'Données projet'!$E$9+1,1))-AVERAGE(OFFSET($H$3,0,0,'Données projet'!$E$9+1,1))</f>
        <v>201.94015973767443</v>
      </c>
      <c r="T14" s="62">
        <f t="shared" si="34"/>
        <v>287.12228849146032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5.666666666666667</v>
      </c>
      <c r="AI14" s="14">
        <f>IF('Données projet'!$A$62&gt;35,AI13+AH14-AQ13,IF(A14&lt;'Données projet'!$A$62,$AF$205^A14,IF(A14='Données projet'!$A$62,'Données projet'!$B$62,AI13+AH14-AQ13)))</f>
        <v>6.5740237870303684</v>
      </c>
      <c r="AJ14" s="14">
        <f>AI14*VLOOKUP('Données projet'!$B$10,Paramètres!$A$1:$I$88,3,0)*VLOOKUP('Données projet'!$B$10,Paramètres!$A$1:$I$88,5,0)</f>
        <v>3.0766431323302124</v>
      </c>
      <c r="AK14" s="14">
        <f t="shared" si="35"/>
        <v>1.24399035124876</v>
      </c>
      <c r="AL14" s="22">
        <f t="shared" si="4"/>
        <v>7.5251033172333761</v>
      </c>
      <c r="AM14" s="62">
        <f t="shared" si="5"/>
        <v>277.63621442834454</v>
      </c>
      <c r="AN14" s="62">
        <f ca="1">AVERAGE(OFFSET($AM$3,0,0,'Données projet'!$E$10+1,1))-AVERAGE(OFFSET($H$3,0,0,'Données projet'!$E$10+1,1))</f>
        <v>135.19533066605396</v>
      </c>
      <c r="AO14" s="62">
        <f t="shared" si="36"/>
        <v>213.60182977243113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</v>
      </c>
      <c r="BD14" s="13">
        <f>IF('Données projet'!$A$88&gt;35,BD13+BC14-BL13,IF(A14&lt;'Données projet'!$A$88,$BA$205^A14,IF(A14='Données projet'!$A$88,'Données projet'!$B$88,BD13+BC14-BL13)))</f>
        <v>23.716190299880484</v>
      </c>
      <c r="BE14" s="14">
        <f>BD14*VLOOKUP('Données projet'!$B$11,Paramètres!$A$1:$I$88,3,0)*VLOOKUP('Données projet'!$B$11,Paramètres!$A$1:$I$88,5,0)</f>
        <v>14.182281799328532</v>
      </c>
      <c r="BF14" s="14">
        <f t="shared" si="37"/>
        <v>4.7999302676592546</v>
      </c>
      <c r="BG14" s="22">
        <f t="shared" si="7"/>
        <v>33.060686016670395</v>
      </c>
      <c r="BH14" s="62">
        <f t="shared" si="8"/>
        <v>303.17179712778153</v>
      </c>
      <c r="BI14" s="62">
        <f ca="1">AVERAGE(OFFSET($BH$3,0,0,'Données projet'!$E$11+1,1))-AVERAGE(OFFSET($H$3,0,0,'Données projet'!$E$11+1,1))</f>
        <v>258.1884172762135</v>
      </c>
      <c r="BJ14" s="62">
        <f t="shared" si="38"/>
        <v>356.36714671797864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2.7333333333333334</v>
      </c>
      <c r="BY14" s="13">
        <f>IF('Données projet'!$A$114&gt;35,BY13+BX14-CG13,IF(A14&lt;'Données projet'!$A$114,$BV$205^A14,IF(A14='Données projet'!$A$114,'Données projet'!$B$114,BY13+BX14-CG13)))</f>
        <v>15.230289606423629</v>
      </c>
      <c r="BZ14" s="14">
        <f>BY14*VLOOKUP('Données projet'!$B$12,Paramètres!$A$1:$I$88,3,0)*VLOOKUP('Données projet'!$B$12,Paramètres!$A$1:$I$88,5,0)</f>
        <v>9.1077131846413302</v>
      </c>
      <c r="CA14" s="14">
        <f t="shared" si="39"/>
        <v>3.2455339962281764</v>
      </c>
      <c r="CB14" s="22">
        <f t="shared" si="10"/>
        <v>21.515238840014391</v>
      </c>
      <c r="CC14" s="62">
        <f t="shared" si="11"/>
        <v>291.62634995112552</v>
      </c>
      <c r="CD14" s="62">
        <f ca="1">AVERAGE(OFFSET($CC$3,0,0,'Données projet'!$E$12+1,1))-AVERAGE(OFFSET($H$3,0,0,'Données projet'!$E$12+1,1))</f>
        <v>201.94015973767443</v>
      </c>
      <c r="CE14" s="62">
        <f t="shared" si="40"/>
        <v>287.12228849146032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2.7333333333333334</v>
      </c>
      <c r="N15" s="14">
        <f>IF('Données projet'!$A$36&gt;35,N14+M15-V14,IF(A15&lt;'Données projet'!$A$36,$K$205^A15,IF(A15='Données projet'!$A$36,'Données projet'!$B$36,N14+M15-V14)))</f>
        <v>19.50864407731131</v>
      </c>
      <c r="O15" s="14">
        <f>N15*VLOOKUP('Données projet'!$B$9,Paramètres!$A$1:$I$88,3,0)*VLOOKUP('Données projet'!$B$9,Paramètres!$A$1:$I$88,5,0)</f>
        <v>11.666169158232163</v>
      </c>
      <c r="P15" s="14">
        <f t="shared" si="33"/>
        <v>4.0391490887557433</v>
      </c>
      <c r="Q15" s="22">
        <f t="shared" si="2"/>
        <v>27.353429280170602</v>
      </c>
      <c r="R15" s="62">
        <f t="shared" si="0"/>
        <v>298.6867626135039</v>
      </c>
      <c r="S15" s="62">
        <f ca="1">AVERAGE(OFFSET($R$3,0,0,'Données projet'!$E$9+1,1))-AVERAGE(OFFSET($H$3,0,0,'Données projet'!$E$9+1,1))</f>
        <v>201.94015973767443</v>
      </c>
      <c r="T15" s="62">
        <f t="shared" si="34"/>
        <v>287.12228849146032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5.666666666666667</v>
      </c>
      <c r="AI15" s="14">
        <f>IF('Données projet'!$A$62&gt;35,AI14+AH15-AQ14,IF(A15&lt;'Données projet'!$A$62,$AF$205^A15,IF(A15='Données projet'!$A$62,'Données projet'!$B$62,AI14+AH15-AQ14)))</f>
        <v>7.8015261500555493</v>
      </c>
      <c r="AJ15" s="14">
        <f>AI15*VLOOKUP('Données projet'!$B$10,Paramètres!$A$1:$I$88,3,0)*VLOOKUP('Données projet'!$B$10,Paramètres!$A$1:$I$88,5,0)</f>
        <v>3.6511142382259969</v>
      </c>
      <c r="AK15" s="14">
        <f t="shared" si="35"/>
        <v>1.4471420643258348</v>
      </c>
      <c r="AL15" s="22">
        <f t="shared" si="4"/>
        <v>8.8794630602777733</v>
      </c>
      <c r="AM15" s="62">
        <f t="shared" si="5"/>
        <v>280.21279639361109</v>
      </c>
      <c r="AN15" s="62">
        <f ca="1">AVERAGE(OFFSET($AM$3,0,0,'Données projet'!$E$10+1,1))-AVERAGE(OFFSET($H$3,0,0,'Données projet'!$E$10+1,1))</f>
        <v>135.19533066605396</v>
      </c>
      <c r="AO15" s="62">
        <f t="shared" si="36"/>
        <v>213.60182977243113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</v>
      </c>
      <c r="BD15" s="13">
        <f>IF('Données projet'!$A$88&gt;35,BD14+BC15-BL14,IF(A15&lt;'Données projet'!$A$88,$BA$205^A15,IF(A15='Données projet'!$A$88,'Données projet'!$B$88,BD14+BC15-BL14)))</f>
        <v>31.626345475706227</v>
      </c>
      <c r="BE15" s="14">
        <f>BD15*VLOOKUP('Données projet'!$B$11,Paramètres!$A$1:$I$88,3,0)*VLOOKUP('Données projet'!$B$11,Paramètres!$A$1:$I$88,5,0)</f>
        <v>18.912554594472326</v>
      </c>
      <c r="BF15" s="14">
        <f t="shared" si="37"/>
        <v>6.1899698961360441</v>
      </c>
      <c r="BG15" s="22">
        <f t="shared" si="7"/>
        <v>43.720230154476248</v>
      </c>
      <c r="BH15" s="62">
        <f t="shared" si="8"/>
        <v>315.05356348780958</v>
      </c>
      <c r="BI15" s="62">
        <f ca="1">AVERAGE(OFFSET($BH$3,0,0,'Données projet'!$E$11+1,1))-AVERAGE(OFFSET($H$3,0,0,'Données projet'!$E$11+1,1))</f>
        <v>258.1884172762135</v>
      </c>
      <c r="BJ15" s="62">
        <f t="shared" si="38"/>
        <v>356.36714671797864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2.7333333333333334</v>
      </c>
      <c r="BY15" s="13">
        <f>IF('Données projet'!$A$114&gt;35,BY14+BX15-CG14,IF(A15&lt;'Données projet'!$A$114,$BV$205^A15,IF(A15='Données projet'!$A$114,'Données projet'!$B$114,BY14+BX15-CG14)))</f>
        <v>19.50864407731131</v>
      </c>
      <c r="BZ15" s="14">
        <f>BY15*VLOOKUP('Données projet'!$B$12,Paramètres!$A$1:$I$88,3,0)*VLOOKUP('Données projet'!$B$12,Paramètres!$A$1:$I$88,5,0)</f>
        <v>11.666169158232163</v>
      </c>
      <c r="CA15" s="14">
        <f t="shared" si="39"/>
        <v>4.0391490887557433</v>
      </c>
      <c r="CB15" s="22">
        <f t="shared" si="10"/>
        <v>27.353429280170602</v>
      </c>
      <c r="CC15" s="62">
        <f t="shared" si="11"/>
        <v>298.6867626135039</v>
      </c>
      <c r="CD15" s="62">
        <f ca="1">AVERAGE(OFFSET($CC$3,0,0,'Données projet'!$E$12+1,1))-AVERAGE(OFFSET($H$3,0,0,'Données projet'!$E$12+1,1))</f>
        <v>201.94015973767443</v>
      </c>
      <c r="CE15" s="62">
        <f t="shared" si="40"/>
        <v>287.12228849146032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2.7333333333333334</v>
      </c>
      <c r="N16" s="14">
        <f>IF('Données projet'!$A$36&gt;35,N15+M16-V15,IF(A16&lt;'Données projet'!$A$36,$K$205^A16,IF(A16='Données projet'!$A$36,'Données projet'!$B$36,N15+M16-V15)))</f>
        <v>24.988834984115776</v>
      </c>
      <c r="O16" s="14">
        <f>N16*VLOOKUP('Données projet'!$B$9,Paramètres!$A$1:$I$88,3,0)*VLOOKUP('Données projet'!$B$9,Paramètres!$A$1:$I$88,5,0)</f>
        <v>14.943323320501236</v>
      </c>
      <c r="P16" s="14">
        <f t="shared" si="33"/>
        <v>5.0268231299245825</v>
      </c>
      <c r="Q16" s="22">
        <f t="shared" si="2"/>
        <v>34.781338401158301</v>
      </c>
      <c r="R16" s="62">
        <f t="shared" si="0"/>
        <v>307.33689395671382</v>
      </c>
      <c r="S16" s="62">
        <f ca="1">AVERAGE(OFFSET($R$3,0,0,'Données projet'!$E$9+1,1))-AVERAGE(OFFSET($H$3,0,0,'Données projet'!$E$9+1,1))</f>
        <v>201.94015973767443</v>
      </c>
      <c r="T16" s="62">
        <f t="shared" si="34"/>
        <v>287.12228849146032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5.666666666666667</v>
      </c>
      <c r="AI16" s="14">
        <f>IF('Données projet'!$A$62&gt;35,AI15+AH16-AQ15,IF(A16&lt;'Données projet'!$A$62,$AF$205^A16,IF(A16='Données projet'!$A$62,'Données projet'!$B$62,AI15+AH16-AQ15)))</f>
        <v>9.2582278740877637</v>
      </c>
      <c r="AJ16" s="14">
        <f>AI16*VLOOKUP('Données projet'!$B$10,Paramètres!$A$1:$I$88,3,0)*VLOOKUP('Données projet'!$B$10,Paramètres!$A$1:$I$88,5,0)</f>
        <v>4.3328506450730728</v>
      </c>
      <c r="AK16" s="14">
        <f t="shared" si="35"/>
        <v>1.683469773088665</v>
      </c>
      <c r="AL16" s="22">
        <f t="shared" si="4"/>
        <v>10.478424728298359</v>
      </c>
      <c r="AM16" s="62">
        <f t="shared" si="5"/>
        <v>283.03398028385391</v>
      </c>
      <c r="AN16" s="62">
        <f ca="1">AVERAGE(OFFSET($AM$3,0,0,'Données projet'!$E$10+1,1))-AVERAGE(OFFSET($H$3,0,0,'Données projet'!$E$10+1,1))</f>
        <v>135.19533066605396</v>
      </c>
      <c r="AO16" s="62">
        <f t="shared" si="36"/>
        <v>213.60182977243113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</v>
      </c>
      <c r="BD16" s="13">
        <f>IF('Données projet'!$A$88&gt;35,BD15+BC16-BL15,IF(A16&lt;'Données projet'!$A$88,$BA$205^A16,IF(A16='Données projet'!$A$88,'Données projet'!$B$88,BD15+BC16-BL15)))</f>
        <v>42.174806134599301</v>
      </c>
      <c r="BE16" s="14">
        <f>BD16*VLOOKUP('Données projet'!$B$11,Paramètres!$A$1:$I$88,3,0)*VLOOKUP('Données projet'!$B$11,Paramètres!$A$1:$I$88,5,0)</f>
        <v>25.22053406849038</v>
      </c>
      <c r="BF16" s="14">
        <f t="shared" si="37"/>
        <v>7.9825591578345199</v>
      </c>
      <c r="BG16" s="22">
        <f t="shared" si="7"/>
        <v>57.828720702515874</v>
      </c>
      <c r="BH16" s="62">
        <f t="shared" si="8"/>
        <v>330.3842762580714</v>
      </c>
      <c r="BI16" s="62">
        <f ca="1">AVERAGE(OFFSET($BH$3,0,0,'Données projet'!$E$11+1,1))-AVERAGE(OFFSET($H$3,0,0,'Données projet'!$E$11+1,1))</f>
        <v>258.1884172762135</v>
      </c>
      <c r="BJ16" s="62">
        <f t="shared" si="38"/>
        <v>356.36714671797864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2.7333333333333334</v>
      </c>
      <c r="BY16" s="13">
        <f>IF('Données projet'!$A$114&gt;35,BY15+BX16-CG15,IF(A16&lt;'Données projet'!$A$114,$BV$205^A16,IF(A16='Données projet'!$A$114,'Données projet'!$B$114,BY15+BX16-CG15)))</f>
        <v>24.988834984115776</v>
      </c>
      <c r="BZ16" s="14">
        <f>BY16*VLOOKUP('Données projet'!$B$12,Paramètres!$A$1:$I$88,3,0)*VLOOKUP('Données projet'!$B$12,Paramètres!$A$1:$I$88,5,0)</f>
        <v>14.943323320501236</v>
      </c>
      <c r="CA16" s="14">
        <f t="shared" si="39"/>
        <v>5.0268231299245825</v>
      </c>
      <c r="CB16" s="22">
        <f t="shared" si="10"/>
        <v>34.781338401158301</v>
      </c>
      <c r="CC16" s="62">
        <f t="shared" si="11"/>
        <v>307.33689395671382</v>
      </c>
      <c r="CD16" s="62">
        <f ca="1">AVERAGE(OFFSET($CC$3,0,0,'Données projet'!$E$12+1,1))-AVERAGE(OFFSET($H$3,0,0,'Données projet'!$E$12+1,1))</f>
        <v>201.94015973767443</v>
      </c>
      <c r="CE16" s="62">
        <f t="shared" si="40"/>
        <v>287.12228849146032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2.7333333333333334</v>
      </c>
      <c r="N17" s="14">
        <f>IF('Données projet'!$A$36&gt;35,N16+M17-V16,IF(A17&lt;'Données projet'!$A$36,$K$205^A17,IF(A17='Données projet'!$A$36,'Données projet'!$B$36,N16+M17-V16)))</f>
        <v>32.008471290406014</v>
      </c>
      <c r="O17" s="14">
        <f>N17*VLOOKUP('Données projet'!$B$9,Paramètres!$A$1:$I$88,3,0)*VLOOKUP('Données projet'!$B$9,Paramètres!$A$1:$I$88,5,0)</f>
        <v>19.1410658316628</v>
      </c>
      <c r="P17" s="14">
        <f t="shared" si="33"/>
        <v>6.2560084374921798</v>
      </c>
      <c r="Q17" s="22">
        <f t="shared" si="2"/>
        <v>44.233237685444927</v>
      </c>
      <c r="R17" s="62">
        <f t="shared" si="0"/>
        <v>318.01101546322269</v>
      </c>
      <c r="S17" s="62">
        <f ca="1">AVERAGE(OFFSET($R$3,0,0,'Données projet'!$E$9+1,1))-AVERAGE(OFFSET($H$3,0,0,'Données projet'!$E$9+1,1))</f>
        <v>201.94015973767443</v>
      </c>
      <c r="T17" s="62">
        <f t="shared" si="34"/>
        <v>287.12228849146032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5.666666666666667</v>
      </c>
      <c r="AI17" s="14">
        <f>IF('Données projet'!$A$62&gt;35,AI16+AH17-AQ16,IF(A17&lt;'Données projet'!$A$62,$AF$205^A17,IF(A17='Données projet'!$A$62,'Données projet'!$B$62,AI16+AH17-AQ16)))</f>
        <v>10.986925086180136</v>
      </c>
      <c r="AJ17" s="14">
        <f>AI17*VLOOKUP('Données projet'!$B$10,Paramètres!$A$1:$I$88,3,0)*VLOOKUP('Données projet'!$B$10,Paramètres!$A$1:$I$88,5,0)</f>
        <v>5.141880940332304</v>
      </c>
      <c r="AK17" s="14">
        <f t="shared" si="35"/>
        <v>1.95839133335087</v>
      </c>
      <c r="AL17" s="22">
        <f t="shared" si="4"/>
        <v>12.366307543331528</v>
      </c>
      <c r="AM17" s="62">
        <f t="shared" si="5"/>
        <v>286.14408532110929</v>
      </c>
      <c r="AN17" s="62">
        <f ca="1">AVERAGE(OFFSET($AM$3,0,0,'Données projet'!$E$10+1,1))-AVERAGE(OFFSET($H$3,0,0,'Données projet'!$E$10+1,1))</f>
        <v>135.19533066605396</v>
      </c>
      <c r="AO17" s="62">
        <f t="shared" si="36"/>
        <v>213.60182977243113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</v>
      </c>
      <c r="BD17" s="13">
        <f>IF('Données projet'!$A$88&gt;35,BD16+BC17-BL16,IF(A17&lt;'Données projet'!$A$88,$BA$205^A17,IF(A17='Données projet'!$A$88,'Données projet'!$B$88,BD16+BC17-BL16)))</f>
        <v>56.24153678639076</v>
      </c>
      <c r="BE17" s="14">
        <f>BD17*VLOOKUP('Données projet'!$B$11,Paramètres!$A$1:$I$88,3,0)*VLOOKUP('Données projet'!$B$11,Paramètres!$A$1:$I$88,5,0)</f>
        <v>33.632438998261676</v>
      </c>
      <c r="BF17" s="14">
        <f t="shared" si="37"/>
        <v>10.294274734373817</v>
      </c>
      <c r="BG17" s="22">
        <f t="shared" si="7"/>
        <v>76.505693084340137</v>
      </c>
      <c r="BH17" s="62">
        <f t="shared" si="8"/>
        <v>350.28347086211789</v>
      </c>
      <c r="BI17" s="62">
        <f ca="1">AVERAGE(OFFSET($BH$3,0,0,'Données projet'!$E$11+1,1))-AVERAGE(OFFSET($H$3,0,0,'Données projet'!$E$11+1,1))</f>
        <v>258.1884172762135</v>
      </c>
      <c r="BJ17" s="62">
        <f t="shared" si="38"/>
        <v>356.36714671797864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2.7333333333333334</v>
      </c>
      <c r="BY17" s="13">
        <f>IF('Données projet'!$A$114&gt;35,BY16+BX17-CG16,IF(A17&lt;'Données projet'!$A$114,$BV$205^A17,IF(A17='Données projet'!$A$114,'Données projet'!$B$114,BY16+BX17-CG16)))</f>
        <v>32.008471290406014</v>
      </c>
      <c r="BZ17" s="14">
        <f>BY17*VLOOKUP('Données projet'!$B$12,Paramètres!$A$1:$I$88,3,0)*VLOOKUP('Données projet'!$B$12,Paramètres!$A$1:$I$88,5,0)</f>
        <v>19.1410658316628</v>
      </c>
      <c r="CA17" s="14">
        <f t="shared" si="39"/>
        <v>6.2560084374921798</v>
      </c>
      <c r="CB17" s="22">
        <f t="shared" si="10"/>
        <v>44.233237685444927</v>
      </c>
      <c r="CC17" s="62">
        <f t="shared" si="11"/>
        <v>318.01101546322269</v>
      </c>
      <c r="CD17" s="62">
        <f ca="1">AVERAGE(OFFSET($CC$3,0,0,'Données projet'!$E$12+1,1))-AVERAGE(OFFSET($H$3,0,0,'Données projet'!$E$12+1,1))</f>
        <v>201.94015973767443</v>
      </c>
      <c r="CE17" s="62">
        <f t="shared" si="40"/>
        <v>287.12228849146032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41</v>
      </c>
      <c r="L18" s="13">
        <f>VLOOKUP(A18,'Données projet'!$A$35:$I$55,9,0)</f>
        <v>2.7333333333333334</v>
      </c>
      <c r="M18" s="13">
        <f t="array" ref="M18">INDEX(L:L,MIN(IF(ISNUMBER(L18:L214),ROW(L18:L214),"")))</f>
        <v>2.7333333333333334</v>
      </c>
      <c r="N18" s="14">
        <f>IF('Données projet'!$A$36&gt;35,N17+M18-V17,IF(A18&lt;'Données projet'!$A$36,$K$205^A18,IF(A18='Données projet'!$A$36,'Données projet'!$B$36,N17+M18-V17)))</f>
        <v>41</v>
      </c>
      <c r="O18" s="14">
        <f>N18*VLOOKUP('Données projet'!$B$9,Paramètres!$A$1:$I$88,3,0)*VLOOKUP('Données projet'!$B$9,Paramètres!$A$1:$I$88,5,0)</f>
        <v>24.518000000000001</v>
      </c>
      <c r="P18" s="14">
        <f t="shared" si="33"/>
        <v>7.7857606202588832</v>
      </c>
      <c r="Q18" s="22">
        <f t="shared" si="2"/>
        <v>56.262383080284224</v>
      </c>
      <c r="R18" s="62">
        <f t="shared" si="0"/>
        <v>331.26238308028422</v>
      </c>
      <c r="S18" s="62">
        <f ca="1">AVERAGE(OFFSET($R$3,0,0,'Données projet'!$E$9+1,1))-AVERAGE(OFFSET($H$3,0,0,'Données projet'!$E$9+1,1))</f>
        <v>201.94015973767443</v>
      </c>
      <c r="T18" s="62">
        <f t="shared" si="34"/>
        <v>287.12228849146032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0.25200000000000006</v>
      </c>
      <c r="Y18" s="17">
        <f>IF(ISNA(VLOOKUP(A18,'Données projet'!$A$35:$I$55,7,0)),0%,VLOOKUP(A18,'Données projet'!$A$35:$I$55,7,0))</f>
        <v>0.44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5.666666666666667</v>
      </c>
      <c r="AI18" s="14">
        <f>IF('Données projet'!$A$62&gt;35,AI17+AH18-AQ17,IF(A18&lt;'Données projet'!$A$62,$AF$205^A18,IF(A18='Données projet'!$A$62,'Données projet'!$B$62,AI17+AH18-AQ17)))</f>
        <v>13.038404810405304</v>
      </c>
      <c r="AJ18" s="14">
        <f>AI18*VLOOKUP('Données projet'!$B$10,Paramètres!$A$1:$I$88,3,0)*VLOOKUP('Données projet'!$B$10,Paramètres!$A$1:$I$88,5,0)</f>
        <v>6.101973451269683</v>
      </c>
      <c r="AK18" s="14">
        <f t="shared" si="35"/>
        <v>2.2782093720086061</v>
      </c>
      <c r="AL18" s="22">
        <f t="shared" si="4"/>
        <v>14.595485083876353</v>
      </c>
      <c r="AM18" s="62">
        <f t="shared" si="5"/>
        <v>289.59548508387633</v>
      </c>
      <c r="AN18" s="62">
        <f ca="1">AVERAGE(OFFSET($AM$3,0,0,'Données projet'!$E$10+1,1))-AVERAGE(OFFSET($H$3,0,0,'Données projet'!$E$10+1,1))</f>
        <v>135.19533066605396</v>
      </c>
      <c r="AO18" s="62">
        <f t="shared" si="36"/>
        <v>213.60182977243113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75</v>
      </c>
      <c r="BB18" s="13">
        <f>VLOOKUP(A18,'Données projet'!$A$87:$I$107,9,0)</f>
        <v>5</v>
      </c>
      <c r="BC18" s="13">
        <f t="array" ref="BC18">INDEX(BB:BB,MIN(IF(ISNUMBER(BB18:BB214),ROW(BB18:BB214),"")))</f>
        <v>5</v>
      </c>
      <c r="BD18" s="13">
        <f>IF('Données projet'!$A$88&gt;35,BD17+BC18-BL17,IF(A18&lt;'Données projet'!$A$88,$BA$205^A18,IF(A18='Données projet'!$A$88,'Données projet'!$B$88,BD17+BC18-BL17)))</f>
        <v>75</v>
      </c>
      <c r="BE18" s="14">
        <f>BD18*VLOOKUP('Données projet'!$B$11,Paramètres!$A$1:$I$88,3,0)*VLOOKUP('Données projet'!$B$11,Paramètres!$A$1:$I$88,5,0)</f>
        <v>44.85</v>
      </c>
      <c r="BF18" s="14">
        <f t="shared" si="37"/>
        <v>13.275453424327006</v>
      </c>
      <c r="BG18" s="22">
        <f t="shared" si="7"/>
        <v>101.2351647140362</v>
      </c>
      <c r="BH18" s="62">
        <f t="shared" si="8"/>
        <v>376.23516471403622</v>
      </c>
      <c r="BI18" s="62">
        <f ca="1">AVERAGE(OFFSET($BH$3,0,0,'Données projet'!$E$11+1,1))-AVERAGE(OFFSET($H$3,0,0,'Données projet'!$E$11+1,1))</f>
        <v>258.1884172762135</v>
      </c>
      <c r="BJ18" s="62">
        <f t="shared" si="38"/>
        <v>356.36714671797864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0.25200000000000006</v>
      </c>
      <c r="BO18" s="17">
        <f>IF(ISNA(VLOOKUP(A18,'Données projet'!$A$87:$I$107,7,0)),0%,VLOOKUP(A18,'Données projet'!$A$87:$I$107,7,0))</f>
        <v>0.44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41</v>
      </c>
      <c r="BW18" s="13">
        <f>VLOOKUP(A18,'Données projet'!$A$113:$I$133,9,0)</f>
        <v>2.7333333333333334</v>
      </c>
      <c r="BX18" s="13">
        <f t="array" ref="BX18">INDEX(BW:BW,MIN(IF(ISNUMBER(BW18:BW214),ROW(BW18:BW214),"")))</f>
        <v>2.7333333333333334</v>
      </c>
      <c r="BY18" s="13">
        <f>IF('Données projet'!$A$114&gt;35,BY17+BX18-CG17,IF(A18&lt;'Données projet'!$A$114,$BV$205^A18,IF(A18='Données projet'!$A$114,'Données projet'!$B$114,BY17+BX18-CG17)))</f>
        <v>41</v>
      </c>
      <c r="BZ18" s="14">
        <f>BY18*VLOOKUP('Données projet'!$B$12,Paramètres!$A$1:$I$88,3,0)*VLOOKUP('Données projet'!$B$12,Paramètres!$A$1:$I$88,5,0)</f>
        <v>24.518000000000001</v>
      </c>
      <c r="CA18" s="14">
        <f t="shared" si="39"/>
        <v>7.7857606202588832</v>
      </c>
      <c r="CB18" s="22">
        <f t="shared" si="10"/>
        <v>56.262383080284224</v>
      </c>
      <c r="CC18" s="62">
        <f t="shared" si="11"/>
        <v>331.26238308028422</v>
      </c>
      <c r="CD18" s="62">
        <f ca="1">AVERAGE(OFFSET($CC$3,0,0,'Données projet'!$E$12+1,1))-AVERAGE(OFFSET($H$3,0,0,'Données projet'!$E$12+1,1))</f>
        <v>201.94015973767443</v>
      </c>
      <c r="CE18" s="62">
        <f t="shared" si="40"/>
        <v>287.12228849146032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0.25200000000000006</v>
      </c>
      <c r="CJ18" s="17">
        <f>IF(ISNA(VLOOKUP(A18,'Données projet'!$A$113:$I$133,7,0)),0%,VLOOKUP(A18,'Données projet'!$A$113:$I$133,7,0))</f>
        <v>0.44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11.4</v>
      </c>
      <c r="N19" s="14">
        <f>IF('Données projet'!$A$36&gt;35,N18+M19-V18,IF(A19&lt;'Données projet'!$A$36,$K$205^A19,IF(A19='Données projet'!$A$36,'Données projet'!$B$36,N18+M19-V18)))</f>
        <v>52.4</v>
      </c>
      <c r="O19" s="14">
        <f>N19*VLOOKUP('Données projet'!$B$9,Paramètres!$A$1:$I$88,3,0)*VLOOKUP('Données projet'!$B$9,Paramètres!$A$1:$I$88,5,0)</f>
        <v>31.3352</v>
      </c>
      <c r="P19" s="14">
        <f t="shared" si="33"/>
        <v>9.6704427057650033</v>
      </c>
      <c r="Q19" s="22">
        <f t="shared" si="2"/>
        <v>71.418161045874058</v>
      </c>
      <c r="R19" s="62">
        <f t="shared" si="0"/>
        <v>347.64038326809629</v>
      </c>
      <c r="S19" s="62">
        <f ca="1">AVERAGE(OFFSET($R$3,0,0,'Données projet'!$E$9+1,1))-AVERAGE(OFFSET($H$3,0,0,'Données projet'!$E$9+1,1))</f>
        <v>201.94015973767443</v>
      </c>
      <c r="T19" s="62">
        <f t="shared" si="34"/>
        <v>287.12228849146032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5.666666666666667</v>
      </c>
      <c r="AI19" s="14">
        <f>IF('Données projet'!$A$62&gt;35,AI18+AH19-AQ18,IF(A19&lt;'Données projet'!$A$62,$AF$205^A19,IF(A19='Données projet'!$A$62,'Données projet'!$B$62,AI18+AH19-AQ18)))</f>
        <v>15.472937028926689</v>
      </c>
      <c r="AJ19" s="14">
        <f>AI19*VLOOKUP('Données projet'!$B$10,Paramètres!$A$1:$I$88,3,0)*VLOOKUP('Données projet'!$B$10,Paramètres!$A$1:$I$88,5,0)</f>
        <v>7.2413345295376894</v>
      </c>
      <c r="AK19" s="14">
        <f t="shared" si="35"/>
        <v>2.6502557759113361</v>
      </c>
      <c r="AL19" s="22">
        <f t="shared" si="4"/>
        <v>17.227853115323715</v>
      </c>
      <c r="AM19" s="62">
        <f t="shared" si="5"/>
        <v>293.45007533754597</v>
      </c>
      <c r="AN19" s="62">
        <f ca="1">AVERAGE(OFFSET($AM$3,0,0,'Données projet'!$E$10+1,1))-AVERAGE(OFFSET($H$3,0,0,'Données projet'!$E$10+1,1))</f>
        <v>135.19533066605396</v>
      </c>
      <c r="AO19" s="62">
        <f t="shared" si="36"/>
        <v>213.60182977243113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15.4</v>
      </c>
      <c r="BD19" s="13">
        <f>IF('Données projet'!$A$88&gt;35,BD18+BC19-BL18,IF(A19&lt;'Données projet'!$A$88,$BA$205^A19,IF(A19='Données projet'!$A$88,'Données projet'!$B$88,BD18+BC19-BL18)))</f>
        <v>90.4</v>
      </c>
      <c r="BE19" s="14">
        <f>BD19*VLOOKUP('Données projet'!$B$11,Paramètres!$A$1:$I$88,3,0)*VLOOKUP('Données projet'!$B$11,Paramètres!$A$1:$I$88,5,0)</f>
        <v>54.059200000000004</v>
      </c>
      <c r="BF19" s="14">
        <f t="shared" si="37"/>
        <v>15.657256135361452</v>
      </c>
      <c r="BG19" s="22">
        <f t="shared" si="7"/>
        <v>121.42282776908787</v>
      </c>
      <c r="BH19" s="62">
        <f t="shared" si="8"/>
        <v>397.64504999131009</v>
      </c>
      <c r="BI19" s="62">
        <f ca="1">AVERAGE(OFFSET($BH$3,0,0,'Données projet'!$E$11+1,1))-AVERAGE(OFFSET($H$3,0,0,'Données projet'!$E$11+1,1))</f>
        <v>258.1884172762135</v>
      </c>
      <c r="BJ19" s="62">
        <f t="shared" si="38"/>
        <v>356.36714671797864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11.4</v>
      </c>
      <c r="BY19" s="13">
        <f>IF('Données projet'!$A$114&gt;35,BY18+BX19-CG18,IF(A19&lt;'Données projet'!$A$114,$BV$205^A19,IF(A19='Données projet'!$A$114,'Données projet'!$B$114,BY18+BX19-CG18)))</f>
        <v>52.4</v>
      </c>
      <c r="BZ19" s="14">
        <f>BY19*VLOOKUP('Données projet'!$B$12,Paramètres!$A$1:$I$88,3,0)*VLOOKUP('Données projet'!$B$12,Paramètres!$A$1:$I$88,5,0)</f>
        <v>31.3352</v>
      </c>
      <c r="CA19" s="14">
        <f t="shared" si="39"/>
        <v>9.6704427057650033</v>
      </c>
      <c r="CB19" s="22">
        <f t="shared" si="10"/>
        <v>71.418161045874058</v>
      </c>
      <c r="CC19" s="62">
        <f t="shared" si="11"/>
        <v>347.64038326809629</v>
      </c>
      <c r="CD19" s="62">
        <f ca="1">AVERAGE(OFFSET($CC$3,0,0,'Données projet'!$E$12+1,1))-AVERAGE(OFFSET($H$3,0,0,'Données projet'!$E$12+1,1))</f>
        <v>201.94015973767443</v>
      </c>
      <c r="CE19" s="62">
        <f t="shared" si="40"/>
        <v>287.12228849146032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11.4</v>
      </c>
      <c r="N20" s="14">
        <f>IF('Données projet'!$A$36&gt;35,N19+M20-V19,IF(A20&lt;'Données projet'!$A$36,$K$205^A20,IF(A20='Données projet'!$A$36,'Données projet'!$B$36,N19+M20-V19)))</f>
        <v>63.8</v>
      </c>
      <c r="O20" s="14">
        <f>N20*VLOOKUP('Données projet'!$B$9,Paramètres!$A$1:$I$88,3,0)*VLOOKUP('Données projet'!$B$9,Paramètres!$A$1:$I$88,5,0)</f>
        <v>38.1524</v>
      </c>
      <c r="P20" s="14">
        <f t="shared" si="33"/>
        <v>11.507600667668502</v>
      </c>
      <c r="Q20" s="22">
        <f t="shared" si="2"/>
        <v>86.491167829522624</v>
      </c>
      <c r="R20" s="62">
        <f t="shared" si="0"/>
        <v>363.93561227396708</v>
      </c>
      <c r="S20" s="62">
        <f ca="1">AVERAGE(OFFSET($R$3,0,0,'Données projet'!$E$9+1,1))-AVERAGE(OFFSET($H$3,0,0,'Données projet'!$E$9+1,1))</f>
        <v>201.94015973767443</v>
      </c>
      <c r="T20" s="62">
        <f t="shared" si="34"/>
        <v>287.12228849146032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5.666666666666667</v>
      </c>
      <c r="AI20" s="14">
        <f>IF('Données projet'!$A$62&gt;35,AI19+AH20-AQ19,IF(A20&lt;'Données projet'!$A$62,$AF$205^A20,IF(A20='Données projet'!$A$62,'Données projet'!$B$62,AI19+AH20-AQ19)))</f>
        <v>18.362045340858568</v>
      </c>
      <c r="AJ20" s="14">
        <f>AI20*VLOOKUP('Données projet'!$B$10,Paramètres!$A$1:$I$88,3,0)*VLOOKUP('Données projet'!$B$10,Paramètres!$A$1:$I$88,5,0)</f>
        <v>8.5934372195218103</v>
      </c>
      <c r="AK20" s="14">
        <f t="shared" si="35"/>
        <v>3.0830597767046952</v>
      </c>
      <c r="AL20" s="22">
        <f t="shared" si="4"/>
        <v>20.336565601761166</v>
      </c>
      <c r="AM20" s="62">
        <f t="shared" si="5"/>
        <v>297.78101004620561</v>
      </c>
      <c r="AN20" s="62">
        <f ca="1">AVERAGE(OFFSET($AM$3,0,0,'Données projet'!$E$10+1,1))-AVERAGE(OFFSET($H$3,0,0,'Données projet'!$E$10+1,1))</f>
        <v>135.19533066605396</v>
      </c>
      <c r="AO20" s="62">
        <f t="shared" si="36"/>
        <v>213.60182977243113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15.4</v>
      </c>
      <c r="BD20" s="13">
        <f>IF('Données projet'!$A$88&gt;35,BD19+BC20-BL19,IF(A20&lt;'Données projet'!$A$88,$BA$205^A20,IF(A20='Données projet'!$A$88,'Données projet'!$B$88,BD19+BC20-BL19)))</f>
        <v>105.80000000000001</v>
      </c>
      <c r="BE20" s="14">
        <f>BD20*VLOOKUP('Données projet'!$B$11,Paramètres!$A$1:$I$88,3,0)*VLOOKUP('Données projet'!$B$11,Paramètres!$A$1:$I$88,5,0)</f>
        <v>63.268400000000014</v>
      </c>
      <c r="BF20" s="14">
        <f t="shared" si="37"/>
        <v>17.992054875474441</v>
      </c>
      <c r="BG20" s="22">
        <f t="shared" si="7"/>
        <v>141.52862557478466</v>
      </c>
      <c r="BH20" s="62">
        <f t="shared" si="8"/>
        <v>418.97307001922911</v>
      </c>
      <c r="BI20" s="62">
        <f ca="1">AVERAGE(OFFSET($BH$3,0,0,'Données projet'!$E$11+1,1))-AVERAGE(OFFSET($H$3,0,0,'Données projet'!$E$11+1,1))</f>
        <v>258.1884172762135</v>
      </c>
      <c r="BJ20" s="62">
        <f t="shared" si="38"/>
        <v>356.36714671797864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11.4</v>
      </c>
      <c r="BY20" s="13">
        <f>IF('Données projet'!$A$114&gt;35,BY19+BX20-CG19,IF(A20&lt;'Données projet'!$A$114,$BV$205^A20,IF(A20='Données projet'!$A$114,'Données projet'!$B$114,BY19+BX20-CG19)))</f>
        <v>63.8</v>
      </c>
      <c r="BZ20" s="14">
        <f>BY20*VLOOKUP('Données projet'!$B$12,Paramètres!$A$1:$I$88,3,0)*VLOOKUP('Données projet'!$B$12,Paramètres!$A$1:$I$88,5,0)</f>
        <v>38.1524</v>
      </c>
      <c r="CA20" s="14">
        <f t="shared" si="39"/>
        <v>11.507600667668502</v>
      </c>
      <c r="CB20" s="22">
        <f t="shared" si="10"/>
        <v>86.491167829522624</v>
      </c>
      <c r="CC20" s="62">
        <f t="shared" si="11"/>
        <v>363.93561227396708</v>
      </c>
      <c r="CD20" s="62">
        <f ca="1">AVERAGE(OFFSET($CC$3,0,0,'Données projet'!$E$12+1,1))-AVERAGE(OFFSET($H$3,0,0,'Données projet'!$E$12+1,1))</f>
        <v>201.94015973767443</v>
      </c>
      <c r="CE20" s="62">
        <f t="shared" si="40"/>
        <v>287.12228849146032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11.4</v>
      </c>
      <c r="N21" s="14">
        <f>IF('Données projet'!$A$36&gt;35,N20+M21-V20,IF(A21&lt;'Données projet'!$A$36,$K$205^A21,IF(A21='Données projet'!$A$36,'Données projet'!$B$36,N20+M21-V20)))</f>
        <v>75.2</v>
      </c>
      <c r="O21" s="14">
        <f>N21*VLOOKUP('Données projet'!$B$9,Paramètres!$A$1:$I$88,3,0)*VLOOKUP('Données projet'!$B$9,Paramètres!$A$1:$I$88,5,0)</f>
        <v>44.969600000000007</v>
      </c>
      <c r="P21" s="14">
        <f t="shared" si="33"/>
        <v>13.306729082791575</v>
      </c>
      <c r="Q21" s="22">
        <f t="shared" si="2"/>
        <v>101.49793981919532</v>
      </c>
      <c r="R21" s="62">
        <f t="shared" si="0"/>
        <v>380.16460648586201</v>
      </c>
      <c r="S21" s="62">
        <f ca="1">AVERAGE(OFFSET($R$3,0,0,'Données projet'!$E$9+1,1))-AVERAGE(OFFSET($H$3,0,0,'Données projet'!$E$9+1,1))</f>
        <v>201.94015973767443</v>
      </c>
      <c r="T21" s="62">
        <f t="shared" si="34"/>
        <v>287.12228849146032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5.666666666666667</v>
      </c>
      <c r="AI21" s="14">
        <f>IF('Données projet'!$A$62&gt;35,AI20+AH21-AQ20,IF(A21&lt;'Données projet'!$A$62,$AF$205^A21,IF(A21='Données projet'!$A$62,'Données projet'!$B$62,AI20+AH21-AQ20)))</f>
        <v>21.790608238721305</v>
      </c>
      <c r="AJ21" s="14">
        <f>AI21*VLOOKUP('Données projet'!$B$10,Paramètres!$A$1:$I$88,3,0)*VLOOKUP('Données projet'!$B$10,Paramètres!$A$1:$I$88,5,0)</f>
        <v>10.19800465572157</v>
      </c>
      <c r="AK21" s="14">
        <f t="shared" si="35"/>
        <v>3.5865434850211249</v>
      </c>
      <c r="AL21" s="22">
        <f t="shared" si="4"/>
        <v>24.008088011793529</v>
      </c>
      <c r="AM21" s="62">
        <f t="shared" si="5"/>
        <v>302.6747546784602</v>
      </c>
      <c r="AN21" s="62">
        <f ca="1">AVERAGE(OFFSET($AM$3,0,0,'Données projet'!$E$10+1,1))-AVERAGE(OFFSET($H$3,0,0,'Données projet'!$E$10+1,1))</f>
        <v>135.19533066605396</v>
      </c>
      <c r="AO21" s="62">
        <f t="shared" si="36"/>
        <v>213.60182977243113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15.4</v>
      </c>
      <c r="BD21" s="13">
        <f>IF('Données projet'!$A$88&gt;35,BD20+BC21-BL20,IF(A21&lt;'Données projet'!$A$88,$BA$205^A21,IF(A21='Données projet'!$A$88,'Données projet'!$B$88,BD20+BC21-BL20)))</f>
        <v>121.20000000000002</v>
      </c>
      <c r="BE21" s="14">
        <f>BD21*VLOOKUP('Données projet'!$B$11,Paramètres!$A$1:$I$88,3,0)*VLOOKUP('Données projet'!$B$11,Paramètres!$A$1:$I$88,5,0)</f>
        <v>72.47760000000001</v>
      </c>
      <c r="BF21" s="14">
        <f t="shared" si="37"/>
        <v>20.287481925986448</v>
      </c>
      <c r="BG21" s="22">
        <f t="shared" si="7"/>
        <v>161.5658510210931</v>
      </c>
      <c r="BH21" s="62">
        <f t="shared" si="8"/>
        <v>440.23251768775981</v>
      </c>
      <c r="BI21" s="62">
        <f ca="1">AVERAGE(OFFSET($BH$3,0,0,'Données projet'!$E$11+1,1))-AVERAGE(OFFSET($H$3,0,0,'Données projet'!$E$11+1,1))</f>
        <v>258.1884172762135</v>
      </c>
      <c r="BJ21" s="62">
        <f t="shared" si="38"/>
        <v>356.36714671797864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11.4</v>
      </c>
      <c r="BY21" s="13">
        <f>IF('Données projet'!$A$114&gt;35,BY20+BX21-CG20,IF(A21&lt;'Données projet'!$A$114,$BV$205^A21,IF(A21='Données projet'!$A$114,'Données projet'!$B$114,BY20+BX21-CG20)))</f>
        <v>75.2</v>
      </c>
      <c r="BZ21" s="14">
        <f>BY21*VLOOKUP('Données projet'!$B$12,Paramètres!$A$1:$I$88,3,0)*VLOOKUP('Données projet'!$B$12,Paramètres!$A$1:$I$88,5,0)</f>
        <v>44.969600000000007</v>
      </c>
      <c r="CA21" s="14">
        <f t="shared" si="39"/>
        <v>13.306729082791575</v>
      </c>
      <c r="CB21" s="22">
        <f t="shared" si="10"/>
        <v>101.49793981919532</v>
      </c>
      <c r="CC21" s="62">
        <f t="shared" si="11"/>
        <v>380.16460648586201</v>
      </c>
      <c r="CD21" s="62">
        <f ca="1">AVERAGE(OFFSET($CC$3,0,0,'Données projet'!$E$12+1,1))-AVERAGE(OFFSET($H$3,0,0,'Données projet'!$E$12+1,1))</f>
        <v>201.94015973767443</v>
      </c>
      <c r="CE21" s="62">
        <f t="shared" si="40"/>
        <v>287.12228849146032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11.4</v>
      </c>
      <c r="N22" s="14">
        <f>IF('Données projet'!$A$36&gt;35,N21+M22-V21,IF(A22&lt;'Données projet'!$A$36,$K$205^A22,IF(A22='Données projet'!$A$36,'Données projet'!$B$36,N21+M22-V21)))</f>
        <v>86.600000000000009</v>
      </c>
      <c r="O22" s="14">
        <f>N22*VLOOKUP('Données projet'!$B$9,Paramètres!$A$1:$I$88,3,0)*VLOOKUP('Données projet'!$B$9,Paramètres!$A$1:$I$88,5,0)</f>
        <v>51.786800000000007</v>
      </c>
      <c r="P22" s="14">
        <f t="shared" si="33"/>
        <v>15.074261344682178</v>
      </c>
      <c r="Q22" s="22">
        <f t="shared" si="2"/>
        <v>116.44968184198814</v>
      </c>
      <c r="R22" s="62">
        <f t="shared" si="0"/>
        <v>396.338570730877</v>
      </c>
      <c r="S22" s="62">
        <f ca="1">AVERAGE(OFFSET($R$3,0,0,'Données projet'!$E$9+1,1))-AVERAGE(OFFSET($H$3,0,0,'Données projet'!$E$9+1,1))</f>
        <v>201.94015973767443</v>
      </c>
      <c r="T22" s="62">
        <f t="shared" si="34"/>
        <v>287.12228849146032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5.666666666666667</v>
      </c>
      <c r="AI22" s="14">
        <f>IF('Données projet'!$A$62&gt;35,AI21+AH22-AQ21,IF(A22&lt;'Données projet'!$A$62,$AF$205^A22,IF(A22='Données projet'!$A$62,'Données projet'!$B$62,AI21+AH22-AQ21)))</f>
        <v>25.859352735441334</v>
      </c>
      <c r="AJ22" s="14">
        <f>AI22*VLOOKUP('Données projet'!$B$10,Paramètres!$A$1:$I$88,3,0)*VLOOKUP('Données projet'!$B$10,Paramètres!$A$1:$I$88,5,0)</f>
        <v>12.102177080186545</v>
      </c>
      <c r="AK22" s="14">
        <f t="shared" si="35"/>
        <v>4.1722493566752403</v>
      </c>
      <c r="AL22" s="22">
        <f t="shared" si="4"/>
        <v>28.34462604420094</v>
      </c>
      <c r="AM22" s="62">
        <f t="shared" si="5"/>
        <v>308.23351493308979</v>
      </c>
      <c r="AN22" s="62">
        <f ca="1">AVERAGE(OFFSET($AM$3,0,0,'Données projet'!$E$10+1,1))-AVERAGE(OFFSET($H$3,0,0,'Données projet'!$E$10+1,1))</f>
        <v>135.19533066605396</v>
      </c>
      <c r="AO22" s="62">
        <f t="shared" si="36"/>
        <v>213.60182977243113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15.4</v>
      </c>
      <c r="BD22" s="13">
        <f>IF('Données projet'!$A$88&gt;35,BD21+BC22-BL21,IF(A22&lt;'Données projet'!$A$88,$BA$205^A22,IF(A22='Données projet'!$A$88,'Données projet'!$B$88,BD21+BC22-BL21)))</f>
        <v>136.60000000000002</v>
      </c>
      <c r="BE22" s="14">
        <f>BD22*VLOOKUP('Données projet'!$B$11,Paramètres!$A$1:$I$88,3,0)*VLOOKUP('Données projet'!$B$11,Paramètres!$A$1:$I$88,5,0)</f>
        <v>81.686800000000019</v>
      </c>
      <c r="BF22" s="14">
        <f t="shared" si="37"/>
        <v>22.549113311372079</v>
      </c>
      <c r="BG22" s="22">
        <f t="shared" si="7"/>
        <v>181.54421568397308</v>
      </c>
      <c r="BH22" s="62">
        <f t="shared" si="8"/>
        <v>461.43310457286191</v>
      </c>
      <c r="BI22" s="62">
        <f ca="1">AVERAGE(OFFSET($BH$3,0,0,'Données projet'!$E$11+1,1))-AVERAGE(OFFSET($H$3,0,0,'Données projet'!$E$11+1,1))</f>
        <v>258.1884172762135</v>
      </c>
      <c r="BJ22" s="62">
        <f t="shared" si="38"/>
        <v>356.36714671797864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11.4</v>
      </c>
      <c r="BY22" s="13">
        <f>IF('Données projet'!$A$114&gt;35,BY21+BX22-CG21,IF(A22&lt;'Données projet'!$A$114,$BV$205^A22,IF(A22='Données projet'!$A$114,'Données projet'!$B$114,BY21+BX22-CG21)))</f>
        <v>86.600000000000009</v>
      </c>
      <c r="BZ22" s="14">
        <f>BY22*VLOOKUP('Données projet'!$B$12,Paramètres!$A$1:$I$88,3,0)*VLOOKUP('Données projet'!$B$12,Paramètres!$A$1:$I$88,5,0)</f>
        <v>51.786800000000007</v>
      </c>
      <c r="CA22" s="14">
        <f t="shared" si="39"/>
        <v>15.074261344682178</v>
      </c>
      <c r="CB22" s="22">
        <f t="shared" si="10"/>
        <v>116.44968184198814</v>
      </c>
      <c r="CC22" s="62">
        <f t="shared" si="11"/>
        <v>396.338570730877</v>
      </c>
      <c r="CD22" s="62">
        <f ca="1">AVERAGE(OFFSET($CC$3,0,0,'Données projet'!$E$12+1,1))-AVERAGE(OFFSET($H$3,0,0,'Données projet'!$E$12+1,1))</f>
        <v>201.94015973767443</v>
      </c>
      <c r="CE22" s="62">
        <f t="shared" si="40"/>
        <v>287.12228849146032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98</v>
      </c>
      <c r="L23" s="13">
        <f>VLOOKUP(A23,'Données projet'!$A$35:$I$55,9,0)</f>
        <v>11.4</v>
      </c>
      <c r="M23" s="13">
        <f t="array" ref="M23">INDEX(L:L,MIN(IF(ISNUMBER(L23:L219),ROW(L23:L219),"")))</f>
        <v>11.4</v>
      </c>
      <c r="N23" s="14">
        <f>IF('Données projet'!$A$36&gt;35,N22+M23-V22,IF(A23&lt;'Données projet'!$A$36,$K$205^A23,IF(A23='Données projet'!$A$36,'Données projet'!$B$36,N22+M23-V22)))</f>
        <v>98.000000000000014</v>
      </c>
      <c r="O23" s="14">
        <f>N23*VLOOKUP('Données projet'!$B$9,Paramètres!$A$1:$I$88,3,0)*VLOOKUP('Données projet'!$B$9,Paramètres!$A$1:$I$88,5,0)</f>
        <v>58.604000000000006</v>
      </c>
      <c r="P23" s="14">
        <f t="shared" si="33"/>
        <v>16.814834282992791</v>
      </c>
      <c r="Q23" s="22">
        <f t="shared" si="2"/>
        <v>131.35446970954578</v>
      </c>
      <c r="R23" s="62">
        <f t="shared" si="0"/>
        <v>412.4655808206569</v>
      </c>
      <c r="S23" s="62">
        <f ca="1">AVERAGE(OFFSET($R$3,0,0,'Données projet'!$E$9+1,1))-AVERAGE(OFFSET($H$3,0,0,'Données projet'!$E$9+1,1))</f>
        <v>201.94015973767443</v>
      </c>
      <c r="T23" s="62">
        <f t="shared" si="34"/>
        <v>287.12228849146032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15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0.25200000000000006</v>
      </c>
      <c r="Y23" s="17">
        <f>IF(ISNA(VLOOKUP(A23,'Données projet'!$A$35:$I$55,7,0)),0%,VLOOKUP(A23,'Données projet'!$A$35:$I$55,7,0))</f>
        <v>0.44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2.9868126506791217</v>
      </c>
      <c r="AB23" s="23">
        <f>EXP(-LN(2)/2)*AB22+(1-EXP(-LN(2)/2))/(LN(2)/2)*V23*Y23*VLOOKUP('Données projet'!$B$9,Paramètres!$A$1:$I$88,3,0)*0.475*44/12</f>
        <v>4.4686944318774549</v>
      </c>
      <c r="AC23" s="24">
        <f t="shared" si="3"/>
        <v>7.4555070825565766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5.666666666666667</v>
      </c>
      <c r="AI23" s="14">
        <f>IF('Données projet'!$A$62&gt;35,AI22+AH23-AQ22,IF(A23&lt;'Données projet'!$A$62,$AF$205^A23,IF(A23='Données projet'!$A$62,'Données projet'!$B$62,AI22+AH23-AQ22)))</f>
        <v>30.68781360162793</v>
      </c>
      <c r="AJ23" s="14">
        <f>AI23*VLOOKUP('Données projet'!$B$10,Paramètres!$A$1:$I$88,3,0)*VLOOKUP('Données projet'!$B$10,Paramètres!$A$1:$I$88,5,0)</f>
        <v>14.361896765561871</v>
      </c>
      <c r="AK23" s="14">
        <f t="shared" si="35"/>
        <v>4.8536048055679508</v>
      </c>
      <c r="AL23" s="22">
        <f t="shared" si="4"/>
        <v>33.466998569717767</v>
      </c>
      <c r="AM23" s="62">
        <f t="shared" si="5"/>
        <v>314.5781096808289</v>
      </c>
      <c r="AN23" s="62">
        <f ca="1">AVERAGE(OFFSET($AM$3,0,0,'Données projet'!$E$10+1,1))-AVERAGE(OFFSET($H$3,0,0,'Données projet'!$E$10+1,1))</f>
        <v>135.19533066605396</v>
      </c>
      <c r="AO23" s="62">
        <f t="shared" si="36"/>
        <v>213.60182977243113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152</v>
      </c>
      <c r="BB23" s="13">
        <f>VLOOKUP(A23,'Données projet'!$A$87:$I$107,9,0)</f>
        <v>15.4</v>
      </c>
      <c r="BC23" s="13">
        <f t="array" ref="BC23">INDEX(BB:BB,MIN(IF(ISNUMBER(BB23:BB219),ROW(BB23:BB219),"")))</f>
        <v>15.4</v>
      </c>
      <c r="BD23" s="13">
        <f>IF('Données projet'!$A$88&gt;35,BD22+BC23-BL22,IF(A23&lt;'Données projet'!$A$88,$BA$205^A23,IF(A23='Données projet'!$A$88,'Données projet'!$B$88,BD22+BC23-BL22)))</f>
        <v>152.00000000000003</v>
      </c>
      <c r="BE23" s="14">
        <f>BD23*VLOOKUP('Données projet'!$B$11,Paramètres!$A$1:$I$88,3,0)*VLOOKUP('Données projet'!$B$11,Paramètres!$A$1:$I$88,5,0)</f>
        <v>90.896000000000029</v>
      </c>
      <c r="BF23" s="14">
        <f t="shared" si="37"/>
        <v>24.781193872187952</v>
      </c>
      <c r="BG23" s="22">
        <f t="shared" si="7"/>
        <v>201.47111266072739</v>
      </c>
      <c r="BH23" s="62">
        <f t="shared" si="8"/>
        <v>482.58222377183853</v>
      </c>
      <c r="BI23" s="62">
        <f ca="1">AVERAGE(OFFSET($BH$3,0,0,'Données projet'!$E$11+1,1))-AVERAGE(OFFSET($H$3,0,0,'Données projet'!$E$11+1,1))</f>
        <v>258.1884172762135</v>
      </c>
      <c r="BJ23" s="62">
        <f t="shared" si="38"/>
        <v>356.36714671797864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42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0.25200000000000006</v>
      </c>
      <c r="BO23" s="17">
        <f>IF(ISNA(VLOOKUP(A23,'Données projet'!$A$87:$I$107,7,0)),0%,VLOOKUP(A23,'Données projet'!$A$87:$I$107,7,0))</f>
        <v>0.44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8.3630754219015397</v>
      </c>
      <c r="BR23" s="23">
        <f>EXP(-LN(2)/2)*BR22+(1-EXP(-LN(2)/2))/(LN(2)/2)*BL23*BO23*VLOOKUP('Données projet'!$B$11,Paramètres!$A$1:$I$88,3,0)*0.475*44/12</f>
        <v>12.512344409256876</v>
      </c>
      <c r="BS23" s="24">
        <f t="shared" si="9"/>
        <v>20.875419831158418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98</v>
      </c>
      <c r="BW23" s="13">
        <f>VLOOKUP(A23,'Données projet'!$A$113:$I$133,9,0)</f>
        <v>11.4</v>
      </c>
      <c r="BX23" s="13">
        <f t="array" ref="BX23">INDEX(BW:BW,MIN(IF(ISNUMBER(BW23:BW219),ROW(BW23:BW219),"")))</f>
        <v>11.4</v>
      </c>
      <c r="BY23" s="13">
        <f>IF('Données projet'!$A$114&gt;35,BY22+BX23-CG22,IF(A23&lt;'Données projet'!$A$114,$BV$205^A23,IF(A23='Données projet'!$A$114,'Données projet'!$B$114,BY22+BX23-CG22)))</f>
        <v>98.000000000000014</v>
      </c>
      <c r="BZ23" s="14">
        <f>BY23*VLOOKUP('Données projet'!$B$12,Paramètres!$A$1:$I$88,3,0)*VLOOKUP('Données projet'!$B$12,Paramètres!$A$1:$I$88,5,0)</f>
        <v>58.604000000000006</v>
      </c>
      <c r="CA23" s="14">
        <f t="shared" si="39"/>
        <v>16.814834282992791</v>
      </c>
      <c r="CB23" s="22">
        <f t="shared" si="10"/>
        <v>131.35446970954578</v>
      </c>
      <c r="CC23" s="62">
        <f t="shared" si="11"/>
        <v>412.4655808206569</v>
      </c>
      <c r="CD23" s="62">
        <f ca="1">AVERAGE(OFFSET($CC$3,0,0,'Données projet'!$E$12+1,1))-AVERAGE(OFFSET($H$3,0,0,'Données projet'!$E$12+1,1))</f>
        <v>201.94015973767443</v>
      </c>
      <c r="CE23" s="62">
        <f t="shared" si="40"/>
        <v>287.12228849146032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15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0.25200000000000006</v>
      </c>
      <c r="CJ23" s="17">
        <f>IF(ISNA(VLOOKUP(A23,'Données projet'!$A$113:$I$133,7,0)),0%,VLOOKUP(A23,'Données projet'!$A$113:$I$133,7,0))</f>
        <v>0.44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2.9868126506791217</v>
      </c>
      <c r="CM23" s="23">
        <f>EXP(-LN(2)/2)*CM22+(1-EXP(-LN(2)/2))/(LN(2)/2)*CG23*CJ23*VLOOKUP('Données projet'!$B$12,Paramètres!$A$1:$I$88,3,0)*0.475*44/12</f>
        <v>4.4686944318774549</v>
      </c>
      <c r="CN23" s="24">
        <f t="shared" si="12"/>
        <v>7.4555070825565766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13.8</v>
      </c>
      <c r="N24" s="14">
        <f>IF('Données projet'!$A$36&gt;35,N23+M24-V23,IF(A24&lt;'Données projet'!$A$36,$K$205^A24,IF(A24='Données projet'!$A$36,'Données projet'!$B$36,N23+M24-V23)))</f>
        <v>96.800000000000011</v>
      </c>
      <c r="O24" s="14">
        <f>N24*VLOOKUP('Données projet'!$B$9,Paramètres!$A$1:$I$88,3,0)*VLOOKUP('Données projet'!$B$9,Paramètres!$A$1:$I$88,5,0)</f>
        <v>57.886400000000009</v>
      </c>
      <c r="P24" s="14">
        <f t="shared" si="33"/>
        <v>16.632774391880822</v>
      </c>
      <c r="Q24" s="22">
        <f t="shared" si="2"/>
        <v>129.78756206585908</v>
      </c>
      <c r="R24" s="62">
        <f t="shared" si="0"/>
        <v>412.12089539919236</v>
      </c>
      <c r="S24" s="62">
        <f ca="1">AVERAGE(OFFSET($R$3,0,0,'Données projet'!$E$9+1,1))-AVERAGE(OFFSET($H$3,0,0,'Données projet'!$E$9+1,1))</f>
        <v>201.94015973767443</v>
      </c>
      <c r="T24" s="62">
        <f t="shared" si="34"/>
        <v>287.12228849146032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2.9051381016766502</v>
      </c>
      <c r="AB24" s="23">
        <f>EXP(-LN(2)/2)*AB23+(1-EXP(-LN(2)/2))/(LN(2)/2)*V24*Y24*VLOOKUP('Données projet'!$B$9,Paramètres!$A$1:$I$88,3,0)*0.475*44/12</f>
        <v>3.1598441358311149</v>
      </c>
      <c r="AC24" s="24">
        <f t="shared" si="3"/>
        <v>6.0649822375077651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5.666666666666667</v>
      </c>
      <c r="AI24" s="14">
        <f>IF('Données projet'!$A$62&gt;35,AI23+AH24-AQ23,IF(A24&lt;'Données projet'!$A$62,$AF$205^A24,IF(A24='Données projet'!$A$62,'Données projet'!$B$62,AI23+AH24-AQ23)))</f>
        <v>36.417845151923039</v>
      </c>
      <c r="AJ24" s="14">
        <f>AI24*VLOOKUP('Données projet'!$B$10,Paramètres!$A$1:$I$88,3,0)*VLOOKUP('Données projet'!$B$10,Paramètres!$A$1:$I$88,5,0)</f>
        <v>17.043551531099983</v>
      </c>
      <c r="AK24" s="14">
        <f t="shared" si="35"/>
        <v>5.6462300295983905</v>
      </c>
      <c r="AL24" s="22">
        <f t="shared" si="4"/>
        <v>39.518036218216324</v>
      </c>
      <c r="AM24" s="62">
        <f t="shared" si="5"/>
        <v>321.85136955154962</v>
      </c>
      <c r="AN24" s="62">
        <f ca="1">AVERAGE(OFFSET($AM$3,0,0,'Données projet'!$E$10+1,1))-AVERAGE(OFFSET($H$3,0,0,'Données projet'!$E$10+1,1))</f>
        <v>135.19533066605396</v>
      </c>
      <c r="AO24" s="62">
        <f t="shared" si="36"/>
        <v>213.60182977243113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17.8</v>
      </c>
      <c r="BD24" s="13">
        <f>IF('Données projet'!$A$88&gt;35,BD23+BC24-BL23,IF(A24&lt;'Données projet'!$A$88,$BA$205^A24,IF(A24='Données projet'!$A$88,'Données projet'!$B$88,BD23+BC24-BL23)))</f>
        <v>127.80000000000004</v>
      </c>
      <c r="BE24" s="14">
        <f>BD24*VLOOKUP('Données projet'!$B$11,Paramètres!$A$1:$I$88,3,0)*VLOOKUP('Données projet'!$B$11,Paramètres!$A$1:$I$88,5,0)</f>
        <v>76.42440000000002</v>
      </c>
      <c r="BF24" s="14">
        <f t="shared" si="37"/>
        <v>21.260618446015872</v>
      </c>
      <c r="BG24" s="22">
        <f t="shared" si="7"/>
        <v>170.13474046014434</v>
      </c>
      <c r="BH24" s="62">
        <f t="shared" si="8"/>
        <v>452.46807379347763</v>
      </c>
      <c r="BI24" s="62">
        <f ca="1">AVERAGE(OFFSET($BH$3,0,0,'Données projet'!$E$11+1,1))-AVERAGE(OFFSET($H$3,0,0,'Données projet'!$E$11+1,1))</f>
        <v>258.1884172762135</v>
      </c>
      <c r="BJ24" s="62">
        <f t="shared" si="38"/>
        <v>356.36714671797864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8.1343866846946202</v>
      </c>
      <c r="BR24" s="23">
        <f>EXP(-LN(2)/2)*BR23+(1-EXP(-LN(2)/2))/(LN(2)/2)*BL24*BO24*VLOOKUP('Données projet'!$B$11,Paramètres!$A$1:$I$88,3,0)*0.475*44/12</f>
        <v>8.8475635803271242</v>
      </c>
      <c r="BS24" s="24">
        <f t="shared" si="9"/>
        <v>16.981950265021744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13.8</v>
      </c>
      <c r="BY24" s="13">
        <f>IF('Données projet'!$A$114&gt;35,BY23+BX24-CG23,IF(A24&lt;'Données projet'!$A$114,$BV$205^A24,IF(A24='Données projet'!$A$114,'Données projet'!$B$114,BY23+BX24-CG23)))</f>
        <v>96.800000000000011</v>
      </c>
      <c r="BZ24" s="14">
        <f>BY24*VLOOKUP('Données projet'!$B$12,Paramètres!$A$1:$I$88,3,0)*VLOOKUP('Données projet'!$B$12,Paramètres!$A$1:$I$88,5,0)</f>
        <v>57.886400000000009</v>
      </c>
      <c r="CA24" s="14">
        <f t="shared" si="39"/>
        <v>16.632774391880822</v>
      </c>
      <c r="CB24" s="22">
        <f t="shared" si="10"/>
        <v>129.78756206585908</v>
      </c>
      <c r="CC24" s="62">
        <f t="shared" si="11"/>
        <v>412.12089539919236</v>
      </c>
      <c r="CD24" s="62">
        <f ca="1">AVERAGE(OFFSET($CC$3,0,0,'Données projet'!$E$12+1,1))-AVERAGE(OFFSET($H$3,0,0,'Données projet'!$E$12+1,1))</f>
        <v>201.94015973767443</v>
      </c>
      <c r="CE24" s="62">
        <f t="shared" si="40"/>
        <v>287.12228849146032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2.9051381016766502</v>
      </c>
      <c r="CM24" s="23">
        <f>EXP(-LN(2)/2)*CM23+(1-EXP(-LN(2)/2))/(LN(2)/2)*CG24*CJ24*VLOOKUP('Données projet'!$B$12,Paramètres!$A$1:$I$88,3,0)*0.475*44/12</f>
        <v>3.1598441358311149</v>
      </c>
      <c r="CN24" s="24">
        <f t="shared" si="12"/>
        <v>6.0649822375077651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13.8</v>
      </c>
      <c r="N25" s="14">
        <f>IF('Données projet'!$A$36&gt;35,N24+M25-V24,IF(A25&lt;'Données projet'!$A$36,$K$205^A25,IF(A25='Données projet'!$A$36,'Données projet'!$B$36,N24+M25-V24)))</f>
        <v>110.60000000000001</v>
      </c>
      <c r="O25" s="14">
        <f>N25*VLOOKUP('Données projet'!$B$9,Paramètres!$A$1:$I$88,3,0)*VLOOKUP('Données projet'!$B$9,Paramètres!$A$1:$I$88,5,0)</f>
        <v>66.138800000000003</v>
      </c>
      <c r="P25" s="14">
        <f t="shared" si="33"/>
        <v>18.711442149679748</v>
      </c>
      <c r="Q25" s="22">
        <f t="shared" si="2"/>
        <v>147.78083841069224</v>
      </c>
      <c r="R25" s="62">
        <f t="shared" si="0"/>
        <v>431.33639396624778</v>
      </c>
      <c r="S25" s="62">
        <f ca="1">AVERAGE(OFFSET($R$3,0,0,'Données projet'!$E$9+1,1))-AVERAGE(OFFSET($H$3,0,0,'Données projet'!$E$9+1,1))</f>
        <v>201.94015973767443</v>
      </c>
      <c r="T25" s="62">
        <f t="shared" si="34"/>
        <v>287.12228849146032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2.8256969475117293</v>
      </c>
      <c r="AB25" s="23">
        <f>EXP(-LN(2)/2)*AB24+(1-EXP(-LN(2)/2))/(LN(2)/2)*V25*Y25*VLOOKUP('Données projet'!$B$9,Paramètres!$A$1:$I$88,3,0)*0.475*44/12</f>
        <v>2.2343472159387279</v>
      </c>
      <c r="AC25" s="24">
        <f t="shared" si="3"/>
        <v>5.0600441634504572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5.666666666666667</v>
      </c>
      <c r="AI25" s="14">
        <f>IF('Données projet'!$A$62&gt;35,AI24+AH25-AQ24,IF(A25&lt;'Données projet'!$A$62,$AF$205^A25,IF(A25='Données projet'!$A$62,'Données projet'!$B$62,AI24+AH25-AQ24)))</f>
        <v>43.217788752441109</v>
      </c>
      <c r="AJ25" s="14">
        <f>AI25*VLOOKUP('Données projet'!$B$10,Paramètres!$A$1:$I$88,3,0)*VLOOKUP('Données projet'!$B$10,Paramètres!$A$1:$I$88,5,0)</f>
        <v>20.22592513614244</v>
      </c>
      <c r="AK25" s="14">
        <f t="shared" si="35"/>
        <v>6.5682961065488277</v>
      </c>
      <c r="AL25" s="22">
        <f t="shared" si="4"/>
        <v>46.666601997687287</v>
      </c>
      <c r="AM25" s="62">
        <f t="shared" si="5"/>
        <v>330.22215755324282</v>
      </c>
      <c r="AN25" s="62">
        <f ca="1">AVERAGE(OFFSET($AM$3,0,0,'Données projet'!$E$10+1,1))-AVERAGE(OFFSET($H$3,0,0,'Données projet'!$E$10+1,1))</f>
        <v>135.19533066605396</v>
      </c>
      <c r="AO25" s="62">
        <f t="shared" si="36"/>
        <v>213.60182977243113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17.8</v>
      </c>
      <c r="BD25" s="13">
        <f>IF('Données projet'!$A$88&gt;35,BD24+BC25-BL24,IF(A25&lt;'Données projet'!$A$88,$BA$205^A25,IF(A25='Données projet'!$A$88,'Données projet'!$B$88,BD24+BC25-BL24)))</f>
        <v>145.60000000000005</v>
      </c>
      <c r="BE25" s="14">
        <f>BD25*VLOOKUP('Données projet'!$B$11,Paramètres!$A$1:$I$88,3,0)*VLOOKUP('Données projet'!$B$11,Paramètres!$A$1:$I$88,5,0)</f>
        <v>87.068800000000039</v>
      </c>
      <c r="BF25" s="14">
        <f t="shared" si="37"/>
        <v>23.856933608981997</v>
      </c>
      <c r="BG25" s="22">
        <f t="shared" si="7"/>
        <v>193.19565270231035</v>
      </c>
      <c r="BH25" s="62">
        <f t="shared" si="8"/>
        <v>476.75120825786587</v>
      </c>
      <c r="BI25" s="62">
        <f ca="1">AVERAGE(OFFSET($BH$3,0,0,'Données projet'!$E$11+1,1))-AVERAGE(OFFSET($H$3,0,0,'Données projet'!$E$11+1,1))</f>
        <v>258.1884172762135</v>
      </c>
      <c r="BJ25" s="62">
        <f t="shared" si="38"/>
        <v>356.36714671797864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7.9119514530328416</v>
      </c>
      <c r="BR25" s="23">
        <f>EXP(-LN(2)/2)*BR24+(1-EXP(-LN(2)/2))/(LN(2)/2)*BL25*BO25*VLOOKUP('Données projet'!$B$11,Paramètres!$A$1:$I$88,3,0)*0.475*44/12</f>
        <v>6.2561722046284389</v>
      </c>
      <c r="BS25" s="24">
        <f t="shared" si="9"/>
        <v>14.16812365766128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13.8</v>
      </c>
      <c r="BY25" s="13">
        <f>IF('Données projet'!$A$114&gt;35,BY24+BX25-CG24,IF(A25&lt;'Données projet'!$A$114,$BV$205^A25,IF(A25='Données projet'!$A$114,'Données projet'!$B$114,BY24+BX25-CG24)))</f>
        <v>110.60000000000001</v>
      </c>
      <c r="BZ25" s="14">
        <f>BY25*VLOOKUP('Données projet'!$B$12,Paramètres!$A$1:$I$88,3,0)*VLOOKUP('Données projet'!$B$12,Paramètres!$A$1:$I$88,5,0)</f>
        <v>66.138800000000003</v>
      </c>
      <c r="CA25" s="14">
        <f t="shared" si="39"/>
        <v>18.711442149679748</v>
      </c>
      <c r="CB25" s="22">
        <f t="shared" si="10"/>
        <v>147.78083841069224</v>
      </c>
      <c r="CC25" s="62">
        <f t="shared" si="11"/>
        <v>431.33639396624778</v>
      </c>
      <c r="CD25" s="62">
        <f ca="1">AVERAGE(OFFSET($CC$3,0,0,'Données projet'!$E$12+1,1))-AVERAGE(OFFSET($H$3,0,0,'Données projet'!$E$12+1,1))</f>
        <v>201.94015973767443</v>
      </c>
      <c r="CE25" s="62">
        <f t="shared" si="40"/>
        <v>287.12228849146032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2.8256969475117293</v>
      </c>
      <c r="CM25" s="23">
        <f>EXP(-LN(2)/2)*CM24+(1-EXP(-LN(2)/2))/(LN(2)/2)*CG25*CJ25*VLOOKUP('Données projet'!$B$12,Paramètres!$A$1:$I$88,3,0)*0.475*44/12</f>
        <v>2.2343472159387279</v>
      </c>
      <c r="CN25" s="24">
        <f t="shared" si="12"/>
        <v>5.0600441634504572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13.8</v>
      </c>
      <c r="N26" s="14">
        <f>IF('Données projet'!$A$36&gt;35,N25+M26-V25,IF(A26&lt;'Données projet'!$A$36,$K$205^A26,IF(A26='Données projet'!$A$36,'Données projet'!$B$36,N25+M26-V25)))</f>
        <v>124.4</v>
      </c>
      <c r="O26" s="14">
        <f>N26*VLOOKUP('Données projet'!$B$9,Paramètres!$A$1:$I$88,3,0)*VLOOKUP('Données projet'!$B$9,Paramètres!$A$1:$I$88,5,0)</f>
        <v>74.391200000000012</v>
      </c>
      <c r="P26" s="14">
        <f t="shared" si="33"/>
        <v>20.760055925481726</v>
      </c>
      <c r="Q26" s="22">
        <f t="shared" si="2"/>
        <v>165.7217707368807</v>
      </c>
      <c r="R26" s="62">
        <f t="shared" si="0"/>
        <v>450.4995485146585</v>
      </c>
      <c r="S26" s="62">
        <f ca="1">AVERAGE(OFFSET($R$3,0,0,'Données projet'!$E$9+1,1))-AVERAGE(OFFSET($H$3,0,0,'Données projet'!$E$9+1,1))</f>
        <v>201.94015973767443</v>
      </c>
      <c r="T26" s="62">
        <f t="shared" si="34"/>
        <v>287.12228849146032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2.7484281158850767</v>
      </c>
      <c r="AB26" s="23">
        <f>EXP(-LN(2)/2)*AB25+(1-EXP(-LN(2)/2))/(LN(2)/2)*V26*Y26*VLOOKUP('Données projet'!$B$9,Paramètres!$A$1:$I$88,3,0)*0.475*44/12</f>
        <v>1.5799220679155579</v>
      </c>
      <c r="AC26" s="24">
        <f t="shared" si="3"/>
        <v>4.3283501838006346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5.666666666666667</v>
      </c>
      <c r="AI26" s="14">
        <f>IF('Données projet'!$A$62&gt;35,AI25+AH26-AQ25,IF(A26&lt;'Données projet'!$A$62,$AF$205^A26,IF(A26='Données projet'!$A$62,'Données projet'!$B$62,AI25+AH26-AQ25)))</f>
        <v>51.287418485604626</v>
      </c>
      <c r="AJ26" s="14">
        <f>AI26*VLOOKUP('Données projet'!$B$10,Paramètres!$A$1:$I$88,3,0)*VLOOKUP('Données projet'!$B$10,Paramètres!$A$1:$I$88,5,0)</f>
        <v>24.002511851262966</v>
      </c>
      <c r="AK26" s="14">
        <f t="shared" si="35"/>
        <v>7.6409415693559897</v>
      </c>
      <c r="AL26" s="22">
        <f t="shared" si="4"/>
        <v>55.112348040911343</v>
      </c>
      <c r="AM26" s="62">
        <f t="shared" si="5"/>
        <v>339.89012581868911</v>
      </c>
      <c r="AN26" s="62">
        <f ca="1">AVERAGE(OFFSET($AM$3,0,0,'Données projet'!$E$10+1,1))-AVERAGE(OFFSET($H$3,0,0,'Données projet'!$E$10+1,1))</f>
        <v>135.19533066605396</v>
      </c>
      <c r="AO26" s="62">
        <f t="shared" si="36"/>
        <v>213.60182977243113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17.8</v>
      </c>
      <c r="BD26" s="13">
        <f>IF('Données projet'!$A$88&gt;35,BD25+BC26-BL25,IF(A26&lt;'Données projet'!$A$88,$BA$205^A26,IF(A26='Données projet'!$A$88,'Données projet'!$B$88,BD25+BC26-BL25)))</f>
        <v>163.40000000000006</v>
      </c>
      <c r="BE26" s="14">
        <f>BD26*VLOOKUP('Données projet'!$B$11,Paramètres!$A$1:$I$88,3,0)*VLOOKUP('Données projet'!$B$11,Paramètres!$A$1:$I$88,5,0)</f>
        <v>97.713200000000043</v>
      </c>
      <c r="BF26" s="14">
        <f t="shared" si="37"/>
        <v>26.416467654404475</v>
      </c>
      <c r="BG26" s="22">
        <f t="shared" si="7"/>
        <v>216.19250449808783</v>
      </c>
      <c r="BH26" s="62">
        <f t="shared" si="8"/>
        <v>500.9702822758656</v>
      </c>
      <c r="BI26" s="62">
        <f ca="1">AVERAGE(OFFSET($BH$3,0,0,'Données projet'!$E$11+1,1))-AVERAGE(OFFSET($H$3,0,0,'Données projet'!$E$11+1,1))</f>
        <v>258.1884172762135</v>
      </c>
      <c r="BJ26" s="62">
        <f t="shared" si="38"/>
        <v>356.36714671797864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7.6955987244782147</v>
      </c>
      <c r="BR26" s="23">
        <f>EXP(-LN(2)/2)*BR25+(1-EXP(-LN(2)/2))/(LN(2)/2)*BL26*BO26*VLOOKUP('Données projet'!$B$11,Paramètres!$A$1:$I$88,3,0)*0.475*44/12</f>
        <v>4.4237817901635621</v>
      </c>
      <c r="BS26" s="24">
        <f t="shared" si="9"/>
        <v>12.119380514641776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13.8</v>
      </c>
      <c r="BY26" s="13">
        <f>IF('Données projet'!$A$114&gt;35,BY25+BX26-CG25,IF(A26&lt;'Données projet'!$A$114,$BV$205^A26,IF(A26='Données projet'!$A$114,'Données projet'!$B$114,BY25+BX26-CG25)))</f>
        <v>124.4</v>
      </c>
      <c r="BZ26" s="14">
        <f>BY26*VLOOKUP('Données projet'!$B$12,Paramètres!$A$1:$I$88,3,0)*VLOOKUP('Données projet'!$B$12,Paramètres!$A$1:$I$88,5,0)</f>
        <v>74.391200000000012</v>
      </c>
      <c r="CA26" s="14">
        <f t="shared" si="39"/>
        <v>20.760055925481726</v>
      </c>
      <c r="CB26" s="22">
        <f t="shared" si="10"/>
        <v>165.7217707368807</v>
      </c>
      <c r="CC26" s="62">
        <f t="shared" si="11"/>
        <v>450.4995485146585</v>
      </c>
      <c r="CD26" s="62">
        <f ca="1">AVERAGE(OFFSET($CC$3,0,0,'Données projet'!$E$12+1,1))-AVERAGE(OFFSET($H$3,0,0,'Données projet'!$E$12+1,1))</f>
        <v>201.94015973767443</v>
      </c>
      <c r="CE26" s="62">
        <f t="shared" si="40"/>
        <v>287.12228849146032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2.7484281158850767</v>
      </c>
      <c r="CM26" s="23">
        <f>EXP(-LN(2)/2)*CM25+(1-EXP(-LN(2)/2))/(LN(2)/2)*CG26*CJ26*VLOOKUP('Données projet'!$B$12,Paramètres!$A$1:$I$88,3,0)*0.475*44/12</f>
        <v>1.5799220679155579</v>
      </c>
      <c r="CN26" s="24">
        <f t="shared" si="12"/>
        <v>4.3283501838006346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13.8</v>
      </c>
      <c r="N27" s="14">
        <f>IF('Données projet'!$A$36&gt;35,N26+M27-V26,IF(A27&lt;'Données projet'!$A$36,$K$205^A27,IF(A27='Données projet'!$A$36,'Données projet'!$B$36,N26+M27-V26)))</f>
        <v>138.20000000000002</v>
      </c>
      <c r="O27" s="14">
        <f>N27*VLOOKUP('Données projet'!$B$9,Paramètres!$A$1:$I$88,3,0)*VLOOKUP('Données projet'!$B$9,Paramètres!$A$1:$I$88,5,0)</f>
        <v>82.643600000000021</v>
      </c>
      <c r="P27" s="14">
        <f t="shared" si="33"/>
        <v>22.782329978216918</v>
      </c>
      <c r="Q27" s="22">
        <f t="shared" si="2"/>
        <v>183.6168280453945</v>
      </c>
      <c r="R27" s="62">
        <f t="shared" si="0"/>
        <v>469.61682804539453</v>
      </c>
      <c r="S27" s="62">
        <f ca="1">AVERAGE(OFFSET($R$3,0,0,'Données projet'!$E$9+1,1))-AVERAGE(OFFSET($H$3,0,0,'Données projet'!$E$9+1,1))</f>
        <v>201.94015973767443</v>
      </c>
      <c r="T27" s="62">
        <f t="shared" si="34"/>
        <v>287.12228849146032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2.6732722045226462</v>
      </c>
      <c r="AB27" s="23">
        <f>EXP(-LN(2)/2)*AB26+(1-EXP(-LN(2)/2))/(LN(2)/2)*V27*Y27*VLOOKUP('Données projet'!$B$9,Paramètres!$A$1:$I$88,3,0)*0.475*44/12</f>
        <v>1.1171736079693642</v>
      </c>
      <c r="AC27" s="24">
        <f t="shared" si="3"/>
        <v>3.7904458124920106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5.666666666666667</v>
      </c>
      <c r="AI27" s="14">
        <f>IF('Données projet'!$A$62&gt;35,AI26+AH27-AQ26,IF(A27&lt;'Données projet'!$A$62,$AF$205^A27,IF(A27='Données projet'!$A$62,'Données projet'!$B$62,AI26+AH27-AQ26)))</f>
        <v>60.863810270000563</v>
      </c>
      <c r="AJ27" s="14">
        <f>AI27*VLOOKUP('Données projet'!$B$10,Paramètres!$A$1:$I$88,3,0)*VLOOKUP('Données projet'!$B$10,Paramètres!$A$1:$I$88,5,0)</f>
        <v>28.484263206360264</v>
      </c>
      <c r="AK27" s="14">
        <f t="shared" si="35"/>
        <v>8.8887570108329133</v>
      </c>
      <c r="AL27" s="22">
        <f t="shared" si="4"/>
        <v>65.091343544944792</v>
      </c>
      <c r="AM27" s="62">
        <f t="shared" si="5"/>
        <v>351.09134354494478</v>
      </c>
      <c r="AN27" s="62">
        <f ca="1">AVERAGE(OFFSET($AM$3,0,0,'Données projet'!$E$10+1,1))-AVERAGE(OFFSET($H$3,0,0,'Données projet'!$E$10+1,1))</f>
        <v>135.19533066605396</v>
      </c>
      <c r="AO27" s="62">
        <f t="shared" si="36"/>
        <v>213.60182977243113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17.8</v>
      </c>
      <c r="BD27" s="13">
        <f>IF('Données projet'!$A$88&gt;35,BD26+BC27-BL26,IF(A27&lt;'Données projet'!$A$88,$BA$205^A27,IF(A27='Données projet'!$A$88,'Données projet'!$B$88,BD26+BC27-BL26)))</f>
        <v>181.20000000000007</v>
      </c>
      <c r="BE27" s="14">
        <f>BD27*VLOOKUP('Données projet'!$B$11,Paramètres!$A$1:$I$88,3,0)*VLOOKUP('Données projet'!$B$11,Paramètres!$A$1:$I$88,5,0)</f>
        <v>108.35760000000005</v>
      </c>
      <c r="BF27" s="14">
        <f t="shared" si="37"/>
        <v>28.943684177010258</v>
      </c>
      <c r="BG27" s="22">
        <f t="shared" si="7"/>
        <v>239.13306994162625</v>
      </c>
      <c r="BH27" s="62">
        <f t="shared" si="8"/>
        <v>525.13306994162622</v>
      </c>
      <c r="BI27" s="62">
        <f ca="1">AVERAGE(OFFSET($BH$3,0,0,'Données projet'!$E$11+1,1))-AVERAGE(OFFSET($H$3,0,0,'Données projet'!$E$11+1,1))</f>
        <v>258.1884172762135</v>
      </c>
      <c r="BJ27" s="62">
        <f t="shared" si="38"/>
        <v>356.36714671797864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7.4851621726634097</v>
      </c>
      <c r="BR27" s="23">
        <f>EXP(-LN(2)/2)*BR26+(1-EXP(-LN(2)/2))/(LN(2)/2)*BL27*BO27*VLOOKUP('Données projet'!$B$11,Paramètres!$A$1:$I$88,3,0)*0.475*44/12</f>
        <v>3.1280861023142195</v>
      </c>
      <c r="BS27" s="24">
        <f t="shared" si="9"/>
        <v>10.613248274977629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13.8</v>
      </c>
      <c r="BY27" s="13">
        <f>IF('Données projet'!$A$114&gt;35,BY26+BX27-CG26,IF(A27&lt;'Données projet'!$A$114,$BV$205^A27,IF(A27='Données projet'!$A$114,'Données projet'!$B$114,BY26+BX27-CG26)))</f>
        <v>138.20000000000002</v>
      </c>
      <c r="BZ27" s="14">
        <f>BY27*VLOOKUP('Données projet'!$B$12,Paramètres!$A$1:$I$88,3,0)*VLOOKUP('Données projet'!$B$12,Paramètres!$A$1:$I$88,5,0)</f>
        <v>82.643600000000021</v>
      </c>
      <c r="CA27" s="14">
        <f t="shared" si="39"/>
        <v>22.782329978216918</v>
      </c>
      <c r="CB27" s="22">
        <f t="shared" si="10"/>
        <v>183.6168280453945</v>
      </c>
      <c r="CC27" s="62">
        <f t="shared" si="11"/>
        <v>469.61682804539453</v>
      </c>
      <c r="CD27" s="62">
        <f ca="1">AVERAGE(OFFSET($CC$3,0,0,'Données projet'!$E$12+1,1))-AVERAGE(OFFSET($H$3,0,0,'Données projet'!$E$12+1,1))</f>
        <v>201.94015973767443</v>
      </c>
      <c r="CE27" s="62">
        <f t="shared" si="40"/>
        <v>287.12228849146032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2.6732722045226462</v>
      </c>
      <c r="CM27" s="23">
        <f>EXP(-LN(2)/2)*CM26+(1-EXP(-LN(2)/2))/(LN(2)/2)*CG27*CJ27*VLOOKUP('Données projet'!$B$12,Paramètres!$A$1:$I$88,3,0)*0.475*44/12</f>
        <v>1.1171736079693642</v>
      </c>
      <c r="CN27" s="24">
        <f t="shared" si="12"/>
        <v>3.7904458124920106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152</v>
      </c>
      <c r="L28" s="13">
        <f>VLOOKUP(A28,'Données projet'!$A$35:$I$55,9,0)</f>
        <v>13.8</v>
      </c>
      <c r="M28" s="13">
        <f t="array" ref="M28">INDEX(L:L,MIN(IF(ISNUMBER(L28:L224),ROW(L28:L224),"")))</f>
        <v>13.8</v>
      </c>
      <c r="N28" s="14">
        <f>IF('Données projet'!$A$36&gt;35,N27+M28-V27,IF(A28&lt;'Données projet'!$A$36,$K$205^A28,IF(A28='Données projet'!$A$36,'Données projet'!$B$36,N27+M28-V27)))</f>
        <v>152.00000000000003</v>
      </c>
      <c r="O28" s="14">
        <f>N28*VLOOKUP('Données projet'!$B$9,Paramètres!$A$1:$I$88,3,0)*VLOOKUP('Données projet'!$B$9,Paramètres!$A$1:$I$88,5,0)</f>
        <v>90.896000000000029</v>
      </c>
      <c r="P28" s="14">
        <f t="shared" si="33"/>
        <v>24.781193872187952</v>
      </c>
      <c r="Q28" s="22">
        <f t="shared" si="2"/>
        <v>201.47111266072739</v>
      </c>
      <c r="R28" s="62">
        <f t="shared" si="0"/>
        <v>488.69333488294961</v>
      </c>
      <c r="S28" s="62">
        <f ca="1">AVERAGE(OFFSET($R$3,0,0,'Données projet'!$E$9+1,1))-AVERAGE(OFFSET($H$3,0,0,'Données projet'!$E$9+1,1))</f>
        <v>201.94015973767443</v>
      </c>
      <c r="T28" s="62">
        <f t="shared" si="34"/>
        <v>287.12228849146032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35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0.25200000000000006</v>
      </c>
      <c r="Y28" s="17">
        <f>IF(ISNA(VLOOKUP(A28,'Données projet'!$A$35:$I$55,7,0)),0%,VLOOKUP(A28,'Données projet'!$A$35:$I$55,7,0))</f>
        <v>0.44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9.5694009537599811</v>
      </c>
      <c r="AB28" s="23">
        <f>EXP(-LN(2)/2)*AB27+(1-EXP(-LN(2)/2))/(LN(2)/2)*V28*Y28*VLOOKUP('Données projet'!$B$9,Paramètres!$A$1:$I$88,3,0)*0.475*44/12</f>
        <v>11.216914708338507</v>
      </c>
      <c r="AC28" s="24">
        <f t="shared" si="3"/>
        <v>20.786315662098488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5.666666666666667</v>
      </c>
      <c r="AI28" s="14">
        <f>IF('Données projet'!$A$62&gt;35,AI27+AH28-AQ27,IF(A28&lt;'Données projet'!$A$62,$AF$205^A28,IF(A28='Données projet'!$A$62,'Données projet'!$B$62,AI27+AH28-AQ27)))</f>
        <v>72.228306862868891</v>
      </c>
      <c r="AJ28" s="14">
        <f>AI28*VLOOKUP('Données projet'!$B$10,Paramètres!$A$1:$I$88,3,0)*VLOOKUP('Données projet'!$B$10,Paramètres!$A$1:$I$88,5,0)</f>
        <v>33.802847611822642</v>
      </c>
      <c r="AK28" s="14">
        <f t="shared" si="35"/>
        <v>10.340348827492802</v>
      </c>
      <c r="AL28" s="22">
        <f t="shared" si="4"/>
        <v>76.882733798474405</v>
      </c>
      <c r="AM28" s="62">
        <f t="shared" si="5"/>
        <v>364.10495602069665</v>
      </c>
      <c r="AN28" s="62">
        <f ca="1">AVERAGE(OFFSET($AM$3,0,0,'Données projet'!$E$10+1,1))-AVERAGE(OFFSET($H$3,0,0,'Données projet'!$E$10+1,1))</f>
        <v>135.19533066605396</v>
      </c>
      <c r="AO28" s="62">
        <f t="shared" si="36"/>
        <v>213.60182977243113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199</v>
      </c>
      <c r="BB28" s="13">
        <f>VLOOKUP(A28,'Données projet'!$A$87:$I$107,9,0)</f>
        <v>17.8</v>
      </c>
      <c r="BC28" s="13">
        <f t="array" ref="BC28">INDEX(BB:BB,MIN(IF(ISNUMBER(BB28:BB224),ROW(BB28:BB224),"")))</f>
        <v>17.8</v>
      </c>
      <c r="BD28" s="13">
        <f>IF('Données projet'!$A$88&gt;35,BD27+BC28-BL27,IF(A28&lt;'Données projet'!$A$88,$BA$205^A28,IF(A28='Données projet'!$A$88,'Données projet'!$B$88,BD27+BC28-BL27)))</f>
        <v>199.00000000000009</v>
      </c>
      <c r="BE28" s="14">
        <f>BD28*VLOOKUP('Données projet'!$B$11,Paramètres!$A$1:$I$88,3,0)*VLOOKUP('Données projet'!$B$11,Paramètres!$A$1:$I$88,5,0)</f>
        <v>119.00200000000007</v>
      </c>
      <c r="BF28" s="14">
        <f t="shared" si="37"/>
        <v>31.442119166644687</v>
      </c>
      <c r="BG28" s="22">
        <f t="shared" si="7"/>
        <v>262.02350754857292</v>
      </c>
      <c r="BH28" s="62">
        <f t="shared" si="8"/>
        <v>549.24572977079515</v>
      </c>
      <c r="BI28" s="62">
        <f ca="1">AVERAGE(OFFSET($BH$3,0,0,'Données projet'!$E$11+1,1))-AVERAGE(OFFSET($H$3,0,0,'Données projet'!$E$11+1,1))</f>
        <v>258.1884172762135</v>
      </c>
      <c r="BJ28" s="62">
        <f t="shared" si="38"/>
        <v>356.36714671797864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49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0.25200000000000006</v>
      </c>
      <c r="BO28" s="17">
        <f>IF(ISNA(VLOOKUP(A28,'Données projet'!$A$87:$I$107,7,0)),0%,VLOOKUP(A28,'Données projet'!$A$87:$I$107,7,0))</f>
        <v>0.44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17.037401344976153</v>
      </c>
      <c r="BR28" s="23">
        <f>EXP(-LN(2)/2)*BR27+(1-EXP(-LN(2)/2))/(LN(2)/2)*BL28*BO28*VLOOKUP('Données projet'!$B$11,Paramètres!$A$1:$I$88,3,0)*0.475*44/12</f>
        <v>16.809626039214798</v>
      </c>
      <c r="BS28" s="24">
        <f t="shared" si="9"/>
        <v>33.847027384190952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152</v>
      </c>
      <c r="BW28" s="13">
        <f>VLOOKUP(A28,'Données projet'!$A$113:$I$133,9,0)</f>
        <v>13.8</v>
      </c>
      <c r="BX28" s="13">
        <f t="array" ref="BX28">INDEX(BW:BW,MIN(IF(ISNUMBER(BW28:BW224),ROW(BW28:BW224),"")))</f>
        <v>13.8</v>
      </c>
      <c r="BY28" s="13">
        <f>IF('Données projet'!$A$114&gt;35,BY27+BX28-CG27,IF(A28&lt;'Données projet'!$A$114,$BV$205^A28,IF(A28='Données projet'!$A$114,'Données projet'!$B$114,BY27+BX28-CG27)))</f>
        <v>152.00000000000003</v>
      </c>
      <c r="BZ28" s="14">
        <f>BY28*VLOOKUP('Données projet'!$B$12,Paramètres!$A$1:$I$88,3,0)*VLOOKUP('Données projet'!$B$12,Paramètres!$A$1:$I$88,5,0)</f>
        <v>90.896000000000029</v>
      </c>
      <c r="CA28" s="14">
        <f t="shared" si="39"/>
        <v>24.781193872187952</v>
      </c>
      <c r="CB28" s="22">
        <f t="shared" si="10"/>
        <v>201.47111266072739</v>
      </c>
      <c r="CC28" s="62">
        <f t="shared" si="11"/>
        <v>488.69333488294961</v>
      </c>
      <c r="CD28" s="62">
        <f ca="1">AVERAGE(OFFSET($CC$3,0,0,'Données projet'!$E$12+1,1))-AVERAGE(OFFSET($H$3,0,0,'Données projet'!$E$12+1,1))</f>
        <v>201.94015973767443</v>
      </c>
      <c r="CE28" s="62">
        <f t="shared" si="40"/>
        <v>287.12228849146032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35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0.25200000000000006</v>
      </c>
      <c r="CJ28" s="17">
        <f>IF(ISNA(VLOOKUP(A28,'Données projet'!$A$113:$I$133,7,0)),0%,VLOOKUP(A28,'Données projet'!$A$113:$I$133,7,0))</f>
        <v>0.44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9.5694009537599811</v>
      </c>
      <c r="CM28" s="23">
        <f>EXP(-LN(2)/2)*CM27+(1-EXP(-LN(2)/2))/(LN(2)/2)*CG28*CJ28*VLOOKUP('Données projet'!$B$12,Paramètres!$A$1:$I$88,3,0)*0.475*44/12</f>
        <v>11.216914708338507</v>
      </c>
      <c r="CN28" s="24">
        <f t="shared" si="12"/>
        <v>20.786315662098488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14.6</v>
      </c>
      <c r="N29" s="14">
        <f>IF('Données projet'!$A$36&gt;35,N28+M29-V28,IF(A29&lt;'Données projet'!$A$36,$K$205^A29,IF(A29='Données projet'!$A$36,'Données projet'!$B$36,N28+M29-V28)))</f>
        <v>131.60000000000002</v>
      </c>
      <c r="O29" s="14">
        <f>N29*VLOOKUP('Données projet'!$B$9,Paramètres!$A$1:$I$88,3,0)*VLOOKUP('Données projet'!$B$9,Paramètres!$A$1:$I$88,5,0)</f>
        <v>78.696800000000025</v>
      </c>
      <c r="P29" s="14">
        <f t="shared" si="33"/>
        <v>21.818241011661847</v>
      </c>
      <c r="Q29" s="22">
        <f t="shared" si="2"/>
        <v>175.06369642864445</v>
      </c>
      <c r="R29" s="62">
        <f t="shared" si="0"/>
        <v>463.50814087308891</v>
      </c>
      <c r="S29" s="62">
        <f ca="1">AVERAGE(OFFSET($R$3,0,0,'Données projet'!$E$9+1,1))-AVERAGE(OFFSET($H$3,0,0,'Données projet'!$E$9+1,1))</f>
        <v>201.94015973767443</v>
      </c>
      <c r="T29" s="62">
        <f t="shared" si="34"/>
        <v>287.12228849146032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9.3077251814464894</v>
      </c>
      <c r="AB29" s="23">
        <f>EXP(-LN(2)/2)*AB28+(1-EXP(-LN(2)/2))/(LN(2)/2)*V29*Y29*VLOOKUP('Données projet'!$B$9,Paramètres!$A$1:$I$88,3,0)*0.475*44/12</f>
        <v>7.9315564542572838</v>
      </c>
      <c r="AC29" s="24">
        <f t="shared" si="3"/>
        <v>17.239281635703772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5.666666666666667</v>
      </c>
      <c r="AI29" s="14">
        <f>IF('Données projet'!$A$62&gt;35,AI28+AH29-AQ28,IF(A29&lt;'Données projet'!$A$62,$AF$205^A29,IF(A29='Données projet'!$A$62,'Données projet'!$B$62,AI28+AH29-AQ28)))</f>
        <v>85.714783368535649</v>
      </c>
      <c r="AJ29" s="14">
        <f>AI29*VLOOKUP('Données projet'!$B$10,Paramètres!$A$1:$I$88,3,0)*VLOOKUP('Données projet'!$B$10,Paramètres!$A$1:$I$88,5,0)</f>
        <v>40.114518616474683</v>
      </c>
      <c r="AK29" s="14">
        <f t="shared" si="35"/>
        <v>12.028995026405015</v>
      </c>
      <c r="AL29" s="22">
        <f t="shared" si="4"/>
        <v>90.816619594682138</v>
      </c>
      <c r="AM29" s="62">
        <f t="shared" si="5"/>
        <v>379.26106403912661</v>
      </c>
      <c r="AN29" s="62">
        <f ca="1">AVERAGE(OFFSET($AM$3,0,0,'Données projet'!$E$10+1,1))-AVERAGE(OFFSET($H$3,0,0,'Données projet'!$E$10+1,1))</f>
        <v>135.19533066605396</v>
      </c>
      <c r="AO29" s="62">
        <f t="shared" si="36"/>
        <v>213.60182977243113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18.8</v>
      </c>
      <c r="BD29" s="13">
        <f>IF('Données projet'!$A$88&gt;35,BD28+BC29-BL28,IF(A29&lt;'Données projet'!$A$88,$BA$205^A29,IF(A29='Données projet'!$A$88,'Données projet'!$B$88,BD28+BC29-BL28)))</f>
        <v>168.8000000000001</v>
      </c>
      <c r="BE29" s="14">
        <f>BD29*VLOOKUP('Données projet'!$B$11,Paramètres!$A$1:$I$88,3,0)*VLOOKUP('Données projet'!$B$11,Paramètres!$A$1:$I$88,5,0)</f>
        <v>100.94240000000008</v>
      </c>
      <c r="BF29" s="14">
        <f t="shared" si="37"/>
        <v>27.186388642071176</v>
      </c>
      <c r="BG29" s="22">
        <f t="shared" si="7"/>
        <v>223.15764021827408</v>
      </c>
      <c r="BH29" s="62">
        <f t="shared" si="8"/>
        <v>511.60208466271854</v>
      </c>
      <c r="BI29" s="62">
        <f ca="1">AVERAGE(OFFSET($BH$3,0,0,'Données projet'!$E$11+1,1))-AVERAGE(OFFSET($H$3,0,0,'Données projet'!$E$11+1,1))</f>
        <v>258.1884172762135</v>
      </c>
      <c r="BJ29" s="62">
        <f t="shared" si="38"/>
        <v>356.36714671797864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16.571512709239784</v>
      </c>
      <c r="BR29" s="23">
        <f>EXP(-LN(2)/2)*BR28+(1-EXP(-LN(2)/2))/(LN(2)/2)*BL29*BO29*VLOOKUP('Données projet'!$B$11,Paramètres!$A$1:$I$88,3,0)*0.475*44/12</f>
        <v>11.88620056153875</v>
      </c>
      <c r="BS29" s="24">
        <f t="shared" si="9"/>
        <v>28.457713270778534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14.6</v>
      </c>
      <c r="BY29" s="13">
        <f>IF('Données projet'!$A$114&gt;35,BY28+BX29-CG28,IF(A29&lt;'Données projet'!$A$114,$BV$205^A29,IF(A29='Données projet'!$A$114,'Données projet'!$B$114,BY28+BX29-CG28)))</f>
        <v>131.60000000000002</v>
      </c>
      <c r="BZ29" s="14">
        <f>BY29*VLOOKUP('Données projet'!$B$12,Paramètres!$A$1:$I$88,3,0)*VLOOKUP('Données projet'!$B$12,Paramètres!$A$1:$I$88,5,0)</f>
        <v>78.696800000000025</v>
      </c>
      <c r="CA29" s="14">
        <f t="shared" si="39"/>
        <v>21.818241011661847</v>
      </c>
      <c r="CB29" s="22">
        <f t="shared" si="10"/>
        <v>175.06369642864445</v>
      </c>
      <c r="CC29" s="62">
        <f t="shared" si="11"/>
        <v>463.50814087308891</v>
      </c>
      <c r="CD29" s="62">
        <f ca="1">AVERAGE(OFFSET($CC$3,0,0,'Données projet'!$E$12+1,1))-AVERAGE(OFFSET($H$3,0,0,'Données projet'!$E$12+1,1))</f>
        <v>201.94015973767443</v>
      </c>
      <c r="CE29" s="62">
        <f t="shared" si="40"/>
        <v>287.12228849146032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9.3077251814464894</v>
      </c>
      <c r="CM29" s="23">
        <f>EXP(-LN(2)/2)*CM28+(1-EXP(-LN(2)/2))/(LN(2)/2)*CG29*CJ29*VLOOKUP('Données projet'!$B$12,Paramètres!$A$1:$I$88,3,0)*0.475*44/12</f>
        <v>7.9315564542572838</v>
      </c>
      <c r="CN29" s="24">
        <f t="shared" si="12"/>
        <v>17.239281635703772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14.6</v>
      </c>
      <c r="N30" s="14">
        <f>IF('Données projet'!$A$36&gt;35,N29+M30-V29,IF(A30&lt;'Données projet'!$A$36,$K$205^A30,IF(A30='Données projet'!$A$36,'Données projet'!$B$36,N29+M30-V29)))</f>
        <v>146.20000000000002</v>
      </c>
      <c r="O30" s="14">
        <f>N30*VLOOKUP('Données projet'!$B$9,Paramètres!$A$1:$I$88,3,0)*VLOOKUP('Données projet'!$B$9,Paramètres!$A$1:$I$88,5,0)</f>
        <v>87.427600000000012</v>
      </c>
      <c r="P30" s="14">
        <f t="shared" si="33"/>
        <v>23.943780883230701</v>
      </c>
      <c r="Q30" s="22">
        <f t="shared" si="2"/>
        <v>193.97182170496015</v>
      </c>
      <c r="R30" s="62">
        <f t="shared" si="0"/>
        <v>483.63848837162686</v>
      </c>
      <c r="S30" s="62">
        <f ca="1">AVERAGE(OFFSET($R$3,0,0,'Données projet'!$E$9+1,1))-AVERAGE(OFFSET($H$3,0,0,'Données projet'!$E$9+1,1))</f>
        <v>201.94015973767443</v>
      </c>
      <c r="T30" s="62">
        <f t="shared" si="34"/>
        <v>287.12228849146032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9.0532049468878402</v>
      </c>
      <c r="AB30" s="23">
        <f>EXP(-LN(2)/2)*AB29+(1-EXP(-LN(2)/2))/(LN(2)/2)*V30*Y30*VLOOKUP('Données projet'!$B$9,Paramètres!$A$1:$I$88,3,0)*0.475*44/12</f>
        <v>5.6084573541692544</v>
      </c>
      <c r="AC30" s="24">
        <f t="shared" si="3"/>
        <v>14.661662301057095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5.666666666666667</v>
      </c>
      <c r="AI30" s="14">
        <f>IF('Données projet'!$A$62&gt;35,AI29+AH30-AQ29,IF(A30&lt;'Données projet'!$A$62,$AF$205^A30,IF(A30='Données projet'!$A$62,'Données projet'!$B$62,AI29+AH30-AQ29)))</f>
        <v>101.71945608338704</v>
      </c>
      <c r="AJ30" s="14">
        <f>AI30*VLOOKUP('Données projet'!$B$10,Paramètres!$A$1:$I$88,3,0)*VLOOKUP('Données projet'!$B$10,Paramètres!$A$1:$I$88,5,0)</f>
        <v>47.604705447025133</v>
      </c>
      <c r="AK30" s="14">
        <f t="shared" si="35"/>
        <v>13.993408129574757</v>
      </c>
      <c r="AL30" s="22">
        <f t="shared" si="4"/>
        <v>107.28338114591146</v>
      </c>
      <c r="AM30" s="62">
        <f t="shared" si="5"/>
        <v>396.95004781257813</v>
      </c>
      <c r="AN30" s="62">
        <f ca="1">AVERAGE(OFFSET($AM$3,0,0,'Données projet'!$E$10+1,1))-AVERAGE(OFFSET($H$3,0,0,'Données projet'!$E$10+1,1))</f>
        <v>135.19533066605396</v>
      </c>
      <c r="AO30" s="62">
        <f t="shared" si="36"/>
        <v>213.60182977243113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18.8</v>
      </c>
      <c r="BD30" s="13">
        <f>IF('Données projet'!$A$88&gt;35,BD29+BC30-BL29,IF(A30&lt;'Données projet'!$A$88,$BA$205^A30,IF(A30='Données projet'!$A$88,'Données projet'!$B$88,BD29+BC30-BL29)))</f>
        <v>187.60000000000011</v>
      </c>
      <c r="BE30" s="14">
        <f>BD30*VLOOKUP('Données projet'!$B$11,Paramètres!$A$1:$I$88,3,0)*VLOOKUP('Données projet'!$B$11,Paramètres!$A$1:$I$88,5,0)</f>
        <v>112.18480000000007</v>
      </c>
      <c r="BF30" s="14">
        <f t="shared" si="37"/>
        <v>29.845149809641946</v>
      </c>
      <c r="BG30" s="22">
        <f t="shared" si="7"/>
        <v>247.36882925179316</v>
      </c>
      <c r="BH30" s="62">
        <f t="shared" si="8"/>
        <v>537.0354959184599</v>
      </c>
      <c r="BI30" s="62">
        <f ca="1">AVERAGE(OFFSET($BH$3,0,0,'Données projet'!$E$11+1,1))-AVERAGE(OFFSET($H$3,0,0,'Données projet'!$E$11+1,1))</f>
        <v>258.1884172762135</v>
      </c>
      <c r="BJ30" s="62">
        <f t="shared" si="38"/>
        <v>356.36714671797864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16.118363822747643</v>
      </c>
      <c r="BR30" s="23">
        <f>EXP(-LN(2)/2)*BR29+(1-EXP(-LN(2)/2))/(LN(2)/2)*BL30*BO30*VLOOKUP('Données projet'!$B$11,Paramètres!$A$1:$I$88,3,0)*0.475*44/12</f>
        <v>8.4048130196073991</v>
      </c>
      <c r="BS30" s="24">
        <f t="shared" si="9"/>
        <v>24.523176842355042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14.6</v>
      </c>
      <c r="BY30" s="13">
        <f>IF('Données projet'!$A$114&gt;35,BY29+BX30-CG29,IF(A30&lt;'Données projet'!$A$114,$BV$205^A30,IF(A30='Données projet'!$A$114,'Données projet'!$B$114,BY29+BX30-CG29)))</f>
        <v>146.20000000000002</v>
      </c>
      <c r="BZ30" s="14">
        <f>BY30*VLOOKUP('Données projet'!$B$12,Paramètres!$A$1:$I$88,3,0)*VLOOKUP('Données projet'!$B$12,Paramètres!$A$1:$I$88,5,0)</f>
        <v>87.427600000000012</v>
      </c>
      <c r="CA30" s="14">
        <f t="shared" si="39"/>
        <v>23.943780883230701</v>
      </c>
      <c r="CB30" s="22">
        <f t="shared" si="10"/>
        <v>193.97182170496015</v>
      </c>
      <c r="CC30" s="62">
        <f t="shared" si="11"/>
        <v>483.63848837162686</v>
      </c>
      <c r="CD30" s="62">
        <f ca="1">AVERAGE(OFFSET($CC$3,0,0,'Données projet'!$E$12+1,1))-AVERAGE(OFFSET($H$3,0,0,'Données projet'!$E$12+1,1))</f>
        <v>201.94015973767443</v>
      </c>
      <c r="CE30" s="62">
        <f t="shared" si="40"/>
        <v>287.12228849146032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9.0532049468878402</v>
      </c>
      <c r="CM30" s="23">
        <f>EXP(-LN(2)/2)*CM29+(1-EXP(-LN(2)/2))/(LN(2)/2)*CG30*CJ30*VLOOKUP('Données projet'!$B$12,Paramètres!$A$1:$I$88,3,0)*0.475*44/12</f>
        <v>5.6084573541692544</v>
      </c>
      <c r="CN30" s="24">
        <f t="shared" si="12"/>
        <v>14.661662301057095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14.6</v>
      </c>
      <c r="N31" s="14">
        <f>IF('Données projet'!$A$36&gt;35,N30+M31-V30,IF(A31&lt;'Données projet'!$A$36,$K$205^A31,IF(A31='Données projet'!$A$36,'Données projet'!$B$36,N30+M31-V30)))</f>
        <v>160.80000000000001</v>
      </c>
      <c r="O31" s="14">
        <f>N31*VLOOKUP('Données projet'!$B$9,Paramètres!$A$1:$I$88,3,0)*VLOOKUP('Données projet'!$B$9,Paramètres!$A$1:$I$88,5,0)</f>
        <v>96.158400000000015</v>
      </c>
      <c r="P31" s="14">
        <f t="shared" si="33"/>
        <v>26.044713228021536</v>
      </c>
      <c r="Q31" s="22">
        <f t="shared" si="2"/>
        <v>212.83708887213754</v>
      </c>
      <c r="R31" s="62">
        <f t="shared" si="0"/>
        <v>503.7259777610264</v>
      </c>
      <c r="S31" s="62">
        <f ca="1">AVERAGE(OFFSET($R$3,0,0,'Données projet'!$E$9+1,1))-AVERAGE(OFFSET($H$3,0,0,'Données projet'!$E$9+1,1))</f>
        <v>201.94015973767443</v>
      </c>
      <c r="T31" s="62">
        <f t="shared" si="34"/>
        <v>287.12228849146032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8.8056445815278348</v>
      </c>
      <c r="AB31" s="23">
        <f>EXP(-LN(2)/2)*AB30+(1-EXP(-LN(2)/2))/(LN(2)/2)*V31*Y31*VLOOKUP('Données projet'!$B$9,Paramètres!$A$1:$I$88,3,0)*0.475*44/12</f>
        <v>3.9657782271286424</v>
      </c>
      <c r="AC31" s="24">
        <f t="shared" si="3"/>
        <v>12.771422808656478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5.666666666666667</v>
      </c>
      <c r="AI31" s="14">
        <f>IF('Données projet'!$A$62&gt;35,AI30+AH31-AQ30,IF(A31&lt;'Données projet'!$A$62,$AF$205^A31,IF(A31='Données projet'!$A$62,'Données projet'!$B$62,AI30+AH31-AQ30)))</f>
        <v>120.71252284933438</v>
      </c>
      <c r="AJ31" s="14">
        <f>AI31*VLOOKUP('Données projet'!$B$10,Paramètres!$A$1:$I$88,3,0)*VLOOKUP('Données projet'!$B$10,Paramètres!$A$1:$I$88,5,0)</f>
        <v>56.493460693488487</v>
      </c>
      <c r="AK31" s="14">
        <f t="shared" si="35"/>
        <v>16.278622665568623</v>
      </c>
      <c r="AL31" s="22">
        <f t="shared" si="4"/>
        <v>126.74471185035777</v>
      </c>
      <c r="AM31" s="62">
        <f t="shared" si="5"/>
        <v>417.63360073924662</v>
      </c>
      <c r="AN31" s="62">
        <f ca="1">AVERAGE(OFFSET($AM$3,0,0,'Données projet'!$E$10+1,1))-AVERAGE(OFFSET($H$3,0,0,'Données projet'!$E$10+1,1))</f>
        <v>135.19533066605396</v>
      </c>
      <c r="AO31" s="62">
        <f t="shared" si="36"/>
        <v>213.60182977243113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18.8</v>
      </c>
      <c r="BD31" s="13">
        <f>IF('Données projet'!$A$88&gt;35,BD30+BC31-BL30,IF(A31&lt;'Données projet'!$A$88,$BA$205^A31,IF(A31='Données projet'!$A$88,'Données projet'!$B$88,BD30+BC31-BL30)))</f>
        <v>206.40000000000012</v>
      </c>
      <c r="BE31" s="14">
        <f>BD31*VLOOKUP('Données projet'!$B$11,Paramètres!$A$1:$I$88,3,0)*VLOOKUP('Données projet'!$B$11,Paramètres!$A$1:$I$88,5,0)</f>
        <v>123.42720000000008</v>
      </c>
      <c r="BF31" s="14">
        <f t="shared" si="37"/>
        <v>32.473022671122109</v>
      </c>
      <c r="BG31" s="22">
        <f t="shared" si="7"/>
        <v>271.52622115220447</v>
      </c>
      <c r="BH31" s="62">
        <f t="shared" si="8"/>
        <v>562.41511004109339</v>
      </c>
      <c r="BI31" s="62">
        <f ca="1">AVERAGE(OFFSET($BH$3,0,0,'Données projet'!$E$11+1,1))-AVERAGE(OFFSET($H$3,0,0,'Données projet'!$E$11+1,1))</f>
        <v>258.1884172762135</v>
      </c>
      <c r="BJ31" s="62">
        <f t="shared" si="38"/>
        <v>356.36714671797864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15.677606316386694</v>
      </c>
      <c r="BR31" s="23">
        <f>EXP(-LN(2)/2)*BR30+(1-EXP(-LN(2)/2))/(LN(2)/2)*BL31*BO31*VLOOKUP('Données projet'!$B$11,Paramètres!$A$1:$I$88,3,0)*0.475*44/12</f>
        <v>5.9431002807693751</v>
      </c>
      <c r="BS31" s="24">
        <f t="shared" si="9"/>
        <v>21.620706597156069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14.6</v>
      </c>
      <c r="BY31" s="13">
        <f>IF('Données projet'!$A$114&gt;35,BY30+BX31-CG30,IF(A31&lt;'Données projet'!$A$114,$BV$205^A31,IF(A31='Données projet'!$A$114,'Données projet'!$B$114,BY30+BX31-CG30)))</f>
        <v>160.80000000000001</v>
      </c>
      <c r="BZ31" s="14">
        <f>BY31*VLOOKUP('Données projet'!$B$12,Paramètres!$A$1:$I$88,3,0)*VLOOKUP('Données projet'!$B$12,Paramètres!$A$1:$I$88,5,0)</f>
        <v>96.158400000000015</v>
      </c>
      <c r="CA31" s="14">
        <f t="shared" si="39"/>
        <v>26.044713228021536</v>
      </c>
      <c r="CB31" s="22">
        <f t="shared" si="10"/>
        <v>212.83708887213754</v>
      </c>
      <c r="CC31" s="62">
        <f t="shared" si="11"/>
        <v>503.7259777610264</v>
      </c>
      <c r="CD31" s="62">
        <f ca="1">AVERAGE(OFFSET($CC$3,0,0,'Données projet'!$E$12+1,1))-AVERAGE(OFFSET($H$3,0,0,'Données projet'!$E$12+1,1))</f>
        <v>201.94015973767443</v>
      </c>
      <c r="CE31" s="62">
        <f t="shared" si="40"/>
        <v>287.12228849146032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8.8056445815278348</v>
      </c>
      <c r="CM31" s="23">
        <f>EXP(-LN(2)/2)*CM30+(1-EXP(-LN(2)/2))/(LN(2)/2)*CG31*CJ31*VLOOKUP('Données projet'!$B$12,Paramètres!$A$1:$I$88,3,0)*0.475*44/12</f>
        <v>3.9657782271286424</v>
      </c>
      <c r="CN31" s="24">
        <f t="shared" si="12"/>
        <v>12.771422808656478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14.6</v>
      </c>
      <c r="N32" s="14">
        <f>IF('Données projet'!$A$36&gt;35,N31+M32-V31,IF(A32&lt;'Données projet'!$A$36,$K$205^A32,IF(A32='Données projet'!$A$36,'Données projet'!$B$36,N31+M32-V31)))</f>
        <v>175.4</v>
      </c>
      <c r="O32" s="14">
        <f>N32*VLOOKUP('Données projet'!$B$9,Paramètres!$A$1:$I$88,3,0)*VLOOKUP('Données projet'!$B$9,Paramètres!$A$1:$I$88,5,0)</f>
        <v>104.88920000000002</v>
      </c>
      <c r="P32" s="14">
        <f t="shared" si="33"/>
        <v>28.123526406473569</v>
      </c>
      <c r="Q32" s="22">
        <f t="shared" si="2"/>
        <v>231.66383182460814</v>
      </c>
      <c r="R32" s="62">
        <f t="shared" si="0"/>
        <v>523.77494293571931</v>
      </c>
      <c r="S32" s="62">
        <f ca="1">AVERAGE(OFFSET($R$3,0,0,'Données projet'!$E$9+1,1))-AVERAGE(OFFSET($H$3,0,0,'Données projet'!$E$9+1,1))</f>
        <v>201.94015973767443</v>
      </c>
      <c r="T32" s="62">
        <f t="shared" si="34"/>
        <v>287.12228849146032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8.5648537673772331</v>
      </c>
      <c r="AB32" s="23">
        <f>EXP(-LN(2)/2)*AB31+(1-EXP(-LN(2)/2))/(LN(2)/2)*V32*Y32*VLOOKUP('Données projet'!$B$9,Paramètres!$A$1:$I$88,3,0)*0.475*44/12</f>
        <v>2.8042286770846276</v>
      </c>
      <c r="AC32" s="24">
        <f t="shared" si="3"/>
        <v>11.36908244446186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5.666666666666667</v>
      </c>
      <c r="AI32" s="14">
        <f>IF('Données projet'!$A$62&gt;35,AI31+AH32-AQ31,IF(A32&lt;'Données projet'!$A$62,$AF$205^A32,IF(A32='Données projet'!$A$62,'Données projet'!$B$62,AI31+AH32-AQ31)))</f>
        <v>143.25197689521377</v>
      </c>
      <c r="AJ32" s="14">
        <f>AI32*VLOOKUP('Données projet'!$B$10,Paramètres!$A$1:$I$88,3,0)*VLOOKUP('Données projet'!$B$10,Paramètres!$A$1:$I$88,5,0)</f>
        <v>67.041925186960043</v>
      </c>
      <c r="AK32" s="14">
        <f t="shared" si="35"/>
        <v>18.93702759429323</v>
      </c>
      <c r="AL32" s="22">
        <f t="shared" si="4"/>
        <v>149.74667609401612</v>
      </c>
      <c r="AM32" s="62">
        <f t="shared" si="5"/>
        <v>441.85778720512724</v>
      </c>
      <c r="AN32" s="62">
        <f ca="1">AVERAGE(OFFSET($AM$3,0,0,'Données projet'!$E$10+1,1))-AVERAGE(OFFSET($H$3,0,0,'Données projet'!$E$10+1,1))</f>
        <v>135.19533066605396</v>
      </c>
      <c r="AO32" s="62">
        <f t="shared" si="36"/>
        <v>213.60182977243113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18.8</v>
      </c>
      <c r="BD32" s="13">
        <f>IF('Données projet'!$A$88&gt;35,BD31+BC32-BL31,IF(A32&lt;'Données projet'!$A$88,$BA$205^A32,IF(A32='Données projet'!$A$88,'Données projet'!$B$88,BD31+BC32-BL31)))</f>
        <v>225.20000000000013</v>
      </c>
      <c r="BE32" s="14">
        <f>BD32*VLOOKUP('Données projet'!$B$11,Paramètres!$A$1:$I$88,3,0)*VLOOKUP('Données projet'!$B$11,Paramètres!$A$1:$I$88,5,0)</f>
        <v>134.66960000000009</v>
      </c>
      <c r="BF32" s="14">
        <f t="shared" si="37"/>
        <v>35.073140668601305</v>
      </c>
      <c r="BG32" s="22">
        <f t="shared" si="7"/>
        <v>295.6352733311474</v>
      </c>
      <c r="BH32" s="62">
        <f t="shared" si="8"/>
        <v>587.74638444225855</v>
      </c>
      <c r="BI32" s="62">
        <f ca="1">AVERAGE(OFFSET($BH$3,0,0,'Données projet'!$E$11+1,1))-AVERAGE(OFFSET($H$3,0,0,'Données projet'!$E$11+1,1))</f>
        <v>258.1884172762135</v>
      </c>
      <c r="BJ32" s="62">
        <f t="shared" si="38"/>
        <v>356.36714671797864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15.248901347215615</v>
      </c>
      <c r="BR32" s="23">
        <f>EXP(-LN(2)/2)*BR31+(1-EXP(-LN(2)/2))/(LN(2)/2)*BL32*BO32*VLOOKUP('Données projet'!$B$11,Paramètres!$A$1:$I$88,3,0)*0.475*44/12</f>
        <v>4.2024065098036996</v>
      </c>
      <c r="BS32" s="24">
        <f t="shared" si="9"/>
        <v>19.451307857019316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14.6</v>
      </c>
      <c r="BY32" s="13">
        <f>IF('Données projet'!$A$114&gt;35,BY31+BX32-CG31,IF(A32&lt;'Données projet'!$A$114,$BV$205^A32,IF(A32='Données projet'!$A$114,'Données projet'!$B$114,BY31+BX32-CG31)))</f>
        <v>175.4</v>
      </c>
      <c r="BZ32" s="14">
        <f>BY32*VLOOKUP('Données projet'!$B$12,Paramètres!$A$1:$I$88,3,0)*VLOOKUP('Données projet'!$B$12,Paramètres!$A$1:$I$88,5,0)</f>
        <v>104.88920000000002</v>
      </c>
      <c r="CA32" s="14">
        <f t="shared" si="39"/>
        <v>28.123526406473569</v>
      </c>
      <c r="CB32" s="22">
        <f t="shared" si="10"/>
        <v>231.66383182460814</v>
      </c>
      <c r="CC32" s="62">
        <f t="shared" si="11"/>
        <v>523.77494293571931</v>
      </c>
      <c r="CD32" s="62">
        <f ca="1">AVERAGE(OFFSET($CC$3,0,0,'Données projet'!$E$12+1,1))-AVERAGE(OFFSET($H$3,0,0,'Données projet'!$E$12+1,1))</f>
        <v>201.94015973767443</v>
      </c>
      <c r="CE32" s="62">
        <f t="shared" si="40"/>
        <v>287.12228849146032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8.5648537673772331</v>
      </c>
      <c r="CM32" s="23">
        <f>EXP(-LN(2)/2)*CM31+(1-EXP(-LN(2)/2))/(LN(2)/2)*CG32*CJ32*VLOOKUP('Données projet'!$B$12,Paramètres!$A$1:$I$88,3,0)*0.475*44/12</f>
        <v>2.8042286770846276</v>
      </c>
      <c r="CN32" s="24">
        <f t="shared" si="12"/>
        <v>11.36908244446186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190</v>
      </c>
      <c r="L33" s="13">
        <f>VLOOKUP(A33,'Données projet'!$A$35:$I$55,9,0)</f>
        <v>14.6</v>
      </c>
      <c r="M33" s="13">
        <f t="array" ref="M33">INDEX(L:L,MIN(IF(ISNUMBER(L33:L229),ROW(L33:L229),"")))</f>
        <v>14.6</v>
      </c>
      <c r="N33" s="14">
        <f>IF('Données projet'!$A$36&gt;35,N32+M33-V32,IF(A33&lt;'Données projet'!$A$36,$K$205^A33,IF(A33='Données projet'!$A$36,'Données projet'!$B$36,N32+M33-V32)))</f>
        <v>190</v>
      </c>
      <c r="O33" s="14">
        <f>N33*VLOOKUP('Données projet'!$B$9,Paramètres!$A$1:$I$88,3,0)*VLOOKUP('Données projet'!$B$9,Paramètres!$A$1:$I$88,5,0)</f>
        <v>113.62</v>
      </c>
      <c r="P33" s="14">
        <f t="shared" si="33"/>
        <v>30.182270904187739</v>
      </c>
      <c r="Q33" s="22">
        <f t="shared" si="2"/>
        <v>250.45562182479364</v>
      </c>
      <c r="R33" s="62">
        <f t="shared" si="0"/>
        <v>543.78895515812701</v>
      </c>
      <c r="S33" s="62">
        <f ca="1">AVERAGE(OFFSET($R$3,0,0,'Données projet'!$E$9+1,1))-AVERAGE(OFFSET($H$3,0,0,'Données projet'!$E$9+1,1))</f>
        <v>201.94015973767443</v>
      </c>
      <c r="T33" s="62">
        <f t="shared" si="34"/>
        <v>287.12228849146032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35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0.25200000000000006</v>
      </c>
      <c r="Y33" s="17">
        <f>IF(ISNA(VLOOKUP(A33,'Données projet'!$A$35:$I$55,7,0)),0%,VLOOKUP(A33,'Données projet'!$A$35:$I$55,7,0))</f>
        <v>0.44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15.2998769089535</v>
      </c>
      <c r="AB33" s="23">
        <f>EXP(-LN(2)/2)*AB32+(1-EXP(-LN(2)/2))/(LN(2)/2)*V33*Y33*VLOOKUP('Données projet'!$B$9,Paramètres!$A$1:$I$88,3,0)*0.475*44/12</f>
        <v>12.409842787945049</v>
      </c>
      <c r="AC33" s="24">
        <f t="shared" si="3"/>
        <v>27.709719696898549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170</v>
      </c>
      <c r="AG33" s="13">
        <f>VLOOKUP(A33,'Données projet'!$A$61:$I$81,9,0)</f>
        <v>5.666666666666667</v>
      </c>
      <c r="AH33" s="13">
        <f t="array" ref="AH33">INDEX(AG:AG,MIN(IF(ISNUMBER(AG33:AG229),ROW(AG33:AG229),"")))</f>
        <v>5.666666666666667</v>
      </c>
      <c r="AI33" s="14">
        <f>IF('Données projet'!$A$62&gt;35,AI32+AH33-AQ32,IF(A33&lt;'Données projet'!$A$62,$AF$205^A33,IF(A33='Données projet'!$A$62,'Données projet'!$B$62,AI32+AH33-AQ32)))</f>
        <v>170</v>
      </c>
      <c r="AJ33" s="14">
        <f>AI33*VLOOKUP('Données projet'!$B$10,Paramètres!$A$1:$I$88,3,0)*VLOOKUP('Données projet'!$B$10,Paramètres!$A$1:$I$88,5,0)</f>
        <v>79.56</v>
      </c>
      <c r="AK33" s="14">
        <f t="shared" si="35"/>
        <v>22.029567333453311</v>
      </c>
      <c r="AL33" s="22">
        <f t="shared" si="4"/>
        <v>176.93516310576453</v>
      </c>
      <c r="AM33" s="62">
        <f t="shared" si="5"/>
        <v>470.26849643909782</v>
      </c>
      <c r="AN33" s="62">
        <f ca="1">AVERAGE(OFFSET($AM$3,0,0,'Données projet'!$E$10+1,1))-AVERAGE(OFFSET($H$3,0,0,'Données projet'!$E$10+1,1))</f>
        <v>135.19533066605396</v>
      </c>
      <c r="AO33" s="62">
        <f t="shared" si="36"/>
        <v>213.60182977243113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40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0.30800000000000005</v>
      </c>
      <c r="AT33" s="17">
        <f>IF(ISNA(VLOOKUP(A33,'Données projet'!$A$61:$I$81,7,0)),0%,VLOOKUP(A33,'Données projet'!$A$61:$I$81,7,0))</f>
        <v>0.44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7.6185366162250032</v>
      </c>
      <c r="AW33" s="23">
        <f>EXP(-LN(2)/2)*AW32+(1-EXP(-LN(2)/2))/(LN(2)/2)*AQ33*AT33*VLOOKUP('Données projet'!$B$10,Paramètres!$A$1:$I$88,3,0)*0.475*44/12</f>
        <v>9.3259709882659934</v>
      </c>
      <c r="AX33" s="23">
        <f t="shared" si="6"/>
        <v>16.944507604490997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244</v>
      </c>
      <c r="BB33" s="13">
        <f>VLOOKUP(A33,'Données projet'!$A$87:$I$107,9,0)</f>
        <v>18.8</v>
      </c>
      <c r="BC33" s="13">
        <f t="array" ref="BC33">INDEX(BB:BB,MIN(IF(ISNUMBER(BB33:BB229),ROW(BB33:BB229),"")))</f>
        <v>18.8</v>
      </c>
      <c r="BD33" s="13">
        <f>IF('Données projet'!$A$88&gt;35,BD32+BC33-BL32,IF(A33&lt;'Données projet'!$A$88,$BA$205^A33,IF(A33='Données projet'!$A$88,'Données projet'!$B$88,BD32+BC33-BL32)))</f>
        <v>244.00000000000014</v>
      </c>
      <c r="BE33" s="14">
        <f>BD33*VLOOKUP('Données projet'!$B$11,Paramètres!$A$1:$I$88,3,0)*VLOOKUP('Données projet'!$B$11,Paramètres!$A$1:$I$88,5,0)</f>
        <v>145.91200000000009</v>
      </c>
      <c r="BF33" s="14">
        <f t="shared" si="37"/>
        <v>37.648084239987661</v>
      </c>
      <c r="BG33" s="22">
        <f t="shared" si="7"/>
        <v>319.70048005131201</v>
      </c>
      <c r="BH33" s="62">
        <f t="shared" si="8"/>
        <v>613.03381338464533</v>
      </c>
      <c r="BI33" s="62">
        <f ca="1">AVERAGE(OFFSET($BH$3,0,0,'Données projet'!$E$11+1,1))-AVERAGE(OFFSET($H$3,0,0,'Données projet'!$E$11+1,1))</f>
        <v>258.1884172762135</v>
      </c>
      <c r="BJ33" s="62">
        <f t="shared" si="38"/>
        <v>356.36714671797864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49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0.25200000000000006</v>
      </c>
      <c r="BO33" s="17">
        <f>IF(ISNA(VLOOKUP(A33,'Données projet'!$A$87:$I$107,7,0)),0%,VLOOKUP(A33,'Données projet'!$A$87:$I$107,7,0))</f>
        <v>0.44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24.58884066352293</v>
      </c>
      <c r="BR33" s="23">
        <f>EXP(-LN(2)/2)*BR32+(1-EXP(-LN(2)/2))/(LN(2)/2)*BL33*BO33*VLOOKUP('Données projet'!$B$11,Paramètres!$A$1:$I$88,3,0)*0.475*44/12</f>
        <v>17.569285284517704</v>
      </c>
      <c r="BS33" s="24">
        <f t="shared" si="9"/>
        <v>42.158125948040635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190</v>
      </c>
      <c r="BW33" s="13">
        <f>VLOOKUP(A33,'Données projet'!$A$113:$I$133,9,0)</f>
        <v>14.6</v>
      </c>
      <c r="BX33" s="13">
        <f t="array" ref="BX33">INDEX(BW:BW,MIN(IF(ISNUMBER(BW33:BW229),ROW(BW33:BW229),"")))</f>
        <v>14.6</v>
      </c>
      <c r="BY33" s="13">
        <f>IF('Données projet'!$A$114&gt;35,BY32+BX33-CG32,IF(A33&lt;'Données projet'!$A$114,$BV$205^A33,IF(A33='Données projet'!$A$114,'Données projet'!$B$114,BY32+BX33-CG32)))</f>
        <v>190</v>
      </c>
      <c r="BZ33" s="14">
        <f>BY33*VLOOKUP('Données projet'!$B$12,Paramètres!$A$1:$I$88,3,0)*VLOOKUP('Données projet'!$B$12,Paramètres!$A$1:$I$88,5,0)</f>
        <v>113.62</v>
      </c>
      <c r="CA33" s="14">
        <f t="shared" si="39"/>
        <v>30.182270904187739</v>
      </c>
      <c r="CB33" s="22">
        <f t="shared" si="10"/>
        <v>250.45562182479364</v>
      </c>
      <c r="CC33" s="62">
        <f t="shared" si="11"/>
        <v>543.78895515812701</v>
      </c>
      <c r="CD33" s="62">
        <f ca="1">AVERAGE(OFFSET($CC$3,0,0,'Données projet'!$E$12+1,1))-AVERAGE(OFFSET($H$3,0,0,'Données projet'!$E$12+1,1))</f>
        <v>201.94015973767443</v>
      </c>
      <c r="CE33" s="62">
        <f t="shared" si="40"/>
        <v>287.12228849146032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35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0.25200000000000006</v>
      </c>
      <c r="CJ33" s="17">
        <f>IF(ISNA(VLOOKUP(A33,'Données projet'!$A$113:$I$133,7,0)),0%,VLOOKUP(A33,'Données projet'!$A$113:$I$133,7,0))</f>
        <v>0.44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15.2998769089535</v>
      </c>
      <c r="CM33" s="23">
        <f>EXP(-LN(2)/2)*CM32+(1-EXP(-LN(2)/2))/(LN(2)/2)*CG33*CJ33*VLOOKUP('Données projet'!$B$12,Paramètres!$A$1:$I$88,3,0)*0.475*44/12</f>
        <v>12.409842787945049</v>
      </c>
      <c r="CN33" s="24">
        <f t="shared" si="12"/>
        <v>27.709719696898549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14.2</v>
      </c>
      <c r="N34" s="14">
        <f>IF('Données projet'!$A$36&gt;35,N33+M34-V33,IF(A34&lt;'Données projet'!$A$36,$K$205^A34,IF(A34='Données projet'!$A$36,'Données projet'!$B$36,N33+M34-V33)))</f>
        <v>169.2</v>
      </c>
      <c r="O34" s="14">
        <f>N34*VLOOKUP('Données projet'!$B$9,Paramètres!$A$1:$I$88,3,0)*VLOOKUP('Données projet'!$B$9,Paramètres!$A$1:$I$88,5,0)</f>
        <v>101.18159999999999</v>
      </c>
      <c r="P34" s="14">
        <f t="shared" si="33"/>
        <v>27.243304715412357</v>
      </c>
      <c r="Q34" s="22">
        <f t="shared" si="2"/>
        <v>223.67337571267649</v>
      </c>
      <c r="R34" s="62">
        <f t="shared" si="0"/>
        <v>517.00670904600975</v>
      </c>
      <c r="S34" s="62">
        <f ca="1">AVERAGE(OFFSET($R$3,0,0,'Données projet'!$E$9+1,1))-AVERAGE(OFFSET($H$3,0,0,'Données projet'!$E$9+1,1))</f>
        <v>201.94015973767443</v>
      </c>
      <c r="T34" s="62">
        <f t="shared" si="34"/>
        <v>287.12228849146032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14.881500970292608</v>
      </c>
      <c r="AB34" s="23">
        <f>EXP(-LN(2)/2)*AB33+(1-EXP(-LN(2)/2))/(LN(2)/2)*V34*Y34*VLOOKUP('Données projet'!$B$9,Paramètres!$A$1:$I$88,3,0)*0.475*44/12</f>
        <v>8.7750839888149148</v>
      </c>
      <c r="AC34" s="24">
        <f t="shared" si="3"/>
        <v>23.656584959107523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140</v>
      </c>
      <c r="AJ34" s="14">
        <f>AI34*VLOOKUP('Données projet'!$B$10,Paramètres!$A$1:$I$88,3,0)*VLOOKUP('Données projet'!$B$10,Paramètres!$A$1:$I$88,5,0)</f>
        <v>65.52</v>
      </c>
      <c r="AK34" s="14">
        <f t="shared" si="35"/>
        <v>18.556669503136725</v>
      </c>
      <c r="AL34" s="22">
        <f t="shared" si="4"/>
        <v>146.43353271796309</v>
      </c>
      <c r="AM34" s="62">
        <f t="shared" si="5"/>
        <v>439.7668660512964</v>
      </c>
      <c r="AN34" s="62">
        <f ca="1">AVERAGE(OFFSET($AM$3,0,0,'Données projet'!$E$10+1,1))-AVERAGE(OFFSET($H$3,0,0,'Données projet'!$E$10+1,1))</f>
        <v>135.19533066605396</v>
      </c>
      <c r="AO34" s="62">
        <f t="shared" si="36"/>
        <v>213.60182977243113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7.4102073318129023</v>
      </c>
      <c r="AW34" s="23">
        <f>EXP(-LN(2)/2)*AW33+(1-EXP(-LN(2)/2))/(LN(2)/2)*AQ34*AT34*VLOOKUP('Données projet'!$B$10,Paramètres!$A$1:$I$88,3,0)*0.475*44/12</f>
        <v>6.5944573269518925</v>
      </c>
      <c r="AX34" s="23">
        <f t="shared" si="6"/>
        <v>14.004664658764796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19</v>
      </c>
      <c r="BD34" s="13">
        <f>IF('Données projet'!$A$88&gt;35,BD33+BC34-BL33,IF(A34&lt;'Données projet'!$A$88,$BA$205^A34,IF(A34='Données projet'!$A$88,'Données projet'!$B$88,BD33+BC34-BL33)))</f>
        <v>214.00000000000011</v>
      </c>
      <c r="BE34" s="14">
        <f>BD34*VLOOKUP('Données projet'!$B$11,Paramètres!$A$1:$I$88,3,0)*VLOOKUP('Données projet'!$B$11,Paramètres!$A$1:$I$88,5,0)</f>
        <v>127.97200000000008</v>
      </c>
      <c r="BF34" s="14">
        <f t="shared" si="37"/>
        <v>33.527320123852874</v>
      </c>
      <c r="BG34" s="22">
        <f t="shared" si="7"/>
        <v>281.27798254904388</v>
      </c>
      <c r="BH34" s="62">
        <f t="shared" si="8"/>
        <v>574.6113158823772</v>
      </c>
      <c r="BI34" s="62">
        <f ca="1">AVERAGE(OFFSET($BH$3,0,0,'Données projet'!$E$11+1,1))-AVERAGE(OFFSET($H$3,0,0,'Données projet'!$E$11+1,1))</f>
        <v>258.1884172762135</v>
      </c>
      <c r="BJ34" s="62">
        <f t="shared" si="38"/>
        <v>356.36714671797864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23.916457522507965</v>
      </c>
      <c r="BR34" s="23">
        <f>EXP(-LN(2)/2)*BR33+(1-EXP(-LN(2)/2))/(LN(2)/2)*BL34*BO34*VLOOKUP('Données projet'!$B$11,Paramètres!$A$1:$I$88,3,0)*0.475*44/12</f>
        <v>12.423360765283491</v>
      </c>
      <c r="BS34" s="24">
        <f t="shared" si="9"/>
        <v>36.339818287791459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14.2</v>
      </c>
      <c r="BY34" s="13">
        <f>IF('Données projet'!$A$114&gt;35,BY33+BX34-CG33,IF(A34&lt;'Données projet'!$A$114,$BV$205^A34,IF(A34='Données projet'!$A$114,'Données projet'!$B$114,BY33+BX34-CG33)))</f>
        <v>169.2</v>
      </c>
      <c r="BZ34" s="14">
        <f>BY34*VLOOKUP('Données projet'!$B$12,Paramètres!$A$1:$I$88,3,0)*VLOOKUP('Données projet'!$B$12,Paramètres!$A$1:$I$88,5,0)</f>
        <v>101.18159999999999</v>
      </c>
      <c r="CA34" s="14">
        <f t="shared" si="39"/>
        <v>27.243304715412357</v>
      </c>
      <c r="CB34" s="22">
        <f t="shared" si="10"/>
        <v>223.67337571267649</v>
      </c>
      <c r="CC34" s="62">
        <f t="shared" si="11"/>
        <v>517.00670904600975</v>
      </c>
      <c r="CD34" s="62">
        <f ca="1">AVERAGE(OFFSET($CC$3,0,0,'Données projet'!$E$12+1,1))-AVERAGE(OFFSET($H$3,0,0,'Données projet'!$E$12+1,1))</f>
        <v>201.94015973767443</v>
      </c>
      <c r="CE34" s="62">
        <f t="shared" si="40"/>
        <v>287.12228849146032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14.881500970292608</v>
      </c>
      <c r="CM34" s="23">
        <f>EXP(-LN(2)/2)*CM33+(1-EXP(-LN(2)/2))/(LN(2)/2)*CG34*CJ34*VLOOKUP('Données projet'!$B$12,Paramètres!$A$1:$I$88,3,0)*0.475*44/12</f>
        <v>8.7750839888149148</v>
      </c>
      <c r="CN34" s="24">
        <f t="shared" si="12"/>
        <v>23.656584959107523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14.2</v>
      </c>
      <c r="N35" s="14">
        <f>IF('Données projet'!$A$36&gt;35,N34+M35-V34,IF(A35&lt;'Données projet'!$A$36,$K$205^A35,IF(A35='Données projet'!$A$36,'Données projet'!$B$36,N34+M35-V34)))</f>
        <v>183.39999999999998</v>
      </c>
      <c r="O35" s="14">
        <f>N35*VLOOKUP('Données projet'!$B$9,Paramètres!$A$1:$I$88,3,0)*VLOOKUP('Données projet'!$B$9,Paramètres!$A$1:$I$88,5,0)</f>
        <v>109.67319999999999</v>
      </c>
      <c r="P35" s="14">
        <f t="shared" si="33"/>
        <v>29.253974615622084</v>
      </c>
      <c r="Q35" s="22">
        <f t="shared" ref="Q35:Q66" si="53">(O35+P35)*0.475*44/12</f>
        <v>241.96482912220847</v>
      </c>
      <c r="R35" s="62">
        <f t="shared" si="0"/>
        <v>535.29816245554184</v>
      </c>
      <c r="S35" s="62">
        <f ca="1">AVERAGE(OFFSET($R$3,0,0,'Données projet'!$E$9+1,1))-AVERAGE(OFFSET($H$3,0,0,'Données projet'!$E$9+1,1))</f>
        <v>201.94015973767443</v>
      </c>
      <c r="T35" s="62">
        <f t="shared" si="34"/>
        <v>287.12228849146032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14.474565543675833</v>
      </c>
      <c r="AB35" s="23">
        <f>EXP(-LN(2)/2)*AB34+(1-EXP(-LN(2)/2))/(LN(2)/2)*V35*Y35*VLOOKUP('Données projet'!$B$9,Paramètres!$A$1:$I$88,3,0)*0.475*44/12</f>
        <v>6.2049213939725254</v>
      </c>
      <c r="AC35" s="24">
        <f t="shared" si="3"/>
        <v>20.67948693764836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150</v>
      </c>
      <c r="AJ35" s="14">
        <f>AI35*VLOOKUP('Données projet'!$B$10,Paramètres!$A$1:$I$88,3,0)*VLOOKUP('Données projet'!$B$10,Paramètres!$A$1:$I$88,5,0)</f>
        <v>70.2</v>
      </c>
      <c r="AK35" s="14">
        <f t="shared" si="35"/>
        <v>19.723116370112194</v>
      </c>
      <c r="AL35" s="22">
        <f t="shared" si="4"/>
        <v>156.61609434461207</v>
      </c>
      <c r="AM35" s="62">
        <f t="shared" si="5"/>
        <v>449.94942767794538</v>
      </c>
      <c r="AN35" s="62">
        <f ca="1">AVERAGE(OFFSET($AM$3,0,0,'Données projet'!$E$10+1,1))-AVERAGE(OFFSET($H$3,0,0,'Données projet'!$E$10+1,1))</f>
        <v>135.19533066605396</v>
      </c>
      <c r="AO35" s="62">
        <f t="shared" si="36"/>
        <v>213.60182977243113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7.2075748226386107</v>
      </c>
      <c r="AW35" s="23">
        <f>EXP(-LN(2)/2)*AW34+(1-EXP(-LN(2)/2))/(LN(2)/2)*AQ35*AT35*VLOOKUP('Données projet'!$B$10,Paramètres!$A$1:$I$88,3,0)*0.475*44/12</f>
        <v>4.6629854941329976</v>
      </c>
      <c r="AX35" s="23">
        <f t="shared" si="6"/>
        <v>11.870560316771609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19</v>
      </c>
      <c r="BD35" s="13">
        <f>IF('Données projet'!$A$88&gt;35,BD34+BC35-BL34,IF(A35&lt;'Données projet'!$A$88,$BA$205^A35,IF(A35='Données projet'!$A$88,'Données projet'!$B$88,BD34+BC35-BL34)))</f>
        <v>233.00000000000011</v>
      </c>
      <c r="BE35" s="14">
        <f>BD35*VLOOKUP('Données projet'!$B$11,Paramètres!$A$1:$I$88,3,0)*VLOOKUP('Données projet'!$B$11,Paramètres!$A$1:$I$88,5,0)</f>
        <v>139.33400000000009</v>
      </c>
      <c r="BF35" s="14">
        <f t="shared" si="37"/>
        <v>36.144391930570897</v>
      </c>
      <c r="BG35" s="22">
        <f t="shared" si="7"/>
        <v>305.62486594574449</v>
      </c>
      <c r="BH35" s="62">
        <f t="shared" si="8"/>
        <v>598.9581992790778</v>
      </c>
      <c r="BI35" s="62">
        <f ca="1">AVERAGE(OFFSET($BH$3,0,0,'Données projet'!$E$11+1,1))-AVERAGE(OFFSET($H$3,0,0,'Données projet'!$E$11+1,1))</f>
        <v>258.1884172762135</v>
      </c>
      <c r="BJ35" s="62">
        <f t="shared" si="38"/>
        <v>356.36714671797864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23.262460733843145</v>
      </c>
      <c r="BR35" s="23">
        <f>EXP(-LN(2)/2)*BR34+(1-EXP(-LN(2)/2))/(LN(2)/2)*BL35*BO35*VLOOKUP('Données projet'!$B$11,Paramètres!$A$1:$I$88,3,0)*0.475*44/12</f>
        <v>8.7846426422588539</v>
      </c>
      <c r="BS35" s="24">
        <f t="shared" si="9"/>
        <v>32.047103376102001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14.2</v>
      </c>
      <c r="BY35" s="13">
        <f>IF('Données projet'!$A$114&gt;35,BY34+BX35-CG34,IF(A35&lt;'Données projet'!$A$114,$BV$205^A35,IF(A35='Données projet'!$A$114,'Données projet'!$B$114,BY34+BX35-CG34)))</f>
        <v>183.39999999999998</v>
      </c>
      <c r="BZ35" s="14">
        <f>BY35*VLOOKUP('Données projet'!$B$12,Paramètres!$A$1:$I$88,3,0)*VLOOKUP('Données projet'!$B$12,Paramètres!$A$1:$I$88,5,0)</f>
        <v>109.67319999999999</v>
      </c>
      <c r="CA35" s="14">
        <f t="shared" si="39"/>
        <v>29.253974615622084</v>
      </c>
      <c r="CB35" s="22">
        <f t="shared" si="10"/>
        <v>241.96482912220847</v>
      </c>
      <c r="CC35" s="62">
        <f t="shared" si="11"/>
        <v>535.29816245554184</v>
      </c>
      <c r="CD35" s="62">
        <f ca="1">AVERAGE(OFFSET($CC$3,0,0,'Données projet'!$E$12+1,1))-AVERAGE(OFFSET($H$3,0,0,'Données projet'!$E$12+1,1))</f>
        <v>201.94015973767443</v>
      </c>
      <c r="CE35" s="62">
        <f t="shared" si="40"/>
        <v>287.12228849146032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14.474565543675833</v>
      </c>
      <c r="CM35" s="23">
        <f>EXP(-LN(2)/2)*CM34+(1-EXP(-LN(2)/2))/(LN(2)/2)*CG35*CJ35*VLOOKUP('Données projet'!$B$12,Paramètres!$A$1:$I$88,3,0)*0.475*44/12</f>
        <v>6.2049213939725254</v>
      </c>
      <c r="CN35" s="24">
        <f t="shared" si="12"/>
        <v>20.67948693764836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14.2</v>
      </c>
      <c r="N36" s="14">
        <f>IF('Données projet'!$A$36&gt;35,N35+M36-V35,IF(A36&lt;'Données projet'!$A$36,$K$205^A36,IF(A36='Données projet'!$A$36,'Données projet'!$B$36,N35+M36-V35)))</f>
        <v>197.59999999999997</v>
      </c>
      <c r="O36" s="14">
        <f>N36*VLOOKUP('Données projet'!$B$9,Paramètres!$A$1:$I$88,3,0)*VLOOKUP('Données projet'!$B$9,Paramètres!$A$1:$I$88,5,0)</f>
        <v>118.16479999999999</v>
      </c>
      <c r="P36" s="14">
        <f t="shared" si="33"/>
        <v>31.246585867858006</v>
      </c>
      <c r="Q36" s="22">
        <f t="shared" si="53"/>
        <v>260.22483038651933</v>
      </c>
      <c r="R36" s="62">
        <f t="shared" si="0"/>
        <v>553.5581637198527</v>
      </c>
      <c r="S36" s="62">
        <f ca="1">AVERAGE(OFFSET($R$3,0,0,'Données projet'!$E$9+1,1))-AVERAGE(OFFSET($H$3,0,0,'Données projet'!$E$9+1,1))</f>
        <v>201.94015973767443</v>
      </c>
      <c r="T36" s="62">
        <f t="shared" si="34"/>
        <v>287.12228849146032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14.078757787699697</v>
      </c>
      <c r="AB36" s="23">
        <f>EXP(-LN(2)/2)*AB35+(1-EXP(-LN(2)/2))/(LN(2)/2)*V36*Y36*VLOOKUP('Données projet'!$B$9,Paramètres!$A$1:$I$88,3,0)*0.475*44/12</f>
        <v>4.3875419944074583</v>
      </c>
      <c r="AC36" s="24">
        <f t="shared" si="3"/>
        <v>18.466299782107157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160</v>
      </c>
      <c r="AJ36" s="14">
        <f>AI36*VLOOKUP('Données projet'!$B$10,Paramètres!$A$1:$I$88,3,0)*VLOOKUP('Données projet'!$B$10,Paramètres!$A$1:$I$88,5,0)</f>
        <v>74.88</v>
      </c>
      <c r="AK36" s="14">
        <f t="shared" si="35"/>
        <v>20.880539585643231</v>
      </c>
      <c r="AL36" s="22">
        <f t="shared" si="4"/>
        <v>166.78293977832863</v>
      </c>
      <c r="AM36" s="62">
        <f t="shared" si="5"/>
        <v>460.11627311166194</v>
      </c>
      <c r="AN36" s="62">
        <f ca="1">AVERAGE(OFFSET($AM$3,0,0,'Données projet'!$E$10+1,1))-AVERAGE(OFFSET($H$3,0,0,'Données projet'!$E$10+1,1))</f>
        <v>135.19533066605396</v>
      </c>
      <c r="AO36" s="62">
        <f t="shared" si="36"/>
        <v>213.60182977243113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7.0104833100836714</v>
      </c>
      <c r="AW36" s="23">
        <f>EXP(-LN(2)/2)*AW35+(1-EXP(-LN(2)/2))/(LN(2)/2)*AQ36*AT36*VLOOKUP('Données projet'!$B$10,Paramètres!$A$1:$I$88,3,0)*0.475*44/12</f>
        <v>3.2972286634759471</v>
      </c>
      <c r="AX36" s="23">
        <f t="shared" si="6"/>
        <v>10.307711973559618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19</v>
      </c>
      <c r="BD36" s="13">
        <f>IF('Données projet'!$A$88&gt;35,BD35+BC36-BL35,IF(A36&lt;'Données projet'!$A$88,$BA$205^A36,IF(A36='Données projet'!$A$88,'Données projet'!$B$88,BD35+BC36-BL35)))</f>
        <v>252.00000000000011</v>
      </c>
      <c r="BE36" s="14">
        <f>BD36*VLOOKUP('Données projet'!$B$11,Paramètres!$A$1:$I$88,3,0)*VLOOKUP('Données projet'!$B$11,Paramètres!$A$1:$I$88,5,0)</f>
        <v>150.69600000000008</v>
      </c>
      <c r="BF36" s="14">
        <f t="shared" si="37"/>
        <v>38.736711478840668</v>
      </c>
      <c r="BG36" s="22">
        <f t="shared" si="7"/>
        <v>329.92863915898096</v>
      </c>
      <c r="BH36" s="62">
        <f t="shared" si="8"/>
        <v>623.26197249231427</v>
      </c>
      <c r="BI36" s="62">
        <f ca="1">AVERAGE(OFFSET($BH$3,0,0,'Données projet'!$E$11+1,1))-AVERAGE(OFFSET($H$3,0,0,'Données projet'!$E$11+1,1))</f>
        <v>258.1884172762135</v>
      </c>
      <c r="BJ36" s="62">
        <f t="shared" si="38"/>
        <v>356.36714671797864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22.626347521756561</v>
      </c>
      <c r="BR36" s="23">
        <f>EXP(-LN(2)/2)*BR35+(1-EXP(-LN(2)/2))/(LN(2)/2)*BL36*BO36*VLOOKUP('Données projet'!$B$11,Paramètres!$A$1:$I$88,3,0)*0.475*44/12</f>
        <v>6.2116803826417462</v>
      </c>
      <c r="BS36" s="24">
        <f t="shared" si="9"/>
        <v>28.838027904398306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14.2</v>
      </c>
      <c r="BY36" s="13">
        <f>IF('Données projet'!$A$114&gt;35,BY35+BX36-CG35,IF(A36&lt;'Données projet'!$A$114,$BV$205^A36,IF(A36='Données projet'!$A$114,'Données projet'!$B$114,BY35+BX36-CG35)))</f>
        <v>197.59999999999997</v>
      </c>
      <c r="BZ36" s="14">
        <f>BY36*VLOOKUP('Données projet'!$B$12,Paramètres!$A$1:$I$88,3,0)*VLOOKUP('Données projet'!$B$12,Paramètres!$A$1:$I$88,5,0)</f>
        <v>118.16479999999999</v>
      </c>
      <c r="CA36" s="14">
        <f t="shared" si="39"/>
        <v>31.246585867858006</v>
      </c>
      <c r="CB36" s="22">
        <f t="shared" si="10"/>
        <v>260.22483038651933</v>
      </c>
      <c r="CC36" s="62">
        <f t="shared" si="11"/>
        <v>553.5581637198527</v>
      </c>
      <c r="CD36" s="62">
        <f ca="1">AVERAGE(OFFSET($CC$3,0,0,'Données projet'!$E$12+1,1))-AVERAGE(OFFSET($H$3,0,0,'Données projet'!$E$12+1,1))</f>
        <v>201.94015973767443</v>
      </c>
      <c r="CE36" s="62">
        <f t="shared" si="40"/>
        <v>287.12228849146032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14.078757787699697</v>
      </c>
      <c r="CM36" s="23">
        <f>EXP(-LN(2)/2)*CM35+(1-EXP(-LN(2)/2))/(LN(2)/2)*CG36*CJ36*VLOOKUP('Données projet'!$B$12,Paramètres!$A$1:$I$88,3,0)*0.475*44/12</f>
        <v>4.3875419944074583</v>
      </c>
      <c r="CN36" s="24">
        <f t="shared" si="12"/>
        <v>18.466299782107157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14.2</v>
      </c>
      <c r="N37" s="14">
        <f>IF('Données projet'!$A$36&gt;35,N36+M37-V36,IF(A37&lt;'Données projet'!$A$36,$K$205^A37,IF(A37='Données projet'!$A$36,'Données projet'!$B$36,N36+M37-V36)))</f>
        <v>211.79999999999995</v>
      </c>
      <c r="O37" s="14">
        <f>N37*VLOOKUP('Données projet'!$B$9,Paramètres!$A$1:$I$88,3,0)*VLOOKUP('Données projet'!$B$9,Paramètres!$A$1:$I$88,5,0)</f>
        <v>126.65639999999998</v>
      </c>
      <c r="P37" s="14">
        <f t="shared" si="33"/>
        <v>33.222583800714681</v>
      </c>
      <c r="Q37" s="22">
        <f t="shared" si="53"/>
        <v>278.45589678624464</v>
      </c>
      <c r="R37" s="62">
        <f t="shared" si="0"/>
        <v>571.78923011957795</v>
      </c>
      <c r="S37" s="62">
        <f ca="1">AVERAGE(OFFSET($R$3,0,0,'Données projet'!$E$9+1,1))-AVERAGE(OFFSET($H$3,0,0,'Données projet'!$E$9+1,1))</f>
        <v>201.94015973767443</v>
      </c>
      <c r="T37" s="62">
        <f t="shared" si="34"/>
        <v>287.12228849146032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13.693773415625355</v>
      </c>
      <c r="AB37" s="23">
        <f>EXP(-LN(2)/2)*AB36+(1-EXP(-LN(2)/2))/(LN(2)/2)*V37*Y37*VLOOKUP('Données projet'!$B$9,Paramètres!$A$1:$I$88,3,0)*0.475*44/12</f>
        <v>3.1024606969862631</v>
      </c>
      <c r="AC37" s="24">
        <f t="shared" si="3"/>
        <v>16.796234112611618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170</v>
      </c>
      <c r="AJ37" s="14">
        <f>AI37*VLOOKUP('Données projet'!$B$10,Paramètres!$A$1:$I$88,3,0)*VLOOKUP('Données projet'!$B$10,Paramètres!$A$1:$I$88,5,0)</f>
        <v>79.56</v>
      </c>
      <c r="AK37" s="14">
        <f t="shared" si="35"/>
        <v>22.029567333453311</v>
      </c>
      <c r="AL37" s="22">
        <f t="shared" si="4"/>
        <v>176.93516310576453</v>
      </c>
      <c r="AM37" s="62">
        <f t="shared" si="5"/>
        <v>470.26849643909782</v>
      </c>
      <c r="AN37" s="62">
        <f ca="1">AVERAGE(OFFSET($AM$3,0,0,'Données projet'!$E$10+1,1))-AVERAGE(OFFSET($H$3,0,0,'Données projet'!$E$10+1,1))</f>
        <v>135.19533066605396</v>
      </c>
      <c r="AO37" s="62">
        <f t="shared" si="36"/>
        <v>213.60182977243113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6.818781275304139</v>
      </c>
      <c r="AW37" s="23">
        <f>EXP(-LN(2)/2)*AW36+(1-EXP(-LN(2)/2))/(LN(2)/2)*AQ37*AT37*VLOOKUP('Données projet'!$B$10,Paramètres!$A$1:$I$88,3,0)*0.475*44/12</f>
        <v>2.3314927470664992</v>
      </c>
      <c r="AX37" s="23">
        <f t="shared" si="6"/>
        <v>9.1502740223706382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19</v>
      </c>
      <c r="BD37" s="13">
        <f>IF('Données projet'!$A$88&gt;35,BD36+BC37-BL36,IF(A37&lt;'Données projet'!$A$88,$BA$205^A37,IF(A37='Données projet'!$A$88,'Données projet'!$B$88,BD36+BC37-BL36)))</f>
        <v>271.00000000000011</v>
      </c>
      <c r="BE37" s="14">
        <f>BD37*VLOOKUP('Données projet'!$B$11,Paramètres!$A$1:$I$88,3,0)*VLOOKUP('Données projet'!$B$11,Paramètres!$A$1:$I$88,5,0)</f>
        <v>162.05800000000008</v>
      </c>
      <c r="BF37" s="14">
        <f t="shared" si="37"/>
        <v>41.306357213602411</v>
      </c>
      <c r="BG37" s="22">
        <f t="shared" si="7"/>
        <v>354.19292214702432</v>
      </c>
      <c r="BH37" s="62">
        <f t="shared" si="8"/>
        <v>647.52625548035758</v>
      </c>
      <c r="BI37" s="62">
        <f ca="1">AVERAGE(OFFSET($BH$3,0,0,'Données projet'!$E$11+1,1))-AVERAGE(OFFSET($H$3,0,0,'Données projet'!$E$11+1,1))</f>
        <v>258.1884172762135</v>
      </c>
      <c r="BJ37" s="62">
        <f t="shared" si="38"/>
        <v>356.36714671797864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22.007628858906223</v>
      </c>
      <c r="BR37" s="23">
        <f>EXP(-LN(2)/2)*BR36+(1-EXP(-LN(2)/2))/(LN(2)/2)*BL37*BO37*VLOOKUP('Données projet'!$B$11,Paramètres!$A$1:$I$88,3,0)*0.475*44/12</f>
        <v>4.392321321129427</v>
      </c>
      <c r="BS37" s="24">
        <f t="shared" si="9"/>
        <v>26.399950180035649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14.2</v>
      </c>
      <c r="BY37" s="13">
        <f>IF('Données projet'!$A$114&gt;35,BY36+BX37-CG36,IF(A37&lt;'Données projet'!$A$114,$BV$205^A37,IF(A37='Données projet'!$A$114,'Données projet'!$B$114,BY36+BX37-CG36)))</f>
        <v>211.79999999999995</v>
      </c>
      <c r="BZ37" s="14">
        <f>BY37*VLOOKUP('Données projet'!$B$12,Paramètres!$A$1:$I$88,3,0)*VLOOKUP('Données projet'!$B$12,Paramètres!$A$1:$I$88,5,0)</f>
        <v>126.65639999999998</v>
      </c>
      <c r="CA37" s="14">
        <f t="shared" si="39"/>
        <v>33.222583800714681</v>
      </c>
      <c r="CB37" s="22">
        <f t="shared" si="10"/>
        <v>278.45589678624464</v>
      </c>
      <c r="CC37" s="62">
        <f t="shared" si="11"/>
        <v>571.78923011957795</v>
      </c>
      <c r="CD37" s="62">
        <f ca="1">AVERAGE(OFFSET($CC$3,0,0,'Données projet'!$E$12+1,1))-AVERAGE(OFFSET($H$3,0,0,'Données projet'!$E$12+1,1))</f>
        <v>201.94015973767443</v>
      </c>
      <c r="CE37" s="62">
        <f t="shared" si="40"/>
        <v>287.12228849146032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13.693773415625355</v>
      </c>
      <c r="CM37" s="23">
        <f>EXP(-LN(2)/2)*CM36+(1-EXP(-LN(2)/2))/(LN(2)/2)*CG37*CJ37*VLOOKUP('Données projet'!$B$12,Paramètres!$A$1:$I$88,3,0)*0.475*44/12</f>
        <v>3.1024606969862631</v>
      </c>
      <c r="CN37" s="24">
        <f t="shared" si="12"/>
        <v>16.796234112611618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226</v>
      </c>
      <c r="L38" s="13">
        <f>VLOOKUP(A38,'Données projet'!$A$35:$I$55,9,0)</f>
        <v>14.2</v>
      </c>
      <c r="M38" s="13">
        <f t="array" ref="M38">INDEX(L:L,MIN(IF(ISNUMBER(L38:L234),ROW(L38:L234),"")))</f>
        <v>14.2</v>
      </c>
      <c r="N38" s="14">
        <f>IF('Données projet'!$A$36&gt;35,N37+M38-V37,IF(A38&lt;'Données projet'!$A$36,$K$205^A38,IF(A38='Données projet'!$A$36,'Données projet'!$B$36,N37+M38-V37)))</f>
        <v>225.99999999999994</v>
      </c>
      <c r="O38" s="14">
        <f>N38*VLOOKUP('Données projet'!$B$9,Paramètres!$A$1:$I$88,3,0)*VLOOKUP('Données projet'!$B$9,Paramètres!$A$1:$I$88,5,0)</f>
        <v>135.14799999999997</v>
      </c>
      <c r="P38" s="14">
        <f t="shared" si="33"/>
        <v>35.183208974998173</v>
      </c>
      <c r="Q38" s="22">
        <f t="shared" si="53"/>
        <v>296.6601889647884</v>
      </c>
      <c r="R38" s="62">
        <f t="shared" si="0"/>
        <v>589.99352229812166</v>
      </c>
      <c r="S38" s="62">
        <f ca="1">AVERAGE(OFFSET($R$3,0,0,'Données projet'!$E$9+1,1))-AVERAGE(OFFSET($H$3,0,0,'Données projet'!$E$9+1,1))</f>
        <v>201.94015973767443</v>
      </c>
      <c r="T38" s="62">
        <f t="shared" si="34"/>
        <v>287.12228849146032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35</v>
      </c>
      <c r="W38" s="17">
        <f>IF(ISNA(VLOOKUP(A38,'Données projet'!$A$35:$I$55,5,0)),0%,VLOOKUP(A38,'Données projet'!$A$35:$I$55,5,0)*VLOOKUP('Données projet'!$B$9,Paramètres!$A$1:$I$88,7,0))</f>
        <v>9.0000000000000011E-2</v>
      </c>
      <c r="X38" s="17">
        <f>IF(ISNA(VLOOKUP(A38,'Données projet'!$A$35:$I$55,6,0)),0%,VLOOKUP(A38,'Données projet'!$A$35:$I$55,6,0)*VLOOKUP('Données projet'!$B$9,Paramètres!$A$1:$I$88,7,0))</f>
        <v>0.20160000000000003</v>
      </c>
      <c r="Y38" s="17">
        <f>IF(ISNA(VLOOKUP(A38,'Données projet'!$A$35:$I$55,7,0)),0%,VLOOKUP(A38,'Données projet'!$A$35:$I$55,7,0))</f>
        <v>0.35200000000000004</v>
      </c>
      <c r="Z38" s="23">
        <f>EXP(-LN(2)/35)*Z37+(1-EXP(-LN(2)/35))/(LN(2)/35)*V38*W38*VLOOKUP('Données projet'!$B$9,Paramètres!$A$1:$I$88,3,0)*0.475*44/12</f>
        <v>2.4988494647114625</v>
      </c>
      <c r="AA38" s="23">
        <f>EXP(-LN(2)/25)*AA37+(1-EXP(-LN(2)/25))/(LN(2)/25)*Calculateur!V38*Calculateur!X38*VLOOKUP('Données projet'!$B$9,Paramètres!$A$1:$I$88,3,0)*0.475*44/12</f>
        <v>18.894700076051858</v>
      </c>
      <c r="AB38" s="23">
        <f>EXP(-LN(2)/2)*AB37+(1-EXP(-LN(2)/2))/(LN(2)/2)*V38*Y38*VLOOKUP('Données projet'!$B$9,Paramètres!$A$1:$I$88,3,0)*0.475*44/12</f>
        <v>10.535333936708314</v>
      </c>
      <c r="AC38" s="24">
        <f t="shared" si="3"/>
        <v>31.928883477471636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180</v>
      </c>
      <c r="AJ38" s="14">
        <f>AI38*VLOOKUP('Données projet'!$B$10,Paramètres!$A$1:$I$88,3,0)*VLOOKUP('Données projet'!$B$10,Paramètres!$A$1:$I$88,5,0)</f>
        <v>84.24</v>
      </c>
      <c r="AK38" s="14">
        <f t="shared" si="35"/>
        <v>23.170749718409468</v>
      </c>
      <c r="AL38" s="22">
        <f t="shared" si="4"/>
        <v>187.07372242622981</v>
      </c>
      <c r="AM38" s="62">
        <f t="shared" si="5"/>
        <v>480.40705575956315</v>
      </c>
      <c r="AN38" s="62">
        <f ca="1">AVERAGE(OFFSET($AM$3,0,0,'Données projet'!$E$10+1,1))-AVERAGE(OFFSET($H$3,0,0,'Données projet'!$E$10+1,1))</f>
        <v>135.19533066605396</v>
      </c>
      <c r="AO38" s="62">
        <f t="shared" si="36"/>
        <v>213.60182977243113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6.6323213427468248</v>
      </c>
      <c r="AW38" s="23">
        <f>EXP(-LN(2)/2)*AW37+(1-EXP(-LN(2)/2))/(LN(2)/2)*AQ38*AT38*VLOOKUP('Données projet'!$B$10,Paramètres!$A$1:$I$88,3,0)*0.475*44/12</f>
        <v>1.6486143317379738</v>
      </c>
      <c r="AX38" s="23">
        <f t="shared" si="6"/>
        <v>8.2809356744847982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290</v>
      </c>
      <c r="BB38" s="13">
        <f>VLOOKUP(A38,'Données projet'!$A$87:$I$107,9,0)</f>
        <v>19</v>
      </c>
      <c r="BC38" s="13">
        <f t="array" ref="BC38">INDEX(BB:BB,MIN(IF(ISNUMBER(BB38:BB234),ROW(BB38:BB234),"")))</f>
        <v>19</v>
      </c>
      <c r="BD38" s="13">
        <f>IF('Données projet'!$A$88&gt;35,BD37+BC38-BL37,IF(A38&lt;'Données projet'!$A$88,$BA$205^A38,IF(A38='Données projet'!$A$88,'Données projet'!$B$88,BD37+BC38-BL37)))</f>
        <v>290.00000000000011</v>
      </c>
      <c r="BE38" s="14">
        <f>BD38*VLOOKUP('Données projet'!$B$11,Paramètres!$A$1:$I$88,3,0)*VLOOKUP('Données projet'!$B$11,Paramètres!$A$1:$I$88,5,0)</f>
        <v>173.4200000000001</v>
      </c>
      <c r="BF38" s="14">
        <f t="shared" si="37"/>
        <v>43.85509963097244</v>
      </c>
      <c r="BG38" s="22">
        <f t="shared" si="7"/>
        <v>378.42079852394386</v>
      </c>
      <c r="BH38" s="62">
        <f t="shared" si="8"/>
        <v>671.75413185727712</v>
      </c>
      <c r="BI38" s="62">
        <f ca="1">AVERAGE(OFFSET($BH$3,0,0,'Données projet'!$E$11+1,1))-AVERAGE(OFFSET($H$3,0,0,'Données projet'!$E$11+1,1))</f>
        <v>258.1884172762135</v>
      </c>
      <c r="BJ38" s="62">
        <f t="shared" si="38"/>
        <v>356.36714671797864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49</v>
      </c>
      <c r="BM38" s="17">
        <f>IF(ISNA(VLOOKUP(A38,'Données projet'!$A$87:$I$107,5,0)),0%,VLOOKUP(A38,'Données projet'!$A$87:$I$107,5,0)*VLOOKUP('Données projet'!$B$11,Paramètres!$A$1:$I$88,7,0))</f>
        <v>9.0000000000000011E-2</v>
      </c>
      <c r="BN38" s="17">
        <f>IF(ISNA(VLOOKUP(A38,'Données projet'!$A$87:$I$107,6,0)),0%,VLOOKUP(A38,'Données projet'!$A$87:$I$107,6,0)*VLOOKUP('Données projet'!$B$11,Paramètres!$A$1:$I$88,7,0))</f>
        <v>0.20160000000000003</v>
      </c>
      <c r="BO38" s="17">
        <f>IF(ISNA(VLOOKUP(A38,'Données projet'!$A$87:$I$107,7,0)),0%,VLOOKUP(A38,'Données projet'!$A$87:$I$107,7,0))</f>
        <v>0.35200000000000004</v>
      </c>
      <c r="BP38" s="23">
        <f>EXP(-LN(2)/35)*BP37+(1-EXP(-LN(2)/35))/(LN(2)/35)*BL38*BM38*VLOOKUP('Données projet'!$B$11,Paramètres!$A$1:$I$88,3,0)*0.475*44/12</f>
        <v>3.4983892505960466</v>
      </c>
      <c r="BQ38" s="23">
        <f>EXP(-LN(2)/25)*BQ37+(1-EXP(-LN(2)/25))/(LN(2)/25)*Calculateur!BL38*Calculateur!BN38*VLOOKUP('Données projet'!$B$11,Paramètres!$A$1:$I$88,3,0)*0.475*44/12</f>
        <v>29.211366150869964</v>
      </c>
      <c r="BR38" s="23">
        <f>EXP(-LN(2)/2)*BR37+(1-EXP(-LN(2)/2))/(LN(2)/2)*BL38*BO38*VLOOKUP('Données projet'!$B$11,Paramètres!$A$1:$I$88,3,0)*0.475*44/12</f>
        <v>14.78402830662729</v>
      </c>
      <c r="BS38" s="24">
        <f t="shared" si="9"/>
        <v>47.493783708093304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226</v>
      </c>
      <c r="BW38" s="13">
        <f>VLOOKUP(A38,'Données projet'!$A$113:$I$133,9,0)</f>
        <v>14.2</v>
      </c>
      <c r="BX38" s="13">
        <f t="array" ref="BX38">INDEX(BW:BW,MIN(IF(ISNUMBER(BW38:BW234),ROW(BW38:BW234),"")))</f>
        <v>14.2</v>
      </c>
      <c r="BY38" s="13">
        <f>IF('Données projet'!$A$114&gt;35,BY37+BX38-CG37,IF(A38&lt;'Données projet'!$A$114,$BV$205^A38,IF(A38='Données projet'!$A$114,'Données projet'!$B$114,BY37+BX38-CG37)))</f>
        <v>225.99999999999994</v>
      </c>
      <c r="BZ38" s="14">
        <f>BY38*VLOOKUP('Données projet'!$B$12,Paramètres!$A$1:$I$88,3,0)*VLOOKUP('Données projet'!$B$12,Paramètres!$A$1:$I$88,5,0)</f>
        <v>135.14799999999997</v>
      </c>
      <c r="CA38" s="14">
        <f t="shared" si="39"/>
        <v>35.183208974998173</v>
      </c>
      <c r="CB38" s="22">
        <f t="shared" si="10"/>
        <v>296.6601889647884</v>
      </c>
      <c r="CC38" s="62">
        <f t="shared" si="11"/>
        <v>589.99352229812166</v>
      </c>
      <c r="CD38" s="62">
        <f ca="1">AVERAGE(OFFSET($CC$3,0,0,'Données projet'!$E$12+1,1))-AVERAGE(OFFSET($H$3,0,0,'Données projet'!$E$12+1,1))</f>
        <v>201.94015973767443</v>
      </c>
      <c r="CE38" s="62">
        <f t="shared" si="40"/>
        <v>287.12228849146032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35</v>
      </c>
      <c r="CH38" s="17">
        <f>IF(ISNA(VLOOKUP(A38,'Données projet'!$A$113:$I$133,5,0)),0%,VLOOKUP(A38,'Données projet'!$A$113:$I$133,5,0)*VLOOKUP('Données projet'!$B$12,Paramètres!$A$1:$I$88,7,0))</f>
        <v>9.0000000000000011E-2</v>
      </c>
      <c r="CI38" s="17">
        <f>IF(ISNA(VLOOKUP(A38,'Données projet'!$A$113:$I$133,6,0)),0%,VLOOKUP(A38,'Données projet'!$A$113:$I$133,6,0)*VLOOKUP('Données projet'!$B$12,Paramètres!$A$1:$I$88,7,0))</f>
        <v>0.20160000000000003</v>
      </c>
      <c r="CJ38" s="17">
        <f>IF(ISNA(VLOOKUP(A38,'Données projet'!$A$113:$I$133,7,0)),0%,VLOOKUP(A38,'Données projet'!$A$113:$I$133,7,0))</f>
        <v>0.35200000000000004</v>
      </c>
      <c r="CK38" s="23">
        <f>EXP(-LN(2)/35)*CK37+(1-EXP(-LN(2)/35))/(LN(2)/35)*CG38*CH38*VLOOKUP('Données projet'!$B$12,Paramètres!$A$1:$I$88,3,0)*0.475*44/12</f>
        <v>2.4988494647114625</v>
      </c>
      <c r="CL38" s="23">
        <f>EXP(-LN(2)/25)*CL37+(1-EXP(-LN(2)/25))/(LN(2)/25)*Calculateur!CG38*Calculateur!CI38*VLOOKUP('Données projet'!$B$12,Paramètres!$A$1:$I$88,3,0)*0.475*44/12</f>
        <v>18.894700076051858</v>
      </c>
      <c r="CM38" s="23">
        <f>EXP(-LN(2)/2)*CM37+(1-EXP(-LN(2)/2))/(LN(2)/2)*CG38*CJ38*VLOOKUP('Données projet'!$B$12,Paramètres!$A$1:$I$88,3,0)*0.475*44/12</f>
        <v>10.535333936708314</v>
      </c>
      <c r="CN38" s="24">
        <f t="shared" si="12"/>
        <v>31.928883477471636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13.2</v>
      </c>
      <c r="N39" s="14">
        <f>IF('Données projet'!$A$36&gt;35,N38+M39-V38,IF(A39&lt;'Données projet'!$A$36,$K$205^A39,IF(A39='Données projet'!$A$36,'Données projet'!$B$36,N38+M39-V38)))</f>
        <v>204.19999999999993</v>
      </c>
      <c r="O39" s="14">
        <f>N39*VLOOKUP('Données projet'!$B$9,Paramètres!$A$1:$I$88,3,0)*VLOOKUP('Données projet'!$B$9,Paramètres!$A$1:$I$88,5,0)</f>
        <v>122.11159999999997</v>
      </c>
      <c r="P39" s="14">
        <f t="shared" si="33"/>
        <v>32.166994212135911</v>
      </c>
      <c r="Q39" s="22">
        <f t="shared" si="53"/>
        <v>268.70188491946999</v>
      </c>
      <c r="R39" s="62">
        <f t="shared" si="0"/>
        <v>562.03521825280336</v>
      </c>
      <c r="S39" s="62">
        <f ca="1">AVERAGE(OFFSET($R$3,0,0,'Données projet'!$E$9+1,1))-AVERAGE(OFFSET($H$3,0,0,'Données projet'!$E$9+1,1))</f>
        <v>201.94015973767443</v>
      </c>
      <c r="T39" s="62">
        <f t="shared" si="34"/>
        <v>287.12228849146032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2.4498485508561472</v>
      </c>
      <c r="AA39" s="23">
        <f>EXP(-LN(2)/25)*AA38+(1-EXP(-LN(2)/25))/(LN(2)/25)*Calculateur!V39*Calculateur!X39*VLOOKUP('Données projet'!$B$9,Paramètres!$A$1:$I$88,3,0)*0.475*44/12</f>
        <v>18.378023508843128</v>
      </c>
      <c r="AB39" s="23">
        <f>EXP(-LN(2)/2)*AB38+(1-EXP(-LN(2)/2))/(LN(2)/2)*V39*Y39*VLOOKUP('Données projet'!$B$9,Paramètres!$A$1:$I$88,3,0)*0.475*44/12</f>
        <v>7.4496060687112147</v>
      </c>
      <c r="AC39" s="24">
        <f t="shared" si="3"/>
        <v>28.27747812841049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190</v>
      </c>
      <c r="AJ39" s="14">
        <f>AI39*VLOOKUP('Données projet'!$B$10,Paramètres!$A$1:$I$88,3,0)*VLOOKUP('Données projet'!$B$10,Paramètres!$A$1:$I$88,5,0)</f>
        <v>88.919999999999987</v>
      </c>
      <c r="AK39" s="14">
        <f t="shared" si="35"/>
        <v>24.30457227046648</v>
      </c>
      <c r="AL39" s="22">
        <f t="shared" si="4"/>
        <v>197.19946337106239</v>
      </c>
      <c r="AM39" s="62">
        <f t="shared" si="5"/>
        <v>490.53279670439571</v>
      </c>
      <c r="AN39" s="62">
        <f ca="1">AVERAGE(OFFSET($AM$3,0,0,'Données projet'!$E$10+1,1))-AVERAGE(OFFSET($H$3,0,0,'Données projet'!$E$10+1,1))</f>
        <v>135.19533066605396</v>
      </c>
      <c r="AO39" s="62">
        <f t="shared" si="36"/>
        <v>213.60182977243113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6.4509601668507921</v>
      </c>
      <c r="AW39" s="23">
        <f>EXP(-LN(2)/2)*AW38+(1-EXP(-LN(2)/2))/(LN(2)/2)*AQ39*AT39*VLOOKUP('Données projet'!$B$10,Paramètres!$A$1:$I$88,3,0)*0.475*44/12</f>
        <v>1.1657463735332498</v>
      </c>
      <c r="AX39" s="23">
        <f t="shared" si="6"/>
        <v>7.6167065403840422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18.600000000000001</v>
      </c>
      <c r="BD39" s="13">
        <f>IF('Données projet'!$A$88&gt;35,BD38+BC39-BL38,IF(A39&lt;'Données projet'!$A$88,$BA$205^A39,IF(A39='Données projet'!$A$88,'Données projet'!$B$88,BD38+BC39-BL38)))</f>
        <v>259.60000000000014</v>
      </c>
      <c r="BE39" s="14">
        <f>BD39*VLOOKUP('Données projet'!$B$11,Paramètres!$A$1:$I$88,3,0)*VLOOKUP('Données projet'!$B$11,Paramètres!$A$1:$I$88,5,0)</f>
        <v>155.24080000000009</v>
      </c>
      <c r="BF39" s="14">
        <f t="shared" si="37"/>
        <v>39.767185348358026</v>
      </c>
      <c r="BG39" s="22">
        <f t="shared" si="7"/>
        <v>339.63890781505705</v>
      </c>
      <c r="BH39" s="62">
        <f t="shared" si="8"/>
        <v>632.97224114839037</v>
      </c>
      <c r="BI39" s="62">
        <f ca="1">AVERAGE(OFFSET($BH$3,0,0,'Données projet'!$E$11+1,1))-AVERAGE(OFFSET($H$3,0,0,'Données projet'!$E$11+1,1))</f>
        <v>258.1884172762135</v>
      </c>
      <c r="BJ39" s="62">
        <f t="shared" si="38"/>
        <v>356.36714671797864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3.4297879711986052</v>
      </c>
      <c r="BQ39" s="23">
        <f>EXP(-LN(2)/25)*BQ38+(1-EXP(-LN(2)/25))/(LN(2)/25)*Calculateur!BL39*Calculateur!BN39*VLOOKUP('Données projet'!$B$11,Paramètres!$A$1:$I$88,3,0)*0.475*44/12</f>
        <v>28.412579807315442</v>
      </c>
      <c r="BR39" s="23">
        <f>EXP(-LN(2)/2)*BR38+(1-EXP(-LN(2)/2))/(LN(2)/2)*BL39*BO39*VLOOKUP('Données projet'!$B$11,Paramètres!$A$1:$I$88,3,0)*0.475*44/12</f>
        <v>10.453886668870028</v>
      </c>
      <c r="BS39" s="24">
        <f t="shared" si="9"/>
        <v>42.296254447384072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13.2</v>
      </c>
      <c r="BY39" s="13">
        <f>IF('Données projet'!$A$114&gt;35,BY38+BX39-CG38,IF(A39&lt;'Données projet'!$A$114,$BV$205^A39,IF(A39='Données projet'!$A$114,'Données projet'!$B$114,BY38+BX39-CG38)))</f>
        <v>204.19999999999993</v>
      </c>
      <c r="BZ39" s="14">
        <f>BY39*VLOOKUP('Données projet'!$B$12,Paramètres!$A$1:$I$88,3,0)*VLOOKUP('Données projet'!$B$12,Paramètres!$A$1:$I$88,5,0)</f>
        <v>122.11159999999997</v>
      </c>
      <c r="CA39" s="14">
        <f t="shared" si="39"/>
        <v>32.166994212135911</v>
      </c>
      <c r="CB39" s="22">
        <f t="shared" si="10"/>
        <v>268.70188491946999</v>
      </c>
      <c r="CC39" s="62">
        <f t="shared" si="11"/>
        <v>562.03521825280336</v>
      </c>
      <c r="CD39" s="62">
        <f ca="1">AVERAGE(OFFSET($CC$3,0,0,'Données projet'!$E$12+1,1))-AVERAGE(OFFSET($H$3,0,0,'Données projet'!$E$12+1,1))</f>
        <v>201.94015973767443</v>
      </c>
      <c r="CE39" s="62">
        <f t="shared" si="40"/>
        <v>287.12228849146032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2.4498485508561472</v>
      </c>
      <c r="CL39" s="23">
        <f>EXP(-LN(2)/25)*CL38+(1-EXP(-LN(2)/25))/(LN(2)/25)*Calculateur!CG39*Calculateur!CI39*VLOOKUP('Données projet'!$B$12,Paramètres!$A$1:$I$88,3,0)*0.475*44/12</f>
        <v>18.378023508843128</v>
      </c>
      <c r="CM39" s="23">
        <f>EXP(-LN(2)/2)*CM38+(1-EXP(-LN(2)/2))/(LN(2)/2)*CG39*CJ39*VLOOKUP('Données projet'!$B$12,Paramètres!$A$1:$I$88,3,0)*0.475*44/12</f>
        <v>7.4496060687112147</v>
      </c>
      <c r="CN39" s="24">
        <f t="shared" si="12"/>
        <v>28.27747812841049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13.2</v>
      </c>
      <c r="N40" s="14">
        <f>IF('Données projet'!$A$36&gt;35,N39+M40-V39,IF(A40&lt;'Données projet'!$A$36,$K$205^A40,IF(A40='Données projet'!$A$36,'Données projet'!$B$36,N39+M40-V39)))</f>
        <v>217.39999999999992</v>
      </c>
      <c r="O40" s="14">
        <f>N40*VLOOKUP('Données projet'!$B$9,Paramètres!$A$1:$I$88,3,0)*VLOOKUP('Données projet'!$B$9,Paramètres!$A$1:$I$88,5,0)</f>
        <v>130.00519999999995</v>
      </c>
      <c r="P40" s="14">
        <f t="shared" si="33"/>
        <v>33.997560896876799</v>
      </c>
      <c r="Q40" s="22">
        <f t="shared" si="53"/>
        <v>285.63814189539363</v>
      </c>
      <c r="R40" s="62">
        <f t="shared" si="0"/>
        <v>578.97147522872694</v>
      </c>
      <c r="S40" s="62">
        <f ca="1">AVERAGE(OFFSET($R$3,0,0,'Données projet'!$E$9+1,1))-AVERAGE(OFFSET($H$3,0,0,'Données projet'!$E$9+1,1))</f>
        <v>201.94015973767443</v>
      </c>
      <c r="T40" s="62">
        <f t="shared" si="34"/>
        <v>287.12228849146032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2.4018085150339283</v>
      </c>
      <c r="AA40" s="23">
        <f>EXP(-LN(2)/25)*AA39+(1-EXP(-LN(2)/25))/(LN(2)/25)*Calculateur!V40*Calculateur!X40*VLOOKUP('Données projet'!$B$9,Paramètres!$A$1:$I$88,3,0)*0.475*44/12</f>
        <v>17.87547548953556</v>
      </c>
      <c r="AB40" s="23">
        <f>EXP(-LN(2)/2)*AB39+(1-EXP(-LN(2)/2))/(LN(2)/2)*V40*Y40*VLOOKUP('Données projet'!$B$9,Paramètres!$A$1:$I$88,3,0)*0.475*44/12</f>
        <v>5.2676669683541579</v>
      </c>
      <c r="AC40" s="24">
        <f t="shared" si="3"/>
        <v>25.544950972923644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200</v>
      </c>
      <c r="AJ40" s="14">
        <f>AI40*VLOOKUP('Données projet'!$B$10,Paramètres!$A$1:$I$88,3,0)*VLOOKUP('Données projet'!$B$10,Paramètres!$A$1:$I$88,5,0)</f>
        <v>93.600000000000009</v>
      </c>
      <c r="AK40" s="14">
        <f t="shared" si="35"/>
        <v>25.431466524572937</v>
      </c>
      <c r="AL40" s="22">
        <f t="shared" si="4"/>
        <v>207.31313753029789</v>
      </c>
      <c r="AM40" s="62">
        <f t="shared" si="5"/>
        <v>500.64647086363118</v>
      </c>
      <c r="AN40" s="62">
        <f ca="1">AVERAGE(OFFSET($AM$3,0,0,'Données projet'!$E$10+1,1))-AVERAGE(OFFSET($H$3,0,0,'Données projet'!$E$10+1,1))</f>
        <v>135.19533066605396</v>
      </c>
      <c r="AO40" s="62">
        <f t="shared" si="36"/>
        <v>213.60182977243113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6.2745583218470058</v>
      </c>
      <c r="AW40" s="23">
        <f>EXP(-LN(2)/2)*AW39+(1-EXP(-LN(2)/2))/(LN(2)/2)*AQ40*AT40*VLOOKUP('Données projet'!$B$10,Paramètres!$A$1:$I$88,3,0)*0.475*44/12</f>
        <v>0.824307165868987</v>
      </c>
      <c r="AX40" s="23">
        <f t="shared" si="6"/>
        <v>7.0988654877159929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18.600000000000001</v>
      </c>
      <c r="BD40" s="13">
        <f>IF('Données projet'!$A$88&gt;35,BD39+BC40-BL39,IF(A40&lt;'Données projet'!$A$88,$BA$205^A40,IF(A40='Données projet'!$A$88,'Données projet'!$B$88,BD39+BC40-BL39)))</f>
        <v>278.20000000000016</v>
      </c>
      <c r="BE40" s="14">
        <f>BD40*VLOOKUP('Données projet'!$B$11,Paramètres!$A$1:$I$88,3,0)*VLOOKUP('Données projet'!$B$11,Paramètres!$A$1:$I$88,5,0)</f>
        <v>166.3636000000001</v>
      </c>
      <c r="BF40" s="14">
        <f t="shared" si="37"/>
        <v>42.274568875588933</v>
      </c>
      <c r="BG40" s="22">
        <f t="shared" si="7"/>
        <v>363.3781441249842</v>
      </c>
      <c r="BH40" s="62">
        <f t="shared" si="8"/>
        <v>656.71147745831752</v>
      </c>
      <c r="BI40" s="62">
        <f ca="1">AVERAGE(OFFSET($BH$3,0,0,'Données projet'!$E$11+1,1))-AVERAGE(OFFSET($H$3,0,0,'Données projet'!$E$11+1,1))</f>
        <v>258.1884172762135</v>
      </c>
      <c r="BJ40" s="62">
        <f t="shared" si="38"/>
        <v>356.36714671797864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3.3625319210474989</v>
      </c>
      <c r="BQ40" s="23">
        <f>EXP(-LN(2)/25)*BQ39+(1-EXP(-LN(2)/25))/(LN(2)/25)*Calculateur!BL40*Calculateur!BN40*VLOOKUP('Données projet'!$B$11,Paramètres!$A$1:$I$88,3,0)*0.475*44/12</f>
        <v>27.635636318331766</v>
      </c>
      <c r="BR40" s="23">
        <f>EXP(-LN(2)/2)*BR39+(1-EXP(-LN(2)/2))/(LN(2)/2)*BL40*BO40*VLOOKUP('Données projet'!$B$11,Paramètres!$A$1:$I$88,3,0)*0.475*44/12</f>
        <v>7.3920141533136459</v>
      </c>
      <c r="BS40" s="24">
        <f t="shared" si="9"/>
        <v>38.390182392692907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13.2</v>
      </c>
      <c r="BY40" s="13">
        <f>IF('Données projet'!$A$114&gt;35,BY39+BX40-CG39,IF(A40&lt;'Données projet'!$A$114,$BV$205^A40,IF(A40='Données projet'!$A$114,'Données projet'!$B$114,BY39+BX40-CG39)))</f>
        <v>217.39999999999992</v>
      </c>
      <c r="BZ40" s="14">
        <f>BY40*VLOOKUP('Données projet'!$B$12,Paramètres!$A$1:$I$88,3,0)*VLOOKUP('Données projet'!$B$12,Paramètres!$A$1:$I$88,5,0)</f>
        <v>130.00519999999995</v>
      </c>
      <c r="CA40" s="14">
        <f t="shared" si="39"/>
        <v>33.997560896876799</v>
      </c>
      <c r="CB40" s="22">
        <f t="shared" si="10"/>
        <v>285.63814189539363</v>
      </c>
      <c r="CC40" s="62">
        <f t="shared" si="11"/>
        <v>578.97147522872694</v>
      </c>
      <c r="CD40" s="62">
        <f ca="1">AVERAGE(OFFSET($CC$3,0,0,'Données projet'!$E$12+1,1))-AVERAGE(OFFSET($H$3,0,0,'Données projet'!$E$12+1,1))</f>
        <v>201.94015973767443</v>
      </c>
      <c r="CE40" s="62">
        <f t="shared" si="40"/>
        <v>287.12228849146032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2.4018085150339283</v>
      </c>
      <c r="CL40" s="23">
        <f>EXP(-LN(2)/25)*CL39+(1-EXP(-LN(2)/25))/(LN(2)/25)*Calculateur!CG40*Calculateur!CI40*VLOOKUP('Données projet'!$B$12,Paramètres!$A$1:$I$88,3,0)*0.475*44/12</f>
        <v>17.87547548953556</v>
      </c>
      <c r="CM40" s="23">
        <f>EXP(-LN(2)/2)*CM39+(1-EXP(-LN(2)/2))/(LN(2)/2)*CG40*CJ40*VLOOKUP('Données projet'!$B$12,Paramètres!$A$1:$I$88,3,0)*0.475*44/12</f>
        <v>5.2676669683541579</v>
      </c>
      <c r="CN40" s="24">
        <f t="shared" si="12"/>
        <v>25.544950972923644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13.2</v>
      </c>
      <c r="N41" s="14">
        <f>IF('Données projet'!$A$36&gt;35,N40+M41-V40,IF(A41&lt;'Données projet'!$A$36,$K$205^A41,IF(A41='Données projet'!$A$36,'Données projet'!$B$36,N40+M41-V40)))</f>
        <v>230.59999999999991</v>
      </c>
      <c r="O41" s="14">
        <f>N41*VLOOKUP('Données projet'!$B$9,Paramètres!$A$1:$I$88,3,0)*VLOOKUP('Données projet'!$B$9,Paramètres!$A$1:$I$88,5,0)</f>
        <v>137.89879999999997</v>
      </c>
      <c r="P41" s="14">
        <f t="shared" si="33"/>
        <v>35.815227250431512</v>
      </c>
      <c r="Q41" s="22">
        <f t="shared" si="53"/>
        <v>302.55193079450152</v>
      </c>
      <c r="R41" s="62">
        <f t="shared" si="0"/>
        <v>595.88526412783483</v>
      </c>
      <c r="S41" s="62">
        <f ca="1">AVERAGE(OFFSET($R$3,0,0,'Données projet'!$E$9+1,1))-AVERAGE(OFFSET($H$3,0,0,'Données projet'!$E$9+1,1))</f>
        <v>201.94015973767443</v>
      </c>
      <c r="T41" s="62">
        <f t="shared" si="34"/>
        <v>287.12228849146032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2.3547105150126546</v>
      </c>
      <c r="AA41" s="23">
        <f>EXP(-LN(2)/25)*AA40+(1-EXP(-LN(2)/25))/(LN(2)/25)*Calculateur!V41*Calculateur!X41*VLOOKUP('Données projet'!$B$9,Paramètres!$A$1:$I$88,3,0)*0.475*44/12</f>
        <v>17.386669672243809</v>
      </c>
      <c r="AB41" s="23">
        <f>EXP(-LN(2)/2)*AB40+(1-EXP(-LN(2)/2))/(LN(2)/2)*V41*Y41*VLOOKUP('Données projet'!$B$9,Paramètres!$A$1:$I$88,3,0)*0.475*44/12</f>
        <v>3.7248030343556078</v>
      </c>
      <c r="AC41" s="24">
        <f t="shared" si="3"/>
        <v>23.46618322161207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210</v>
      </c>
      <c r="AJ41" s="14">
        <f>AI41*VLOOKUP('Données projet'!$B$10,Paramètres!$A$1:$I$88,3,0)*VLOOKUP('Données projet'!$B$10,Paramètres!$A$1:$I$88,5,0)</f>
        <v>98.28</v>
      </c>
      <c r="AK41" s="14">
        <f t="shared" si="35"/>
        <v>26.551818424463473</v>
      </c>
      <c r="AL41" s="22">
        <f t="shared" si="4"/>
        <v>217.41541708927389</v>
      </c>
      <c r="AM41" s="62">
        <f t="shared" si="5"/>
        <v>510.7487504226072</v>
      </c>
      <c r="AN41" s="62">
        <f ca="1">AVERAGE(OFFSET($AM$3,0,0,'Données projet'!$E$10+1,1))-AVERAGE(OFFSET($H$3,0,0,'Données projet'!$E$10+1,1))</f>
        <v>135.19533066605396</v>
      </c>
      <c r="AO41" s="62">
        <f t="shared" si="36"/>
        <v>213.60182977243113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6.1029801945714182</v>
      </c>
      <c r="AW41" s="23">
        <f>EXP(-LN(2)/2)*AW40+(1-EXP(-LN(2)/2))/(LN(2)/2)*AQ41*AT41*VLOOKUP('Données projet'!$B$10,Paramètres!$A$1:$I$88,3,0)*0.475*44/12</f>
        <v>0.58287318676662492</v>
      </c>
      <c r="AX41" s="23">
        <f t="shared" si="6"/>
        <v>6.6858533813380427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18.600000000000001</v>
      </c>
      <c r="BD41" s="13">
        <f>IF('Données projet'!$A$88&gt;35,BD40+BC41-BL40,IF(A41&lt;'Données projet'!$A$88,$BA$205^A41,IF(A41='Données projet'!$A$88,'Données projet'!$B$88,BD40+BC41-BL40)))</f>
        <v>296.80000000000018</v>
      </c>
      <c r="BE41" s="14">
        <f>BD41*VLOOKUP('Données projet'!$B$11,Paramètres!$A$1:$I$88,3,0)*VLOOKUP('Données projet'!$B$11,Paramètres!$A$1:$I$88,5,0)</f>
        <v>177.48640000000012</v>
      </c>
      <c r="BF41" s="14">
        <f t="shared" si="37"/>
        <v>44.762499594286361</v>
      </c>
      <c r="BG41" s="22">
        <f t="shared" si="7"/>
        <v>387.08350012671559</v>
      </c>
      <c r="BH41" s="62">
        <f t="shared" si="8"/>
        <v>680.41683346004891</v>
      </c>
      <c r="BI41" s="62">
        <f ca="1">AVERAGE(OFFSET($BH$3,0,0,'Données projet'!$E$11+1,1))-AVERAGE(OFFSET($H$3,0,0,'Données projet'!$E$11+1,1))</f>
        <v>258.1884172762135</v>
      </c>
      <c r="BJ41" s="62">
        <f t="shared" si="38"/>
        <v>356.36714671797864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3.2965947210177156</v>
      </c>
      <c r="BQ41" s="23">
        <f>EXP(-LN(2)/25)*BQ40+(1-EXP(-LN(2)/25))/(LN(2)/25)*Calculateur!BL41*Calculateur!BN41*VLOOKUP('Données projet'!$B$11,Paramètres!$A$1:$I$88,3,0)*0.475*44/12</f>
        <v>26.879938389912031</v>
      </c>
      <c r="BR41" s="23">
        <f>EXP(-LN(2)/2)*BR40+(1-EXP(-LN(2)/2))/(LN(2)/2)*BL41*BO41*VLOOKUP('Données projet'!$B$11,Paramètres!$A$1:$I$88,3,0)*0.475*44/12</f>
        <v>5.2269433344350151</v>
      </c>
      <c r="BS41" s="24">
        <f t="shared" si="9"/>
        <v>35.40347644536476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13.2</v>
      </c>
      <c r="BY41" s="13">
        <f>IF('Données projet'!$A$114&gt;35,BY40+BX41-CG40,IF(A41&lt;'Données projet'!$A$114,$BV$205^A41,IF(A41='Données projet'!$A$114,'Données projet'!$B$114,BY40+BX41-CG40)))</f>
        <v>230.59999999999991</v>
      </c>
      <c r="BZ41" s="14">
        <f>BY41*VLOOKUP('Données projet'!$B$12,Paramètres!$A$1:$I$88,3,0)*VLOOKUP('Données projet'!$B$12,Paramètres!$A$1:$I$88,5,0)</f>
        <v>137.89879999999997</v>
      </c>
      <c r="CA41" s="14">
        <f t="shared" si="39"/>
        <v>35.815227250431512</v>
      </c>
      <c r="CB41" s="22">
        <f t="shared" si="10"/>
        <v>302.55193079450152</v>
      </c>
      <c r="CC41" s="62">
        <f t="shared" si="11"/>
        <v>595.88526412783483</v>
      </c>
      <c r="CD41" s="62">
        <f ca="1">AVERAGE(OFFSET($CC$3,0,0,'Données projet'!$E$12+1,1))-AVERAGE(OFFSET($H$3,0,0,'Données projet'!$E$12+1,1))</f>
        <v>201.94015973767443</v>
      </c>
      <c r="CE41" s="62">
        <f t="shared" si="40"/>
        <v>287.12228849146032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2.3547105150126546</v>
      </c>
      <c r="CL41" s="23">
        <f>EXP(-LN(2)/25)*CL40+(1-EXP(-LN(2)/25))/(LN(2)/25)*Calculateur!CG41*Calculateur!CI41*VLOOKUP('Données projet'!$B$12,Paramètres!$A$1:$I$88,3,0)*0.475*44/12</f>
        <v>17.386669672243809</v>
      </c>
      <c r="CM41" s="23">
        <f>EXP(-LN(2)/2)*CM40+(1-EXP(-LN(2)/2))/(LN(2)/2)*CG41*CJ41*VLOOKUP('Données projet'!$B$12,Paramètres!$A$1:$I$88,3,0)*0.475*44/12</f>
        <v>3.7248030343556078</v>
      </c>
      <c r="CN41" s="24">
        <f t="shared" si="12"/>
        <v>23.46618322161207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13.2</v>
      </c>
      <c r="N42" s="14">
        <f>IF('Données projet'!$A$36&gt;35,N41+M42-V41,IF(A42&lt;'Données projet'!$A$36,$K$205^A42,IF(A42='Données projet'!$A$36,'Données projet'!$B$36,N41+M42-V41)))</f>
        <v>243.7999999999999</v>
      </c>
      <c r="O42" s="14">
        <f>N42*VLOOKUP('Données projet'!$B$9,Paramètres!$A$1:$I$88,3,0)*VLOOKUP('Données projet'!$B$9,Paramètres!$A$1:$I$88,5,0)</f>
        <v>145.79239999999996</v>
      </c>
      <c r="P42" s="14">
        <f t="shared" si="33"/>
        <v>37.620815850919378</v>
      </c>
      <c r="Q42" s="22">
        <f t="shared" si="53"/>
        <v>319.44468427368446</v>
      </c>
      <c r="R42" s="62">
        <f t="shared" si="0"/>
        <v>612.77801760701777</v>
      </c>
      <c r="S42" s="62">
        <f ca="1">AVERAGE(OFFSET($R$3,0,0,'Données projet'!$E$9+1,1))-AVERAGE(OFFSET($H$3,0,0,'Données projet'!$E$9+1,1))</f>
        <v>201.94015973767443</v>
      </c>
      <c r="T42" s="62">
        <f t="shared" si="34"/>
        <v>287.12228849146032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2.3085360780448547</v>
      </c>
      <c r="AA42" s="23">
        <f>EXP(-LN(2)/25)*AA41+(1-EXP(-LN(2)/25))/(LN(2)/25)*Calculateur!V42*Calculateur!X42*VLOOKUP('Données projet'!$B$9,Paramètres!$A$1:$I$88,3,0)*0.475*44/12</f>
        <v>16.911230275731082</v>
      </c>
      <c r="AB42" s="23">
        <f>EXP(-LN(2)/2)*AB41+(1-EXP(-LN(2)/2))/(LN(2)/2)*V42*Y42*VLOOKUP('Données projet'!$B$9,Paramètres!$A$1:$I$88,3,0)*0.475*44/12</f>
        <v>2.6338334841770794</v>
      </c>
      <c r="AC42" s="24">
        <f t="shared" si="3"/>
        <v>21.853599837953016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220</v>
      </c>
      <c r="AJ42" s="14">
        <f>AI42*VLOOKUP('Données projet'!$B$10,Paramètres!$A$1:$I$88,3,0)*VLOOKUP('Données projet'!$B$10,Paramètres!$A$1:$I$88,5,0)</f>
        <v>102.96000000000001</v>
      </c>
      <c r="AK42" s="14">
        <f t="shared" si="35"/>
        <v>27.665975080374633</v>
      </c>
      <c r="AL42" s="22">
        <f t="shared" si="4"/>
        <v>227.50690659831915</v>
      </c>
      <c r="AM42" s="62">
        <f t="shared" si="5"/>
        <v>520.84023993165249</v>
      </c>
      <c r="AN42" s="62">
        <f ca="1">AVERAGE(OFFSET($AM$3,0,0,'Données projet'!$E$10+1,1))-AVERAGE(OFFSET($H$3,0,0,'Données projet'!$E$10+1,1))</f>
        <v>135.19533066605396</v>
      </c>
      <c r="AO42" s="62">
        <f t="shared" si="36"/>
        <v>213.60182977243113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5.936093880209083</v>
      </c>
      <c r="AW42" s="23">
        <f>EXP(-LN(2)/2)*AW41+(1-EXP(-LN(2)/2))/(LN(2)/2)*AQ42*AT42*VLOOKUP('Données projet'!$B$10,Paramètres!$A$1:$I$88,3,0)*0.475*44/12</f>
        <v>0.4121535829344935</v>
      </c>
      <c r="AX42" s="23">
        <f t="shared" si="6"/>
        <v>6.3482474631435766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18.600000000000001</v>
      </c>
      <c r="BD42" s="13">
        <f>IF('Données projet'!$A$88&gt;35,BD41+BC42-BL41,IF(A42&lt;'Données projet'!$A$88,$BA$205^A42,IF(A42='Données projet'!$A$88,'Données projet'!$B$88,BD41+BC42-BL41)))</f>
        <v>315.4000000000002</v>
      </c>
      <c r="BE42" s="14">
        <f>BD42*VLOOKUP('Données projet'!$B$11,Paramètres!$A$1:$I$88,3,0)*VLOOKUP('Données projet'!$B$11,Paramètres!$A$1:$I$88,5,0)</f>
        <v>188.60920000000013</v>
      </c>
      <c r="BF42" s="14">
        <f t="shared" si="37"/>
        <v>47.232335363406804</v>
      </c>
      <c r="BG42" s="22">
        <f t="shared" si="7"/>
        <v>410.75734075793372</v>
      </c>
      <c r="BH42" s="62">
        <f t="shared" si="8"/>
        <v>704.09067409126703</v>
      </c>
      <c r="BI42" s="62">
        <f ca="1">AVERAGE(OFFSET($BH$3,0,0,'Données projet'!$E$11+1,1))-AVERAGE(OFFSET($H$3,0,0,'Données projet'!$E$11+1,1))</f>
        <v>258.1884172762135</v>
      </c>
      <c r="BJ42" s="62">
        <f t="shared" si="38"/>
        <v>356.36714671797864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3.2319505092627954</v>
      </c>
      <c r="BQ42" s="23">
        <f>EXP(-LN(2)/25)*BQ41+(1-EXP(-LN(2)/25))/(LN(2)/25)*Calculateur!BL42*Calculateur!BN42*VLOOKUP('Données projet'!$B$11,Paramètres!$A$1:$I$88,3,0)*0.475*44/12</f>
        <v>26.14490506108536</v>
      </c>
      <c r="BR42" s="23">
        <f>EXP(-LN(2)/2)*BR41+(1-EXP(-LN(2)/2))/(LN(2)/2)*BL42*BO42*VLOOKUP('Données projet'!$B$11,Paramètres!$A$1:$I$88,3,0)*0.475*44/12</f>
        <v>3.6960070766568234</v>
      </c>
      <c r="BS42" s="24">
        <f t="shared" si="9"/>
        <v>33.072862647004982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13.2</v>
      </c>
      <c r="BY42" s="13">
        <f>IF('Données projet'!$A$114&gt;35,BY41+BX42-CG41,IF(A42&lt;'Données projet'!$A$114,$BV$205^A42,IF(A42='Données projet'!$A$114,'Données projet'!$B$114,BY41+BX42-CG41)))</f>
        <v>243.7999999999999</v>
      </c>
      <c r="BZ42" s="14">
        <f>BY42*VLOOKUP('Données projet'!$B$12,Paramètres!$A$1:$I$88,3,0)*VLOOKUP('Données projet'!$B$12,Paramètres!$A$1:$I$88,5,0)</f>
        <v>145.79239999999996</v>
      </c>
      <c r="CA42" s="14">
        <f t="shared" si="39"/>
        <v>37.620815850919378</v>
      </c>
      <c r="CB42" s="22">
        <f t="shared" si="10"/>
        <v>319.44468427368446</v>
      </c>
      <c r="CC42" s="62">
        <f t="shared" si="11"/>
        <v>612.77801760701777</v>
      </c>
      <c r="CD42" s="62">
        <f ca="1">AVERAGE(OFFSET($CC$3,0,0,'Données projet'!$E$12+1,1))-AVERAGE(OFFSET($H$3,0,0,'Données projet'!$E$12+1,1))</f>
        <v>201.94015973767443</v>
      </c>
      <c r="CE42" s="62">
        <f t="shared" si="40"/>
        <v>287.12228849146032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2.3085360780448547</v>
      </c>
      <c r="CL42" s="23">
        <f>EXP(-LN(2)/25)*CL41+(1-EXP(-LN(2)/25))/(LN(2)/25)*Calculateur!CG42*Calculateur!CI42*VLOOKUP('Données projet'!$B$12,Paramètres!$A$1:$I$88,3,0)*0.475*44/12</f>
        <v>16.911230275731082</v>
      </c>
      <c r="CM42" s="23">
        <f>EXP(-LN(2)/2)*CM41+(1-EXP(-LN(2)/2))/(LN(2)/2)*CG42*CJ42*VLOOKUP('Données projet'!$B$12,Paramètres!$A$1:$I$88,3,0)*0.475*44/12</f>
        <v>2.6338334841770794</v>
      </c>
      <c r="CN42" s="24">
        <f t="shared" si="12"/>
        <v>21.853599837953016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257</v>
      </c>
      <c r="L43" s="13">
        <f>VLOOKUP(A43,'Données projet'!$A$35:$I$55,9,0)</f>
        <v>13.2</v>
      </c>
      <c r="M43" s="13">
        <f t="array" ref="M43">INDEX(L:L,MIN(IF(ISNUMBER(L43:L239),ROW(L43:L239),"")))</f>
        <v>13.2</v>
      </c>
      <c r="N43" s="14">
        <f>IF('Données projet'!$A$36&gt;35,N42+M43-V42,IF(A43&lt;'Données projet'!$A$36,$K$205^A43,IF(A43='Données projet'!$A$36,'Données projet'!$B$36,N42+M43-V42)))</f>
        <v>256.99999999999989</v>
      </c>
      <c r="O43" s="14">
        <f>N43*VLOOKUP('Données projet'!$B$9,Paramètres!$A$1:$I$88,3,0)*VLOOKUP('Données projet'!$B$9,Paramètres!$A$1:$I$88,5,0)</f>
        <v>153.68599999999995</v>
      </c>
      <c r="P43" s="14">
        <f t="shared" si="33"/>
        <v>39.415055172513398</v>
      </c>
      <c r="Q43" s="22">
        <f t="shared" si="53"/>
        <v>336.3176710921274</v>
      </c>
      <c r="R43" s="62">
        <f t="shared" si="0"/>
        <v>629.65100442546077</v>
      </c>
      <c r="S43" s="62">
        <f ca="1">AVERAGE(OFFSET($R$3,0,0,'Données projet'!$E$9+1,1))-AVERAGE(OFFSET($H$3,0,0,'Données projet'!$E$9+1,1))</f>
        <v>201.94015973767443</v>
      </c>
      <c r="T43" s="62">
        <f t="shared" si="34"/>
        <v>287.12228849146032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35</v>
      </c>
      <c r="W43" s="17">
        <f>IF(ISNA(VLOOKUP(A43,'Données projet'!$A$35:$I$55,5,0)),0%,VLOOKUP(A43,'Données projet'!$A$35:$I$55,5,0)*VLOOKUP('Données projet'!$B$9,Paramètres!$A$1:$I$88,7,0))</f>
        <v>0.18000000000000002</v>
      </c>
      <c r="X43" s="17">
        <f>IF(ISNA(VLOOKUP(A43,'Données projet'!$A$35:$I$55,6,0)),0%,VLOOKUP(A43,'Données projet'!$A$35:$I$55,6,0)*VLOOKUP('Données projet'!$B$9,Paramètres!$A$1:$I$88,7,0))</f>
        <v>0.1512</v>
      </c>
      <c r="Y43" s="17">
        <f>IF(ISNA(VLOOKUP(A43,'Données projet'!$A$35:$I$55,7,0)),0%,VLOOKUP(A43,'Données projet'!$A$35:$I$55,7,0))</f>
        <v>0.26400000000000001</v>
      </c>
      <c r="Z43" s="23">
        <f>EXP(-LN(2)/35)*Z42+(1-EXP(-LN(2)/35))/(LN(2)/35)*V43*W43*VLOOKUP('Données projet'!$B$9,Paramètres!$A$1:$I$88,3,0)*0.475*44/12</f>
        <v>7.2609660230452926</v>
      </c>
      <c r="AA43" s="23">
        <f>EXP(-LN(2)/25)*AA42+(1-EXP(-LN(2)/25))/(LN(2)/25)*Calculateur!V43*Calculateur!X43*VLOOKUP('Données projet'!$B$9,Paramètres!$A$1:$I$88,3,0)*0.475*44/12</f>
        <v>20.630329505469035</v>
      </c>
      <c r="AB43" s="23">
        <f>EXP(-LN(2)/2)*AB42+(1-EXP(-LN(2)/2))/(LN(2)/2)*V43*Y43*VLOOKUP('Données projet'!$B$9,Paramètres!$A$1:$I$88,3,0)*0.475*44/12</f>
        <v>8.1185737218062428</v>
      </c>
      <c r="AC43" s="24">
        <f t="shared" si="3"/>
        <v>36.00986925032057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230</v>
      </c>
      <c r="AJ43" s="14">
        <f>AI43*VLOOKUP('Données projet'!$B$10,Paramètres!$A$1:$I$88,3,0)*VLOOKUP('Données projet'!$B$10,Paramètres!$A$1:$I$88,5,0)</f>
        <v>107.64</v>
      </c>
      <c r="AK43" s="14">
        <f t="shared" si="35"/>
        <v>28.774250263353583</v>
      </c>
      <c r="AL43" s="22">
        <f t="shared" si="4"/>
        <v>237.58815254200749</v>
      </c>
      <c r="AM43" s="62">
        <f t="shared" si="5"/>
        <v>530.92148587534075</v>
      </c>
      <c r="AN43" s="62">
        <f ca="1">AVERAGE(OFFSET($AM$3,0,0,'Données projet'!$E$10+1,1))-AVERAGE(OFFSET($H$3,0,0,'Données projet'!$E$10+1,1))</f>
        <v>135.19533066605396</v>
      </c>
      <c r="AO43" s="62">
        <f t="shared" si="36"/>
        <v>213.60182977243113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40</v>
      </c>
      <c r="AR43" s="17">
        <f>IF(ISNA(VLOOKUP(A43,'Données projet'!$A$61:$I$81,5,0)),0%,VLOOKUP(A43,'Données projet'!$A$61:$I$81,5,0)*VLOOKUP('Données projet'!$B$10,Paramètres!$A$1:$I$88,7,0))</f>
        <v>0.11000000000000001</v>
      </c>
      <c r="AS43" s="17">
        <f>IF(ISNA(VLOOKUP(A43,'Données projet'!$A$61:$I$81,6,0)),0%,VLOOKUP(A43,'Données projet'!$A$61:$I$81,6,0)*VLOOKUP('Données projet'!$B$10,Paramètres!$A$1:$I$88,7,0))</f>
        <v>0.24640000000000006</v>
      </c>
      <c r="AT43" s="17">
        <f>IF(ISNA(VLOOKUP(A43,'Données projet'!$A$61:$I$81,7,0)),0%,VLOOKUP(A43,'Données projet'!$A$61:$I$81,7,0))</f>
        <v>0.35200000000000004</v>
      </c>
      <c r="AU43" s="23">
        <f>EXP(-LN(2)/35)*AU42+(1-EXP(-LN(2)/35))/(LN(2)/35)*AQ43*AR43*VLOOKUP('Données projet'!$B$10,Paramètres!$A$1:$I$88,3,0)*0.475*44/12</f>
        <v>2.7316615266411008</v>
      </c>
      <c r="AV43" s="23">
        <f>EXP(-LN(2)/25)*AV42+(1-EXP(-LN(2)/25))/(LN(2)/25)*Calculateur!AQ43*Calculateur!AS43*VLOOKUP('Données projet'!$B$10,Paramètres!$A$1:$I$88,3,0)*0.475*44/12</f>
        <v>11.86860037386916</v>
      </c>
      <c r="AW43" s="23">
        <f>EXP(-LN(2)/2)*AW42+(1-EXP(-LN(2)/2))/(LN(2)/2)*AQ43*AT43*VLOOKUP('Données projet'!$B$10,Paramètres!$A$1:$I$88,3,0)*0.475*44/12</f>
        <v>7.7522133839961072</v>
      </c>
      <c r="AX43" s="23">
        <f t="shared" si="6"/>
        <v>22.352475284506369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334</v>
      </c>
      <c r="BB43" s="13">
        <f>VLOOKUP(A43,'Données projet'!$A$87:$I$107,9,0)</f>
        <v>18.600000000000001</v>
      </c>
      <c r="BC43" s="13">
        <f t="array" ref="BC43">INDEX(BB:BB,MIN(IF(ISNUMBER(BB43:BB239),ROW(BB43:BB239),"")))</f>
        <v>18.600000000000001</v>
      </c>
      <c r="BD43" s="13">
        <f>IF('Données projet'!$A$88&gt;35,BD42+BC43-BL42,IF(A43&lt;'Données projet'!$A$88,$BA$205^A43,IF(A43='Données projet'!$A$88,'Données projet'!$B$88,BD42+BC43-BL42)))</f>
        <v>334.00000000000023</v>
      </c>
      <c r="BE43" s="14">
        <f>BD43*VLOOKUP('Données projet'!$B$11,Paramètres!$A$1:$I$88,3,0)*VLOOKUP('Données projet'!$B$11,Paramètres!$A$1:$I$88,5,0)</f>
        <v>199.73200000000014</v>
      </c>
      <c r="BF43" s="14">
        <f t="shared" si="37"/>
        <v>49.685264841284457</v>
      </c>
      <c r="BG43" s="22">
        <f t="shared" si="7"/>
        <v>434.40173626523733</v>
      </c>
      <c r="BH43" s="62">
        <f t="shared" si="8"/>
        <v>727.73506959857059</v>
      </c>
      <c r="BI43" s="62">
        <f ca="1">AVERAGE(OFFSET($BH$3,0,0,'Données projet'!$E$11+1,1))-AVERAGE(OFFSET($H$3,0,0,'Données projet'!$E$11+1,1))</f>
        <v>258.1884172762135</v>
      </c>
      <c r="BJ43" s="62">
        <f t="shared" si="38"/>
        <v>356.36714671797864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49</v>
      </c>
      <c r="BM43" s="17">
        <f>IF(ISNA(VLOOKUP(A43,'Données projet'!$A$87:$I$107,5,0)),0%,VLOOKUP(A43,'Données projet'!$A$87:$I$107,5,0)*VLOOKUP('Données projet'!$B$11,Paramètres!$A$1:$I$88,7,0))</f>
        <v>0.18000000000000002</v>
      </c>
      <c r="BN43" s="17">
        <f>IF(ISNA(VLOOKUP(A43,'Données projet'!$A$87:$I$107,6,0)),0%,VLOOKUP(A43,'Données projet'!$A$87:$I$107,6,0)*VLOOKUP('Données projet'!$B$11,Paramètres!$A$1:$I$88,7,0))</f>
        <v>0.1512</v>
      </c>
      <c r="BO43" s="17">
        <f>IF(ISNA(VLOOKUP(A43,'Données projet'!$A$87:$I$107,7,0)),0%,VLOOKUP(A43,'Données projet'!$A$87:$I$107,7,0))</f>
        <v>0.26400000000000001</v>
      </c>
      <c r="BP43" s="23">
        <f>EXP(-LN(2)/35)*BP42+(1-EXP(-LN(2)/35))/(LN(2)/35)*BL43*BM43*VLOOKUP('Données projet'!$B$11,Paramètres!$A$1:$I$88,3,0)*0.475*44/12</f>
        <v>10.165352432263406</v>
      </c>
      <c r="BQ43" s="23">
        <f>EXP(-LN(2)/25)*BQ42+(1-EXP(-LN(2)/25))/(LN(2)/25)*Calculateur!BL43*Calculateur!BN43*VLOOKUP('Données projet'!$B$11,Paramètres!$A$1:$I$88,3,0)*0.475*44/12</f>
        <v>31.284124052620257</v>
      </c>
      <c r="BR43" s="23">
        <f>EXP(-LN(2)/2)*BR42+(1-EXP(-LN(2)/2))/(LN(2)/2)*BL43*BO43*VLOOKUP('Données projet'!$B$11,Paramètres!$A$1:$I$88,3,0)*0.475*44/12</f>
        <v>11.372112753697323</v>
      </c>
      <c r="BS43" s="24">
        <f t="shared" si="9"/>
        <v>52.821589238580984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257</v>
      </c>
      <c r="BW43" s="13">
        <f>VLOOKUP(A43,'Données projet'!$A$113:$I$133,9,0)</f>
        <v>13.2</v>
      </c>
      <c r="BX43" s="13">
        <f t="array" ref="BX43">INDEX(BW:BW,MIN(IF(ISNUMBER(BW43:BW239),ROW(BW43:BW239),"")))</f>
        <v>13.2</v>
      </c>
      <c r="BY43" s="13">
        <f>IF('Données projet'!$A$114&gt;35,BY42+BX43-CG42,IF(A43&lt;'Données projet'!$A$114,$BV$205^A43,IF(A43='Données projet'!$A$114,'Données projet'!$B$114,BY42+BX43-CG42)))</f>
        <v>256.99999999999989</v>
      </c>
      <c r="BZ43" s="14">
        <f>BY43*VLOOKUP('Données projet'!$B$12,Paramètres!$A$1:$I$88,3,0)*VLOOKUP('Données projet'!$B$12,Paramètres!$A$1:$I$88,5,0)</f>
        <v>153.68599999999995</v>
      </c>
      <c r="CA43" s="14">
        <f t="shared" si="39"/>
        <v>39.415055172513398</v>
      </c>
      <c r="CB43" s="22">
        <f t="shared" si="10"/>
        <v>336.3176710921274</v>
      </c>
      <c r="CC43" s="62">
        <f t="shared" si="11"/>
        <v>629.65100442546077</v>
      </c>
      <c r="CD43" s="62">
        <f ca="1">AVERAGE(OFFSET($CC$3,0,0,'Données projet'!$E$12+1,1))-AVERAGE(OFFSET($H$3,0,0,'Données projet'!$E$12+1,1))</f>
        <v>201.94015973767443</v>
      </c>
      <c r="CE43" s="62">
        <f t="shared" si="40"/>
        <v>287.12228849146032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35</v>
      </c>
      <c r="CH43" s="17">
        <f>IF(ISNA(VLOOKUP(A43,'Données projet'!$A$113:$I$133,5,0)),0%,VLOOKUP(A43,'Données projet'!$A$113:$I$133,5,0)*VLOOKUP('Données projet'!$B$12,Paramètres!$A$1:$I$88,7,0))</f>
        <v>0.18000000000000002</v>
      </c>
      <c r="CI43" s="17">
        <f>IF(ISNA(VLOOKUP(A43,'Données projet'!$A$113:$I$133,6,0)),0%,VLOOKUP(A43,'Données projet'!$A$113:$I$133,6,0)*VLOOKUP('Données projet'!$B$12,Paramètres!$A$1:$I$88,7,0))</f>
        <v>0.1512</v>
      </c>
      <c r="CJ43" s="17">
        <f>IF(ISNA(VLOOKUP(A43,'Données projet'!$A$113:$I$133,7,0)),0%,VLOOKUP(A43,'Données projet'!$A$113:$I$133,7,0))</f>
        <v>0.26400000000000001</v>
      </c>
      <c r="CK43" s="23">
        <f>EXP(-LN(2)/35)*CK42+(1-EXP(-LN(2)/35))/(LN(2)/35)*CG43*CH43*VLOOKUP('Données projet'!$B$12,Paramètres!$A$1:$I$88,3,0)*0.475*44/12</f>
        <v>7.2609660230452926</v>
      </c>
      <c r="CL43" s="23">
        <f>EXP(-LN(2)/25)*CL42+(1-EXP(-LN(2)/25))/(LN(2)/25)*Calculateur!CG43*Calculateur!CI43*VLOOKUP('Données projet'!$B$12,Paramètres!$A$1:$I$88,3,0)*0.475*44/12</f>
        <v>20.630329505469035</v>
      </c>
      <c r="CM43" s="23">
        <f>EXP(-LN(2)/2)*CM42+(1-EXP(-LN(2)/2))/(LN(2)/2)*CG43*CJ43*VLOOKUP('Données projet'!$B$12,Paramètres!$A$1:$I$88,3,0)*0.475*44/12</f>
        <v>8.1185737218062428</v>
      </c>
      <c r="CN43" s="24">
        <f t="shared" si="12"/>
        <v>36.00986925032057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12</v>
      </c>
      <c r="N44" s="14">
        <f>IF('Données projet'!$A$36&gt;35,N43+M44-V43,IF(A44&lt;'Données projet'!$A$36,$K$205^A44,IF(A44='Données projet'!$A$36,'Données projet'!$B$36,N43+M44-V43)))</f>
        <v>233.99999999999989</v>
      </c>
      <c r="O44" s="14">
        <f>N44*VLOOKUP('Données projet'!$B$9,Paramètres!$A$1:$I$88,3,0)*VLOOKUP('Données projet'!$B$9,Paramètres!$A$1:$I$88,5,0)</f>
        <v>139.93199999999996</v>
      </c>
      <c r="P44" s="14">
        <f t="shared" si="33"/>
        <v>36.281427209452353</v>
      </c>
      <c r="Q44" s="22">
        <f t="shared" si="53"/>
        <v>306.90505238979614</v>
      </c>
      <c r="R44" s="62">
        <f t="shared" si="0"/>
        <v>600.23838572312945</v>
      </c>
      <c r="S44" s="62">
        <f ca="1">AVERAGE(OFFSET($R$3,0,0,'Données projet'!$E$9+1,1))-AVERAGE(OFFSET($H$3,0,0,'Données projet'!$E$9+1,1))</f>
        <v>201.94015973767443</v>
      </c>
      <c r="T44" s="62">
        <f t="shared" si="34"/>
        <v>287.12228849146032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7.1185829080853456</v>
      </c>
      <c r="AA44" s="23">
        <f>EXP(-LN(2)/25)*AA43+(1-EXP(-LN(2)/25))/(LN(2)/25)*Calculateur!V44*Calculateur!X44*VLOOKUP('Données projet'!$B$9,Paramètres!$A$1:$I$88,3,0)*0.475*44/12</f>
        <v>20.066192060240105</v>
      </c>
      <c r="AB44" s="23">
        <f>EXP(-LN(2)/2)*AB43+(1-EXP(-LN(2)/2))/(LN(2)/2)*V44*Y44*VLOOKUP('Données projet'!$B$9,Paramètres!$A$1:$I$88,3,0)*0.475*44/12</f>
        <v>5.740698532252102</v>
      </c>
      <c r="AC44" s="24">
        <f t="shared" si="3"/>
        <v>32.925473500577553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</v>
      </c>
      <c r="AI44" s="14">
        <f>IF('Données projet'!$A$62&gt;35,AI43+AH44-AQ43,IF(A44&lt;'Données projet'!$A$62,$AF$205^A44,IF(A44='Données projet'!$A$62,'Données projet'!$B$62,AI43+AH44-AQ43)))</f>
        <v>200</v>
      </c>
      <c r="AJ44" s="14">
        <f>AI44*VLOOKUP('Données projet'!$B$10,Paramètres!$A$1:$I$88,3,0)*VLOOKUP('Données projet'!$B$10,Paramètres!$A$1:$I$88,5,0)</f>
        <v>93.600000000000009</v>
      </c>
      <c r="AK44" s="14">
        <f t="shared" si="35"/>
        <v>25.431466524572937</v>
      </c>
      <c r="AL44" s="22">
        <f t="shared" si="4"/>
        <v>207.31313753029789</v>
      </c>
      <c r="AM44" s="62">
        <f t="shared" si="5"/>
        <v>500.64647086363118</v>
      </c>
      <c r="AN44" s="62">
        <f ca="1">AVERAGE(OFFSET($AM$3,0,0,'Données projet'!$E$10+1,1))-AVERAGE(OFFSET($H$3,0,0,'Données projet'!$E$10+1,1))</f>
        <v>135.19533066605396</v>
      </c>
      <c r="AO44" s="62">
        <f t="shared" si="36"/>
        <v>213.60182977243113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2.6780953102526817</v>
      </c>
      <c r="AV44" s="23">
        <f>EXP(-LN(2)/25)*AV43+(1-EXP(-LN(2)/25))/(LN(2)/25)*Calculateur!AQ44*Calculateur!AS44*VLOOKUP('Données projet'!$B$10,Paramètres!$A$1:$I$88,3,0)*0.475*44/12</f>
        <v>11.544052872503141</v>
      </c>
      <c r="AW44" s="23">
        <f>EXP(-LN(2)/2)*AW43+(1-EXP(-LN(2)/2))/(LN(2)/2)*AQ44*AT44*VLOOKUP('Données projet'!$B$10,Paramètres!$A$1:$I$88,3,0)*0.475*44/12</f>
        <v>5.4816426530287607</v>
      </c>
      <c r="AX44" s="23">
        <f t="shared" si="6"/>
        <v>19.703790835784581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17.8</v>
      </c>
      <c r="BD44" s="13">
        <f>IF('Données projet'!$A$88&gt;35,BD43+BC44-BL43,IF(A44&lt;'Données projet'!$A$88,$BA$205^A44,IF(A44='Données projet'!$A$88,'Données projet'!$B$88,BD43+BC44-BL43)))</f>
        <v>302.80000000000024</v>
      </c>
      <c r="BE44" s="14">
        <f>BD44*VLOOKUP('Données projet'!$B$11,Paramètres!$A$1:$I$88,3,0)*VLOOKUP('Données projet'!$B$11,Paramètres!$A$1:$I$88,5,0)</f>
        <v>181.07440000000017</v>
      </c>
      <c r="BF44" s="14">
        <f t="shared" si="37"/>
        <v>45.561137517850739</v>
      </c>
      <c r="BG44" s="22">
        <f t="shared" si="7"/>
        <v>394.72356117692362</v>
      </c>
      <c r="BH44" s="62">
        <f t="shared" si="8"/>
        <v>688.05689451025694</v>
      </c>
      <c r="BI44" s="62">
        <f ca="1">AVERAGE(OFFSET($BH$3,0,0,'Données projet'!$E$11+1,1))-AVERAGE(OFFSET($H$3,0,0,'Données projet'!$E$11+1,1))</f>
        <v>258.1884172762135</v>
      </c>
      <c r="BJ44" s="62">
        <f t="shared" si="38"/>
        <v>356.36714671797864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9.9660160713194799</v>
      </c>
      <c r="BQ44" s="23">
        <f>EXP(-LN(2)/25)*BQ43+(1-EXP(-LN(2)/25))/(LN(2)/25)*Calculateur!BL44*Calculateur!BN44*VLOOKUP('Données projet'!$B$11,Paramètres!$A$1:$I$88,3,0)*0.475*44/12</f>
        <v>30.428658035240773</v>
      </c>
      <c r="BR44" s="23">
        <f>EXP(-LN(2)/2)*BR43+(1-EXP(-LN(2)/2))/(LN(2)/2)*BL44*BO44*VLOOKUP('Données projet'!$B$11,Paramètres!$A$1:$I$88,3,0)*0.475*44/12</f>
        <v>8.0412980445573989</v>
      </c>
      <c r="BS44" s="24">
        <f t="shared" si="9"/>
        <v>48.435972151117653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12</v>
      </c>
      <c r="BY44" s="13">
        <f>IF('Données projet'!$A$114&gt;35,BY43+BX44-CG43,IF(A44&lt;'Données projet'!$A$114,$BV$205^A44,IF(A44='Données projet'!$A$114,'Données projet'!$B$114,BY43+BX44-CG43)))</f>
        <v>233.99999999999989</v>
      </c>
      <c r="BZ44" s="14">
        <f>BY44*VLOOKUP('Données projet'!$B$12,Paramètres!$A$1:$I$88,3,0)*VLOOKUP('Données projet'!$B$12,Paramètres!$A$1:$I$88,5,0)</f>
        <v>139.93199999999996</v>
      </c>
      <c r="CA44" s="14">
        <f t="shared" si="39"/>
        <v>36.281427209452353</v>
      </c>
      <c r="CB44" s="22">
        <f t="shared" si="10"/>
        <v>306.90505238979614</v>
      </c>
      <c r="CC44" s="62">
        <f t="shared" si="11"/>
        <v>600.23838572312945</v>
      </c>
      <c r="CD44" s="62">
        <f ca="1">AVERAGE(OFFSET($CC$3,0,0,'Données projet'!$E$12+1,1))-AVERAGE(OFFSET($H$3,0,0,'Données projet'!$E$12+1,1))</f>
        <v>201.94015973767443</v>
      </c>
      <c r="CE44" s="62">
        <f t="shared" si="40"/>
        <v>287.12228849146032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7.1185829080853456</v>
      </c>
      <c r="CL44" s="23">
        <f>EXP(-LN(2)/25)*CL43+(1-EXP(-LN(2)/25))/(LN(2)/25)*Calculateur!CG44*Calculateur!CI44*VLOOKUP('Données projet'!$B$12,Paramètres!$A$1:$I$88,3,0)*0.475*44/12</f>
        <v>20.066192060240105</v>
      </c>
      <c r="CM44" s="23">
        <f>EXP(-LN(2)/2)*CM43+(1-EXP(-LN(2)/2))/(LN(2)/2)*CG44*CJ44*VLOOKUP('Données projet'!$B$12,Paramètres!$A$1:$I$88,3,0)*0.475*44/12</f>
        <v>5.740698532252102</v>
      </c>
      <c r="CN44" s="24">
        <f t="shared" si="12"/>
        <v>32.925473500577553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12</v>
      </c>
      <c r="N45" s="14">
        <f>IF('Données projet'!$A$36&gt;35,N44+M45-V44,IF(A45&lt;'Données projet'!$A$36,$K$205^A45,IF(A45='Données projet'!$A$36,'Données projet'!$B$36,N44+M45-V44)))</f>
        <v>245.99999999999989</v>
      </c>
      <c r="O45" s="14">
        <f>N45*VLOOKUP('Données projet'!$B$9,Paramètres!$A$1:$I$88,3,0)*VLOOKUP('Données projet'!$B$9,Paramètres!$A$1:$I$88,5,0)</f>
        <v>147.10799999999995</v>
      </c>
      <c r="P45" s="14">
        <f t="shared" si="33"/>
        <v>37.920625436598868</v>
      </c>
      <c r="Q45" s="22">
        <f t="shared" si="53"/>
        <v>322.25818930207623</v>
      </c>
      <c r="R45" s="62">
        <f t="shared" si="0"/>
        <v>615.59152263540955</v>
      </c>
      <c r="S45" s="62">
        <f ca="1">AVERAGE(OFFSET($R$3,0,0,'Données projet'!$E$9+1,1))-AVERAGE(OFFSET($H$3,0,0,'Données projet'!$E$9+1,1))</f>
        <v>201.94015973767443</v>
      </c>
      <c r="T45" s="62">
        <f t="shared" si="34"/>
        <v>287.12228849146032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6.9789918391646379</v>
      </c>
      <c r="AA45" s="23">
        <f>EXP(-LN(2)/25)*AA44+(1-EXP(-LN(2)/25))/(LN(2)/25)*Calculateur!V45*Calculateur!X45*VLOOKUP('Données projet'!$B$9,Paramètres!$A$1:$I$88,3,0)*0.475*44/12</f>
        <v>19.517480983117661</v>
      </c>
      <c r="AB45" s="23">
        <f>EXP(-LN(2)/2)*AB44+(1-EXP(-LN(2)/2))/(LN(2)/2)*V45*Y45*VLOOKUP('Données projet'!$B$9,Paramètres!$A$1:$I$88,3,0)*0.475*44/12</f>
        <v>4.0592868609031223</v>
      </c>
      <c r="AC45" s="24">
        <f t="shared" si="3"/>
        <v>30.555759683185421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</v>
      </c>
      <c r="AI45" s="14">
        <f>IF('Données projet'!$A$62&gt;35,AI44+AH45-AQ44,IF(A45&lt;'Données projet'!$A$62,$AF$205^A45,IF(A45='Données projet'!$A$62,'Données projet'!$B$62,AI44+AH45-AQ44)))</f>
        <v>210</v>
      </c>
      <c r="AJ45" s="14">
        <f>AI45*VLOOKUP('Données projet'!$B$10,Paramètres!$A$1:$I$88,3,0)*VLOOKUP('Données projet'!$B$10,Paramètres!$A$1:$I$88,5,0)</f>
        <v>98.28</v>
      </c>
      <c r="AK45" s="14">
        <f t="shared" si="35"/>
        <v>26.551818424463473</v>
      </c>
      <c r="AL45" s="22">
        <f t="shared" si="4"/>
        <v>217.41541708927389</v>
      </c>
      <c r="AM45" s="62">
        <f t="shared" si="5"/>
        <v>510.7487504226072</v>
      </c>
      <c r="AN45" s="62">
        <f ca="1">AVERAGE(OFFSET($AM$3,0,0,'Données projet'!$E$10+1,1))-AVERAGE(OFFSET($H$3,0,0,'Données projet'!$E$10+1,1))</f>
        <v>135.19533066605396</v>
      </c>
      <c r="AO45" s="62">
        <f t="shared" si="36"/>
        <v>213.60182977243113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2.6255794946954736</v>
      </c>
      <c r="AV45" s="23">
        <f>EXP(-LN(2)/25)*AV44+(1-EXP(-LN(2)/25))/(LN(2)/25)*Calculateur!AQ45*Calculateur!AS45*VLOOKUP('Données projet'!$B$10,Paramètres!$A$1:$I$88,3,0)*0.475*44/12</f>
        <v>11.228380139629186</v>
      </c>
      <c r="AW45" s="23">
        <f>EXP(-LN(2)/2)*AW44+(1-EXP(-LN(2)/2))/(LN(2)/2)*AQ45*AT45*VLOOKUP('Données projet'!$B$10,Paramètres!$A$1:$I$88,3,0)*0.475*44/12</f>
        <v>3.876106691998054</v>
      </c>
      <c r="AX45" s="23">
        <f t="shared" si="6"/>
        <v>17.730066326322714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17.8</v>
      </c>
      <c r="BD45" s="13">
        <f>IF('Données projet'!$A$88&gt;35,BD44+BC45-BL44,IF(A45&lt;'Données projet'!$A$88,$BA$205^A45,IF(A45='Données projet'!$A$88,'Données projet'!$B$88,BD44+BC45-BL44)))</f>
        <v>320.60000000000025</v>
      </c>
      <c r="BE45" s="14">
        <f>BD45*VLOOKUP('Données projet'!$B$11,Paramètres!$A$1:$I$88,3,0)*VLOOKUP('Données projet'!$B$11,Paramètres!$A$1:$I$88,5,0)</f>
        <v>191.71880000000016</v>
      </c>
      <c r="BF45" s="14">
        <f t="shared" si="37"/>
        <v>47.919755728135037</v>
      </c>
      <c r="BG45" s="22">
        <f t="shared" si="7"/>
        <v>417.37048455983546</v>
      </c>
      <c r="BH45" s="62">
        <f t="shared" si="8"/>
        <v>710.70381789316878</v>
      </c>
      <c r="BI45" s="62">
        <f ca="1">AVERAGE(OFFSET($BH$3,0,0,'Données projet'!$E$11+1,1))-AVERAGE(OFFSET($H$3,0,0,'Données projet'!$E$11+1,1))</f>
        <v>258.1884172762135</v>
      </c>
      <c r="BJ45" s="62">
        <f t="shared" si="38"/>
        <v>356.36714671797864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9.770588574830489</v>
      </c>
      <c r="BQ45" s="23">
        <f>EXP(-LN(2)/25)*BQ44+(1-EXP(-LN(2)/25))/(LN(2)/25)*Calculateur!BL45*Calculateur!BN45*VLOOKUP('Données projet'!$B$11,Paramètres!$A$1:$I$88,3,0)*0.475*44/12</f>
        <v>29.596584781093533</v>
      </c>
      <c r="BR45" s="23">
        <f>EXP(-LN(2)/2)*BR44+(1-EXP(-LN(2)/2))/(LN(2)/2)*BL45*BO45*VLOOKUP('Données projet'!$B$11,Paramètres!$A$1:$I$88,3,0)*0.475*44/12</f>
        <v>5.6860563768486614</v>
      </c>
      <c r="BS45" s="24">
        <f t="shared" si="9"/>
        <v>45.053229732772685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12</v>
      </c>
      <c r="BY45" s="13">
        <f>IF('Données projet'!$A$114&gt;35,BY44+BX45-CG44,IF(A45&lt;'Données projet'!$A$114,$BV$205^A45,IF(A45='Données projet'!$A$114,'Données projet'!$B$114,BY44+BX45-CG44)))</f>
        <v>245.99999999999989</v>
      </c>
      <c r="BZ45" s="14">
        <f>BY45*VLOOKUP('Données projet'!$B$12,Paramètres!$A$1:$I$88,3,0)*VLOOKUP('Données projet'!$B$12,Paramètres!$A$1:$I$88,5,0)</f>
        <v>147.10799999999995</v>
      </c>
      <c r="CA45" s="14">
        <f t="shared" si="39"/>
        <v>37.920625436598868</v>
      </c>
      <c r="CB45" s="22">
        <f t="shared" si="10"/>
        <v>322.25818930207623</v>
      </c>
      <c r="CC45" s="62">
        <f t="shared" si="11"/>
        <v>615.59152263540955</v>
      </c>
      <c r="CD45" s="62">
        <f ca="1">AVERAGE(OFFSET($CC$3,0,0,'Données projet'!$E$12+1,1))-AVERAGE(OFFSET($H$3,0,0,'Données projet'!$E$12+1,1))</f>
        <v>201.94015973767443</v>
      </c>
      <c r="CE45" s="62">
        <f t="shared" si="40"/>
        <v>287.12228849146032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6.9789918391646379</v>
      </c>
      <c r="CL45" s="23">
        <f>EXP(-LN(2)/25)*CL44+(1-EXP(-LN(2)/25))/(LN(2)/25)*Calculateur!CG45*Calculateur!CI45*VLOOKUP('Données projet'!$B$12,Paramètres!$A$1:$I$88,3,0)*0.475*44/12</f>
        <v>19.517480983117661</v>
      </c>
      <c r="CM45" s="23">
        <f>EXP(-LN(2)/2)*CM44+(1-EXP(-LN(2)/2))/(LN(2)/2)*CG45*CJ45*VLOOKUP('Données projet'!$B$12,Paramètres!$A$1:$I$88,3,0)*0.475*44/12</f>
        <v>4.0592868609031223</v>
      </c>
      <c r="CN45" s="24">
        <f t="shared" si="12"/>
        <v>30.555759683185421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12</v>
      </c>
      <c r="N46" s="14">
        <f>IF('Données projet'!$A$36&gt;35,N45+M46-V45,IF(A46&lt;'Données projet'!$A$36,$K$205^A46,IF(A46='Données projet'!$A$36,'Données projet'!$B$36,N45+M46-V45)))</f>
        <v>257.99999999999989</v>
      </c>
      <c r="O46" s="14">
        <f>N46*VLOOKUP('Données projet'!$B$9,Paramètres!$A$1:$I$88,3,0)*VLOOKUP('Données projet'!$B$9,Paramètres!$A$1:$I$88,5,0)</f>
        <v>154.28399999999993</v>
      </c>
      <c r="P46" s="14">
        <f t="shared" si="33"/>
        <v>39.550538702560999</v>
      </c>
      <c r="Q46" s="22">
        <f t="shared" si="53"/>
        <v>337.59515490696026</v>
      </c>
      <c r="R46" s="62">
        <f t="shared" si="0"/>
        <v>630.92848824029352</v>
      </c>
      <c r="S46" s="62">
        <f ca="1">AVERAGE(OFFSET($R$3,0,0,'Données projet'!$E$9+1,1))-AVERAGE(OFFSET($H$3,0,0,'Données projet'!$E$9+1,1))</f>
        <v>201.94015973767443</v>
      </c>
      <c r="T46" s="62">
        <f t="shared" si="34"/>
        <v>287.12228849146032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6.8421380659633204</v>
      </c>
      <c r="AA46" s="23">
        <f>EXP(-LN(2)/25)*AA45+(1-EXP(-LN(2)/25))/(LN(2)/25)*Calculateur!V46*Calculateur!X46*VLOOKUP('Données projet'!$B$9,Paramètres!$A$1:$I$88,3,0)*0.475*44/12</f>
        <v>18.983774439254592</v>
      </c>
      <c r="AB46" s="23">
        <f>EXP(-LN(2)/2)*AB45+(1-EXP(-LN(2)/2))/(LN(2)/2)*V46*Y46*VLOOKUP('Données projet'!$B$9,Paramètres!$A$1:$I$88,3,0)*0.475*44/12</f>
        <v>2.8703492661260515</v>
      </c>
      <c r="AC46" s="24">
        <f t="shared" si="3"/>
        <v>28.696261771343966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</v>
      </c>
      <c r="AI46" s="14">
        <f>IF('Données projet'!$A$62&gt;35,AI45+AH46-AQ45,IF(A46&lt;'Données projet'!$A$62,$AF$205^A46,IF(A46='Données projet'!$A$62,'Données projet'!$B$62,AI45+AH46-AQ45)))</f>
        <v>220</v>
      </c>
      <c r="AJ46" s="14">
        <f>AI46*VLOOKUP('Données projet'!$B$10,Paramètres!$A$1:$I$88,3,0)*VLOOKUP('Données projet'!$B$10,Paramètres!$A$1:$I$88,5,0)</f>
        <v>102.96000000000001</v>
      </c>
      <c r="AK46" s="14">
        <f t="shared" si="35"/>
        <v>27.665975080374633</v>
      </c>
      <c r="AL46" s="22">
        <f t="shared" si="4"/>
        <v>227.50690659831915</v>
      </c>
      <c r="AM46" s="62">
        <f t="shared" si="5"/>
        <v>520.84023993165249</v>
      </c>
      <c r="AN46" s="62">
        <f ca="1">AVERAGE(OFFSET($AM$3,0,0,'Données projet'!$E$10+1,1))-AVERAGE(OFFSET($H$3,0,0,'Données projet'!$E$10+1,1))</f>
        <v>135.19533066605396</v>
      </c>
      <c r="AO46" s="62">
        <f t="shared" si="36"/>
        <v>213.60182977243113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2.5740934822498573</v>
      </c>
      <c r="AV46" s="23">
        <f>EXP(-LN(2)/25)*AV45+(1-EXP(-LN(2)/25))/(LN(2)/25)*Calculateur!AQ46*Calculateur!AS46*VLOOKUP('Données projet'!$B$10,Paramètres!$A$1:$I$88,3,0)*0.475*44/12</f>
        <v>10.921339494236177</v>
      </c>
      <c r="AW46" s="23">
        <f>EXP(-LN(2)/2)*AW45+(1-EXP(-LN(2)/2))/(LN(2)/2)*AQ46*AT46*VLOOKUP('Données projet'!$B$10,Paramètres!$A$1:$I$88,3,0)*0.475*44/12</f>
        <v>2.7408213265143808</v>
      </c>
      <c r="AX46" s="23">
        <f t="shared" si="6"/>
        <v>16.236254303000415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17.8</v>
      </c>
      <c r="BD46" s="13">
        <f>IF('Données projet'!$A$88&gt;35,BD45+BC46-BL45,IF(A46&lt;'Données projet'!$A$88,$BA$205^A46,IF(A46='Données projet'!$A$88,'Données projet'!$B$88,BD45+BC46-BL45)))</f>
        <v>338.40000000000026</v>
      </c>
      <c r="BE46" s="14">
        <f>BD46*VLOOKUP('Données projet'!$B$11,Paramètres!$A$1:$I$88,3,0)*VLOOKUP('Données projet'!$B$11,Paramètres!$A$1:$I$88,5,0)</f>
        <v>202.36320000000018</v>
      </c>
      <c r="BF46" s="14">
        <f t="shared" si="37"/>
        <v>50.263171959975224</v>
      </c>
      <c r="BG46" s="22">
        <f t="shared" si="7"/>
        <v>439.99093116362383</v>
      </c>
      <c r="BH46" s="62">
        <f t="shared" si="8"/>
        <v>733.32426449695708</v>
      </c>
      <c r="BI46" s="62">
        <f ca="1">AVERAGE(OFFSET($BH$3,0,0,'Données projet'!$E$11+1,1))-AVERAGE(OFFSET($H$3,0,0,'Données projet'!$E$11+1,1))</f>
        <v>258.1884172762135</v>
      </c>
      <c r="BJ46" s="62">
        <f t="shared" si="38"/>
        <v>356.36714671797864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9.5789932923486454</v>
      </c>
      <c r="BQ46" s="23">
        <f>EXP(-LN(2)/25)*BQ45+(1-EXP(-LN(2)/25))/(LN(2)/25)*Calculateur!BL46*Calculateur!BN46*VLOOKUP('Données projet'!$B$11,Paramètres!$A$1:$I$88,3,0)*0.475*44/12</f>
        <v>28.787264613837781</v>
      </c>
      <c r="BR46" s="23">
        <f>EXP(-LN(2)/2)*BR45+(1-EXP(-LN(2)/2))/(LN(2)/2)*BL46*BO46*VLOOKUP('Données projet'!$B$11,Paramètres!$A$1:$I$88,3,0)*0.475*44/12</f>
        <v>4.0206490222786995</v>
      </c>
      <c r="BS46" s="24">
        <f t="shared" si="9"/>
        <v>42.386906928465123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12</v>
      </c>
      <c r="BY46" s="13">
        <f>IF('Données projet'!$A$114&gt;35,BY45+BX46-CG45,IF(A46&lt;'Données projet'!$A$114,$BV$205^A46,IF(A46='Données projet'!$A$114,'Données projet'!$B$114,BY45+BX46-CG45)))</f>
        <v>257.99999999999989</v>
      </c>
      <c r="BZ46" s="14">
        <f>BY46*VLOOKUP('Données projet'!$B$12,Paramètres!$A$1:$I$88,3,0)*VLOOKUP('Données projet'!$B$12,Paramètres!$A$1:$I$88,5,0)</f>
        <v>154.28399999999993</v>
      </c>
      <c r="CA46" s="14">
        <f t="shared" si="39"/>
        <v>39.550538702560999</v>
      </c>
      <c r="CB46" s="22">
        <f t="shared" si="10"/>
        <v>337.59515490696026</v>
      </c>
      <c r="CC46" s="62">
        <f t="shared" si="11"/>
        <v>630.92848824029352</v>
      </c>
      <c r="CD46" s="62">
        <f ca="1">AVERAGE(OFFSET($CC$3,0,0,'Données projet'!$E$12+1,1))-AVERAGE(OFFSET($H$3,0,0,'Données projet'!$E$12+1,1))</f>
        <v>201.94015973767443</v>
      </c>
      <c r="CE46" s="62">
        <f t="shared" si="40"/>
        <v>287.12228849146032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6.8421380659633204</v>
      </c>
      <c r="CL46" s="23">
        <f>EXP(-LN(2)/25)*CL45+(1-EXP(-LN(2)/25))/(LN(2)/25)*Calculateur!CG46*Calculateur!CI46*VLOOKUP('Données projet'!$B$12,Paramètres!$A$1:$I$88,3,0)*0.475*44/12</f>
        <v>18.983774439254592</v>
      </c>
      <c r="CM46" s="23">
        <f>EXP(-LN(2)/2)*CM45+(1-EXP(-LN(2)/2))/(LN(2)/2)*CG46*CJ46*VLOOKUP('Données projet'!$B$12,Paramètres!$A$1:$I$88,3,0)*0.475*44/12</f>
        <v>2.8703492661260515</v>
      </c>
      <c r="CN46" s="24">
        <f t="shared" si="12"/>
        <v>28.696261771343966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12</v>
      </c>
      <c r="N47" s="14">
        <f>IF('Données projet'!$A$36&gt;35,N46+M47-V46,IF(A47&lt;'Données projet'!$A$36,$K$205^A47,IF(A47='Données projet'!$A$36,'Données projet'!$B$36,N46+M47-V46)))</f>
        <v>269.99999999999989</v>
      </c>
      <c r="O47" s="14">
        <f>N47*VLOOKUP('Données projet'!$B$9,Paramètres!$A$1:$I$88,3,0)*VLOOKUP('Données projet'!$B$9,Paramètres!$A$1:$I$88,5,0)</f>
        <v>161.45999999999992</v>
      </c>
      <c r="P47" s="14">
        <f t="shared" si="33"/>
        <v>41.171648186302498</v>
      </c>
      <c r="Q47" s="22">
        <f t="shared" si="53"/>
        <v>352.91678725781003</v>
      </c>
      <c r="R47" s="62">
        <f t="shared" si="0"/>
        <v>646.25012059114329</v>
      </c>
      <c r="S47" s="62">
        <f ca="1">AVERAGE(OFFSET($R$3,0,0,'Données projet'!$E$9+1,1))-AVERAGE(OFFSET($H$3,0,0,'Données projet'!$E$9+1,1))</f>
        <v>201.94015973767443</v>
      </c>
      <c r="T47" s="62">
        <f t="shared" si="34"/>
        <v>287.12228849146032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6.707967911781922</v>
      </c>
      <c r="AA47" s="23">
        <f>EXP(-LN(2)/25)*AA46+(1-EXP(-LN(2)/25))/(LN(2)/25)*Calculateur!V47*Calculateur!X47*VLOOKUP('Données projet'!$B$9,Paramètres!$A$1:$I$88,3,0)*0.475*44/12</f>
        <v>18.464662128899867</v>
      </c>
      <c r="AB47" s="23">
        <f>EXP(-LN(2)/2)*AB46+(1-EXP(-LN(2)/2))/(LN(2)/2)*V47*Y47*VLOOKUP('Données projet'!$B$9,Paramètres!$A$1:$I$88,3,0)*0.475*44/12</f>
        <v>2.0296434304515611</v>
      </c>
      <c r="AC47" s="24">
        <f t="shared" si="3"/>
        <v>27.202273471133349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</v>
      </c>
      <c r="AI47" s="14">
        <f>IF('Données projet'!$A$62&gt;35,AI46+AH47-AQ46,IF(A47&lt;'Données projet'!$A$62,$AF$205^A47,IF(A47='Données projet'!$A$62,'Données projet'!$B$62,AI46+AH47-AQ46)))</f>
        <v>230</v>
      </c>
      <c r="AJ47" s="14">
        <f>AI47*VLOOKUP('Données projet'!$B$10,Paramètres!$A$1:$I$88,3,0)*VLOOKUP('Données projet'!$B$10,Paramètres!$A$1:$I$88,5,0)</f>
        <v>107.64</v>
      </c>
      <c r="AK47" s="14">
        <f t="shared" si="35"/>
        <v>28.774250263353583</v>
      </c>
      <c r="AL47" s="22">
        <f t="shared" si="4"/>
        <v>237.58815254200749</v>
      </c>
      <c r="AM47" s="62">
        <f t="shared" si="5"/>
        <v>530.92148587534075</v>
      </c>
      <c r="AN47" s="62">
        <f ca="1">AVERAGE(OFFSET($AM$3,0,0,'Données projet'!$E$10+1,1))-AVERAGE(OFFSET($H$3,0,0,'Données projet'!$E$10+1,1))</f>
        <v>135.19533066605396</v>
      </c>
      <c r="AO47" s="62">
        <f t="shared" si="36"/>
        <v>213.60182977243113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2.523617079104933</v>
      </c>
      <c r="AV47" s="23">
        <f>EXP(-LN(2)/25)*AV46+(1-EXP(-LN(2)/25))/(LN(2)/25)*Calculateur!AQ47*Calculateur!AS47*VLOOKUP('Données projet'!$B$10,Paramètres!$A$1:$I$88,3,0)*0.475*44/12</f>
        <v>10.622694891438005</v>
      </c>
      <c r="AW47" s="23">
        <f>EXP(-LN(2)/2)*AW46+(1-EXP(-LN(2)/2))/(LN(2)/2)*AQ47*AT47*VLOOKUP('Données projet'!$B$10,Paramètres!$A$1:$I$88,3,0)*0.475*44/12</f>
        <v>1.9380533459990272</v>
      </c>
      <c r="AX47" s="23">
        <f t="shared" si="6"/>
        <v>15.084365316541966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17.8</v>
      </c>
      <c r="BD47" s="13">
        <f>IF('Données projet'!$A$88&gt;35,BD46+BC47-BL46,IF(A47&lt;'Données projet'!$A$88,$BA$205^A47,IF(A47='Données projet'!$A$88,'Données projet'!$B$88,BD46+BC47-BL46)))</f>
        <v>356.20000000000027</v>
      </c>
      <c r="BE47" s="14">
        <f>BD47*VLOOKUP('Données projet'!$B$11,Paramètres!$A$1:$I$88,3,0)*VLOOKUP('Données projet'!$B$11,Paramètres!$A$1:$I$88,5,0)</f>
        <v>213.0076000000002</v>
      </c>
      <c r="BF47" s="14">
        <f t="shared" si="37"/>
        <v>52.592277036887687</v>
      </c>
      <c r="BG47" s="22">
        <f t="shared" si="7"/>
        <v>462.58645250591309</v>
      </c>
      <c r="BH47" s="62">
        <f t="shared" si="8"/>
        <v>755.9197858392464</v>
      </c>
      <c r="BI47" s="62">
        <f ca="1">AVERAGE(OFFSET($BH$3,0,0,'Données projet'!$E$11+1,1))-AVERAGE(OFFSET($H$3,0,0,'Données projet'!$E$11+1,1))</f>
        <v>258.1884172762135</v>
      </c>
      <c r="BJ47" s="62">
        <f t="shared" si="38"/>
        <v>356.36714671797864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9.3911550764946874</v>
      </c>
      <c r="BQ47" s="23">
        <f>EXP(-LN(2)/25)*BQ46+(1-EXP(-LN(2)/25))/(LN(2)/25)*Calculateur!BL47*Calculateur!BN47*VLOOKUP('Données projet'!$B$11,Paramètres!$A$1:$I$88,3,0)*0.475*44/12</f>
        <v>28.000075349115935</v>
      </c>
      <c r="BR47" s="23">
        <f>EXP(-LN(2)/2)*BR46+(1-EXP(-LN(2)/2))/(LN(2)/2)*BL47*BO47*VLOOKUP('Données projet'!$B$11,Paramètres!$A$1:$I$88,3,0)*0.475*44/12</f>
        <v>2.8430281884243307</v>
      </c>
      <c r="BS47" s="24">
        <f t="shared" si="9"/>
        <v>40.234258614034957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12</v>
      </c>
      <c r="BY47" s="13">
        <f>IF('Données projet'!$A$114&gt;35,BY46+BX47-CG46,IF(A47&lt;'Données projet'!$A$114,$BV$205^A47,IF(A47='Données projet'!$A$114,'Données projet'!$B$114,BY46+BX47-CG46)))</f>
        <v>269.99999999999989</v>
      </c>
      <c r="BZ47" s="14">
        <f>BY47*VLOOKUP('Données projet'!$B$12,Paramètres!$A$1:$I$88,3,0)*VLOOKUP('Données projet'!$B$12,Paramètres!$A$1:$I$88,5,0)</f>
        <v>161.45999999999992</v>
      </c>
      <c r="CA47" s="14">
        <f t="shared" si="39"/>
        <v>41.171648186302498</v>
      </c>
      <c r="CB47" s="22">
        <f t="shared" si="10"/>
        <v>352.91678725781003</v>
      </c>
      <c r="CC47" s="62">
        <f t="shared" si="11"/>
        <v>646.25012059114329</v>
      </c>
      <c r="CD47" s="62">
        <f ca="1">AVERAGE(OFFSET($CC$3,0,0,'Données projet'!$E$12+1,1))-AVERAGE(OFFSET($H$3,0,0,'Données projet'!$E$12+1,1))</f>
        <v>201.94015973767443</v>
      </c>
      <c r="CE47" s="62">
        <f t="shared" si="40"/>
        <v>287.12228849146032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6.707967911781922</v>
      </c>
      <c r="CL47" s="23">
        <f>EXP(-LN(2)/25)*CL46+(1-EXP(-LN(2)/25))/(LN(2)/25)*Calculateur!CG47*Calculateur!CI47*VLOOKUP('Données projet'!$B$12,Paramètres!$A$1:$I$88,3,0)*0.475*44/12</f>
        <v>18.464662128899867</v>
      </c>
      <c r="CM47" s="23">
        <f>EXP(-LN(2)/2)*CM46+(1-EXP(-LN(2)/2))/(LN(2)/2)*CG47*CJ47*VLOOKUP('Données projet'!$B$12,Paramètres!$A$1:$I$88,3,0)*0.475*44/12</f>
        <v>2.0296434304515611</v>
      </c>
      <c r="CN47" s="24">
        <f t="shared" si="12"/>
        <v>27.202273471133349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282</v>
      </c>
      <c r="L48" s="13">
        <f>VLOOKUP(A48,'Données projet'!$A$35:$I$55,9,0)</f>
        <v>12</v>
      </c>
      <c r="M48" s="13">
        <f t="array" ref="M48">INDEX(L:L,MIN(IF(ISNUMBER(L48:L244),ROW(L48:L244),"")))</f>
        <v>12</v>
      </c>
      <c r="N48" s="14">
        <f>IF('Données projet'!$A$36&gt;35,N47+M48-V47,IF(A48&lt;'Données projet'!$A$36,$K$205^A48,IF(A48='Données projet'!$A$36,'Données projet'!$B$36,N47+M48-V47)))</f>
        <v>281.99999999999989</v>
      </c>
      <c r="O48" s="14">
        <f>N48*VLOOKUP('Données projet'!$B$9,Paramètres!$A$1:$I$88,3,0)*VLOOKUP('Données projet'!$B$9,Paramètres!$A$1:$I$88,5,0)</f>
        <v>168.63599999999994</v>
      </c>
      <c r="P48" s="14">
        <f t="shared" si="33"/>
        <v>42.784389877117853</v>
      </c>
      <c r="Q48" s="22">
        <f t="shared" si="53"/>
        <v>368.22384570264688</v>
      </c>
      <c r="R48" s="62">
        <f t="shared" si="0"/>
        <v>661.5571790359802</v>
      </c>
      <c r="S48" s="62">
        <f ca="1">AVERAGE(OFFSET($R$3,0,0,'Données projet'!$E$9+1,1))-AVERAGE(OFFSET($H$3,0,0,'Données projet'!$E$9+1,1))</f>
        <v>201.94015973767443</v>
      </c>
      <c r="T48" s="62">
        <f t="shared" si="34"/>
        <v>287.12228849146032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35</v>
      </c>
      <c r="W48" s="17">
        <f>IF(ISNA(VLOOKUP(A48,'Données projet'!$A$35:$I$55,5,0)),0%,VLOOKUP(A48,'Données projet'!$A$35:$I$55,5,0)*VLOOKUP('Données projet'!$B$9,Paramètres!$A$1:$I$88,7,0))</f>
        <v>0.27</v>
      </c>
      <c r="X48" s="17">
        <f>IF(ISNA(VLOOKUP(A48,'Données projet'!$A$35:$I$55,6,0)),0%,VLOOKUP(A48,'Données projet'!$A$35:$I$55,6,0)*VLOOKUP('Données projet'!$B$9,Paramètres!$A$1:$I$88,7,0))</f>
        <v>0.10080000000000001</v>
      </c>
      <c r="Y48" s="17">
        <f>IF(ISNA(VLOOKUP(A48,'Données projet'!$A$35:$I$55,7,0)),0%,VLOOKUP(A48,'Données projet'!$A$35:$I$55,7,0))</f>
        <v>0.17600000000000002</v>
      </c>
      <c r="Z48" s="23">
        <f>EXP(-LN(2)/35)*Z47+(1-EXP(-LN(2)/35))/(LN(2)/35)*V48*W48*VLOOKUP('Données projet'!$B$9,Paramètres!$A$1:$I$88,3,0)*0.475*44/12</f>
        <v>14.072977146622694</v>
      </c>
      <c r="AA48" s="23">
        <f>EXP(-LN(2)/25)*AA47+(1-EXP(-LN(2)/25))/(LN(2)/25)*Calculateur!V48*Calculateur!X48*VLOOKUP('Données projet'!$B$9,Paramètres!$A$1:$I$88,3,0)*0.475*44/12</f>
        <v>20.747436779271233</v>
      </c>
      <c r="AB48" s="23">
        <f>EXP(-LN(2)/2)*AB47+(1-EXP(-LN(2)/2))/(LN(2)/2)*V48*Y48*VLOOKUP('Données projet'!$B$9,Paramètres!$A$1:$I$88,3,0)*0.475*44/12</f>
        <v>5.605956102815318</v>
      </c>
      <c r="AC48" s="24">
        <f t="shared" si="3"/>
        <v>40.42637002870925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</v>
      </c>
      <c r="AI48" s="14">
        <f>IF('Données projet'!$A$62&gt;35,AI47+AH48-AQ47,IF(A48&lt;'Données projet'!$A$62,$AF$205^A48,IF(A48='Données projet'!$A$62,'Données projet'!$B$62,AI47+AH48-AQ47)))</f>
        <v>240</v>
      </c>
      <c r="AJ48" s="14">
        <f>AI48*VLOOKUP('Données projet'!$B$10,Paramètres!$A$1:$I$88,3,0)*VLOOKUP('Données projet'!$B$10,Paramètres!$A$1:$I$88,5,0)</f>
        <v>112.32</v>
      </c>
      <c r="AK48" s="14">
        <f t="shared" si="35"/>
        <v>29.87692891707237</v>
      </c>
      <c r="AL48" s="22">
        <f t="shared" si="4"/>
        <v>247.65965119723435</v>
      </c>
      <c r="AM48" s="62">
        <f t="shared" si="5"/>
        <v>540.9929845305677</v>
      </c>
      <c r="AN48" s="62">
        <f ca="1">AVERAGE(OFFSET($AM$3,0,0,'Données projet'!$E$10+1,1))-AVERAGE(OFFSET($H$3,0,0,'Données projet'!$E$10+1,1))</f>
        <v>135.19533066605396</v>
      </c>
      <c r="AO48" s="62">
        <f t="shared" si="36"/>
        <v>213.60182977243113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2.4741304874381149</v>
      </c>
      <c r="AV48" s="23">
        <f>EXP(-LN(2)/25)*AV47+(1-EXP(-LN(2)/25))/(LN(2)/25)*Calculateur!AQ48*Calculateur!AS48*VLOOKUP('Données projet'!$B$10,Paramètres!$A$1:$I$88,3,0)*0.475*44/12</f>
        <v>10.332216741008388</v>
      </c>
      <c r="AW48" s="23">
        <f>EXP(-LN(2)/2)*AW47+(1-EXP(-LN(2)/2))/(LN(2)/2)*AQ48*AT48*VLOOKUP('Données projet'!$B$10,Paramètres!$A$1:$I$88,3,0)*0.475*44/12</f>
        <v>1.3704106632571906</v>
      </c>
      <c r="AX48" s="23">
        <f t="shared" si="6"/>
        <v>14.176757891703694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374</v>
      </c>
      <c r="BB48" s="13">
        <f>VLOOKUP(A48,'Données projet'!$A$87:$I$107,9,0)</f>
        <v>17.8</v>
      </c>
      <c r="BC48" s="13">
        <f t="array" ref="BC48">INDEX(BB:BB,MIN(IF(ISNUMBER(BB48:BB244),ROW(BB48:BB244),"")))</f>
        <v>17.8</v>
      </c>
      <c r="BD48" s="13">
        <f>IF('Données projet'!$A$88&gt;35,BD47+BC48-BL47,IF(A48&lt;'Données projet'!$A$88,$BA$205^A48,IF(A48='Données projet'!$A$88,'Données projet'!$B$88,BD47+BC48-BL47)))</f>
        <v>374.00000000000028</v>
      </c>
      <c r="BE48" s="14">
        <f>BD48*VLOOKUP('Données projet'!$B$11,Paramètres!$A$1:$I$88,3,0)*VLOOKUP('Données projet'!$B$11,Paramètres!$A$1:$I$88,5,0)</f>
        <v>223.65200000000019</v>
      </c>
      <c r="BF48" s="14">
        <f t="shared" si="37"/>
        <v>54.907867720650273</v>
      </c>
      <c r="BG48" s="22">
        <f t="shared" si="7"/>
        <v>485.15843628013289</v>
      </c>
      <c r="BH48" s="62">
        <f t="shared" si="8"/>
        <v>778.4917696134662</v>
      </c>
      <c r="BI48" s="62">
        <f ca="1">AVERAGE(OFFSET($BH$3,0,0,'Données projet'!$E$11+1,1))-AVERAGE(OFFSET($H$3,0,0,'Données projet'!$E$11+1,1))</f>
        <v>258.1884172762135</v>
      </c>
      <c r="BJ48" s="62">
        <f t="shared" si="38"/>
        <v>356.36714671797864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49</v>
      </c>
      <c r="BM48" s="17">
        <f>IF(ISNA(VLOOKUP(A48,'Données projet'!$A$87:$I$107,5,0)),0%,VLOOKUP(A48,'Données projet'!$A$87:$I$107,5,0)*VLOOKUP('Données projet'!$B$11,Paramètres!$A$1:$I$88,7,0))</f>
        <v>0.27</v>
      </c>
      <c r="BN48" s="17">
        <f>IF(ISNA(VLOOKUP(A48,'Données projet'!$A$87:$I$107,6,0)),0%,VLOOKUP(A48,'Données projet'!$A$87:$I$107,6,0)*VLOOKUP('Données projet'!$B$11,Paramètres!$A$1:$I$88,7,0))</f>
        <v>0.10080000000000001</v>
      </c>
      <c r="BO48" s="17">
        <f>IF(ISNA(VLOOKUP(A48,'Données projet'!$A$87:$I$107,7,0)),0%,VLOOKUP(A48,'Données projet'!$A$87:$I$107,7,0))</f>
        <v>0.17600000000000002</v>
      </c>
      <c r="BP48" s="23">
        <f>EXP(-LN(2)/35)*BP47+(1-EXP(-LN(2)/35))/(LN(2)/35)*BL48*BM48*VLOOKUP('Données projet'!$B$11,Paramètres!$A$1:$I$88,3,0)*0.475*44/12</f>
        <v>19.702168005271766</v>
      </c>
      <c r="BQ48" s="23">
        <f>EXP(-LN(2)/25)*BQ47+(1-EXP(-LN(2)/25))/(LN(2)/25)*Calculateur!BL48*Calculateur!BN48*VLOOKUP('Données projet'!$B$11,Paramètres!$A$1:$I$88,3,0)*0.475*44/12</f>
        <v>31.137180346455111</v>
      </c>
      <c r="BR48" s="23">
        <f>EXP(-LN(2)/2)*BR47+(1-EXP(-LN(2)/2))/(LN(2)/2)*BL48*BO48*VLOOKUP('Données projet'!$B$11,Paramètres!$A$1:$I$88,3,0)*0.475*44/12</f>
        <v>7.8494185687925579</v>
      </c>
      <c r="BS48" s="24">
        <f t="shared" si="9"/>
        <v>58.688766920519434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282</v>
      </c>
      <c r="BW48" s="13">
        <f>VLOOKUP(A48,'Données projet'!$A$113:$I$133,9,0)</f>
        <v>12</v>
      </c>
      <c r="BX48" s="13">
        <f t="array" ref="BX48">INDEX(BW:BW,MIN(IF(ISNUMBER(BW48:BW244),ROW(BW48:BW244),"")))</f>
        <v>12</v>
      </c>
      <c r="BY48" s="13">
        <f>IF('Données projet'!$A$114&gt;35,BY47+BX48-CG47,IF(A48&lt;'Données projet'!$A$114,$BV$205^A48,IF(A48='Données projet'!$A$114,'Données projet'!$B$114,BY47+BX48-CG47)))</f>
        <v>281.99999999999989</v>
      </c>
      <c r="BZ48" s="14">
        <f>BY48*VLOOKUP('Données projet'!$B$12,Paramètres!$A$1:$I$88,3,0)*VLOOKUP('Données projet'!$B$12,Paramètres!$A$1:$I$88,5,0)</f>
        <v>168.63599999999994</v>
      </c>
      <c r="CA48" s="14">
        <f t="shared" si="39"/>
        <v>42.784389877117853</v>
      </c>
      <c r="CB48" s="22">
        <f t="shared" si="10"/>
        <v>368.22384570264688</v>
      </c>
      <c r="CC48" s="62">
        <f t="shared" si="11"/>
        <v>661.5571790359802</v>
      </c>
      <c r="CD48" s="62">
        <f ca="1">AVERAGE(OFFSET($CC$3,0,0,'Données projet'!$E$12+1,1))-AVERAGE(OFFSET($H$3,0,0,'Données projet'!$E$12+1,1))</f>
        <v>201.94015973767443</v>
      </c>
      <c r="CE48" s="62">
        <f t="shared" si="40"/>
        <v>287.12228849146032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35</v>
      </c>
      <c r="CH48" s="17">
        <f>IF(ISNA(VLOOKUP(A48,'Données projet'!$A$113:$I$133,5,0)),0%,VLOOKUP(A48,'Données projet'!$A$113:$I$133,5,0)*VLOOKUP('Données projet'!$B$12,Paramètres!$A$1:$I$88,7,0))</f>
        <v>0.27</v>
      </c>
      <c r="CI48" s="17">
        <f>IF(ISNA(VLOOKUP(A48,'Données projet'!$A$113:$I$133,6,0)),0%,VLOOKUP(A48,'Données projet'!$A$113:$I$133,6,0)*VLOOKUP('Données projet'!$B$12,Paramètres!$A$1:$I$88,7,0))</f>
        <v>0.10080000000000001</v>
      </c>
      <c r="CJ48" s="17">
        <f>IF(ISNA(VLOOKUP(A48,'Données projet'!$A$113:$I$133,7,0)),0%,VLOOKUP(A48,'Données projet'!$A$113:$I$133,7,0))</f>
        <v>0.17600000000000002</v>
      </c>
      <c r="CK48" s="23">
        <f>EXP(-LN(2)/35)*CK47+(1-EXP(-LN(2)/35))/(LN(2)/35)*CG48*CH48*VLOOKUP('Données projet'!$B$12,Paramètres!$A$1:$I$88,3,0)*0.475*44/12</f>
        <v>14.072977146622694</v>
      </c>
      <c r="CL48" s="23">
        <f>EXP(-LN(2)/25)*CL47+(1-EXP(-LN(2)/25))/(LN(2)/25)*Calculateur!CG48*Calculateur!CI48*VLOOKUP('Données projet'!$B$12,Paramètres!$A$1:$I$88,3,0)*0.475*44/12</f>
        <v>20.747436779271233</v>
      </c>
      <c r="CM48" s="23">
        <f>EXP(-LN(2)/2)*CM47+(1-EXP(-LN(2)/2))/(LN(2)/2)*CG48*CJ48*VLOOKUP('Données projet'!$B$12,Paramètres!$A$1:$I$88,3,0)*0.475*44/12</f>
        <v>5.605956102815318</v>
      </c>
      <c r="CN48" s="24">
        <f t="shared" si="12"/>
        <v>40.42637002870925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11.6</v>
      </c>
      <c r="N49" s="14">
        <f>IF('Données projet'!$A$36&gt;35,N48+M49-V48,IF(A49&lt;'Données projet'!$A$36,$K$205^A49,IF(A49='Données projet'!$A$36,'Données projet'!$B$36,N48+M49-V48)))</f>
        <v>258.59999999999991</v>
      </c>
      <c r="O49" s="14">
        <f>N49*VLOOKUP('Données projet'!$B$9,Paramètres!$A$1:$I$88,3,0)*VLOOKUP('Données projet'!$B$9,Paramètres!$A$1:$I$88,5,0)</f>
        <v>154.64279999999997</v>
      </c>
      <c r="P49" s="14">
        <f t="shared" si="33"/>
        <v>39.63179947016495</v>
      </c>
      <c r="Q49" s="22">
        <f t="shared" si="53"/>
        <v>338.36159407720385</v>
      </c>
      <c r="R49" s="62">
        <f t="shared" si="0"/>
        <v>631.69492741053716</v>
      </c>
      <c r="S49" s="62">
        <f ca="1">AVERAGE(OFFSET($R$3,0,0,'Données projet'!$E$9+1,1))-AVERAGE(OFFSET($H$3,0,0,'Données projet'!$E$9+1,1))</f>
        <v>201.94015973767443</v>
      </c>
      <c r="T49" s="62">
        <f t="shared" si="34"/>
        <v>287.12228849146032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13.797014648445916</v>
      </c>
      <c r="AA49" s="23">
        <f>EXP(-LN(2)/25)*AA48+(1-EXP(-LN(2)/25))/(LN(2)/25)*Calculateur!V49*Calculateur!X49*VLOOKUP('Données projet'!$B$9,Paramètres!$A$1:$I$88,3,0)*0.475*44/12</f>
        <v>20.180097029481779</v>
      </c>
      <c r="AB49" s="23">
        <f>EXP(-LN(2)/2)*AB48+(1-EXP(-LN(2)/2))/(LN(2)/2)*V49*Y49*VLOOKUP('Données projet'!$B$9,Paramètres!$A$1:$I$88,3,0)*0.475*44/12</f>
        <v>3.9640095753348219</v>
      </c>
      <c r="AC49" s="24">
        <f t="shared" si="3"/>
        <v>37.941121253262516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</v>
      </c>
      <c r="AI49" s="14">
        <f>IF('Données projet'!$A$62&gt;35,AI48+AH49-AQ48,IF(A49&lt;'Données projet'!$A$62,$AF$205^A49,IF(A49='Données projet'!$A$62,'Données projet'!$B$62,AI48+AH49-AQ48)))</f>
        <v>250</v>
      </c>
      <c r="AJ49" s="14">
        <f>AI49*VLOOKUP('Données projet'!$B$10,Paramètres!$A$1:$I$88,3,0)*VLOOKUP('Données projet'!$B$10,Paramètres!$A$1:$I$88,5,0)</f>
        <v>117</v>
      </c>
      <c r="AK49" s="14">
        <f t="shared" si="35"/>
        <v>30.974270896484146</v>
      </c>
      <c r="AL49" s="22">
        <f t="shared" si="4"/>
        <v>257.72185514470988</v>
      </c>
      <c r="AM49" s="62">
        <f t="shared" si="5"/>
        <v>551.05518847804319</v>
      </c>
      <c r="AN49" s="62">
        <f ca="1">AVERAGE(OFFSET($AM$3,0,0,'Données projet'!$E$10+1,1))-AVERAGE(OFFSET($H$3,0,0,'Données projet'!$E$10+1,1))</f>
        <v>135.19533066605396</v>
      </c>
      <c r="AO49" s="62">
        <f t="shared" si="36"/>
        <v>213.60182977243113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2.4256142976500423</v>
      </c>
      <c r="AV49" s="23">
        <f>EXP(-LN(2)/25)*AV48+(1-EXP(-LN(2)/25))/(LN(2)/25)*Calculateur!AQ49*Calculateur!AS49*VLOOKUP('Données projet'!$B$10,Paramètres!$A$1:$I$88,3,0)*0.475*44/12</f>
        <v>10.04968173087785</v>
      </c>
      <c r="AW49" s="23">
        <f>EXP(-LN(2)/2)*AW48+(1-EXP(-LN(2)/2))/(LN(2)/2)*AQ49*AT49*VLOOKUP('Données projet'!$B$10,Paramètres!$A$1:$I$88,3,0)*0.475*44/12</f>
        <v>0.96902667299951384</v>
      </c>
      <c r="AX49" s="23">
        <f t="shared" si="6"/>
        <v>13.444322701527406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16.399999999999999</v>
      </c>
      <c r="BD49" s="13">
        <f>IF('Données projet'!$A$88&gt;35,BD48+BC49-BL48,IF(A49&lt;'Données projet'!$A$88,$BA$205^A49,IF(A49='Données projet'!$A$88,'Données projet'!$B$88,BD48+BC49-BL48)))</f>
        <v>341.40000000000026</v>
      </c>
      <c r="BE49" s="14">
        <f>BD49*VLOOKUP('Données projet'!$B$11,Paramètres!$A$1:$I$88,3,0)*VLOOKUP('Données projet'!$B$11,Paramètres!$A$1:$I$88,5,0)</f>
        <v>204.15720000000016</v>
      </c>
      <c r="BF49" s="14">
        <f t="shared" si="37"/>
        <v>50.656697660408305</v>
      </c>
      <c r="BG49" s="22">
        <f t="shared" si="7"/>
        <v>443.8008717585447</v>
      </c>
      <c r="BH49" s="62">
        <f t="shared" si="8"/>
        <v>737.13420509187802</v>
      </c>
      <c r="BI49" s="62">
        <f ca="1">AVERAGE(OFFSET($BH$3,0,0,'Données projet'!$E$11+1,1))-AVERAGE(OFFSET($H$3,0,0,'Données projet'!$E$11+1,1))</f>
        <v>258.1884172762135</v>
      </c>
      <c r="BJ49" s="62">
        <f t="shared" si="38"/>
        <v>356.36714671797864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19.315820507824277</v>
      </c>
      <c r="BQ49" s="23">
        <f>EXP(-LN(2)/25)*BQ48+(1-EXP(-LN(2)/25))/(LN(2)/25)*Calculateur!BL49*Calculateur!BN49*VLOOKUP('Données projet'!$B$11,Paramètres!$A$1:$I$88,3,0)*0.475*44/12</f>
        <v>30.285732512448146</v>
      </c>
      <c r="BR49" s="23">
        <f>EXP(-LN(2)/2)*BR48+(1-EXP(-LN(2)/2))/(LN(2)/2)*BL49*BO49*VLOOKUP('Données projet'!$B$11,Paramètres!$A$1:$I$88,3,0)*0.475*44/12</f>
        <v>5.5503770983648231</v>
      </c>
      <c r="BS49" s="24">
        <f t="shared" si="9"/>
        <v>55.151930118637239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11.6</v>
      </c>
      <c r="BY49" s="13">
        <f>IF('Données projet'!$A$114&gt;35,BY48+BX49-CG48,IF(A49&lt;'Données projet'!$A$114,$BV$205^A49,IF(A49='Données projet'!$A$114,'Données projet'!$B$114,BY48+BX49-CG48)))</f>
        <v>258.59999999999991</v>
      </c>
      <c r="BZ49" s="14">
        <f>BY49*VLOOKUP('Données projet'!$B$12,Paramètres!$A$1:$I$88,3,0)*VLOOKUP('Données projet'!$B$12,Paramètres!$A$1:$I$88,5,0)</f>
        <v>154.64279999999997</v>
      </c>
      <c r="CA49" s="14">
        <f t="shared" si="39"/>
        <v>39.63179947016495</v>
      </c>
      <c r="CB49" s="22">
        <f t="shared" si="10"/>
        <v>338.36159407720385</v>
      </c>
      <c r="CC49" s="62">
        <f t="shared" si="11"/>
        <v>631.69492741053716</v>
      </c>
      <c r="CD49" s="62">
        <f ca="1">AVERAGE(OFFSET($CC$3,0,0,'Données projet'!$E$12+1,1))-AVERAGE(OFFSET($H$3,0,0,'Données projet'!$E$12+1,1))</f>
        <v>201.94015973767443</v>
      </c>
      <c r="CE49" s="62">
        <f t="shared" si="40"/>
        <v>287.12228849146032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13.797014648445916</v>
      </c>
      <c r="CL49" s="23">
        <f>EXP(-LN(2)/25)*CL48+(1-EXP(-LN(2)/25))/(LN(2)/25)*Calculateur!CG49*Calculateur!CI49*VLOOKUP('Données projet'!$B$12,Paramètres!$A$1:$I$88,3,0)*0.475*44/12</f>
        <v>20.180097029481779</v>
      </c>
      <c r="CM49" s="23">
        <f>EXP(-LN(2)/2)*CM48+(1-EXP(-LN(2)/2))/(LN(2)/2)*CG49*CJ49*VLOOKUP('Données projet'!$B$12,Paramètres!$A$1:$I$88,3,0)*0.475*44/12</f>
        <v>3.9640095753348219</v>
      </c>
      <c r="CN49" s="24">
        <f t="shared" si="12"/>
        <v>37.941121253262516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11.6</v>
      </c>
      <c r="N50" s="14">
        <f>IF('Données projet'!$A$36&gt;35,N49+M50-V49,IF(A50&lt;'Données projet'!$A$36,$K$205^A50,IF(A50='Données projet'!$A$36,'Données projet'!$B$36,N49+M50-V49)))</f>
        <v>270.19999999999993</v>
      </c>
      <c r="O50" s="14">
        <f>N50*VLOOKUP('Données projet'!$B$9,Paramètres!$A$1:$I$88,3,0)*VLOOKUP('Données projet'!$B$9,Paramètres!$A$1:$I$88,5,0)</f>
        <v>161.57959999999997</v>
      </c>
      <c r="P50" s="14">
        <f t="shared" si="33"/>
        <v>41.198594631057283</v>
      </c>
      <c r="Q50" s="22">
        <f t="shared" si="53"/>
        <v>353.17202231575806</v>
      </c>
      <c r="R50" s="62">
        <f t="shared" si="0"/>
        <v>646.50535564909137</v>
      </c>
      <c r="S50" s="62">
        <f ca="1">AVERAGE(OFFSET($R$3,0,0,'Données projet'!$E$9+1,1))-AVERAGE(OFFSET($H$3,0,0,'Données projet'!$E$9+1,1))</f>
        <v>201.94015973767443</v>
      </c>
      <c r="T50" s="62">
        <f t="shared" si="34"/>
        <v>287.12228849146032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13.526463606537881</v>
      </c>
      <c r="AA50" s="23">
        <f>EXP(-LN(2)/25)*AA49+(1-EXP(-LN(2)/25))/(LN(2)/25)*Calculateur!V50*Calculateur!X50*VLOOKUP('Données projet'!$B$9,Paramètres!$A$1:$I$88,3,0)*0.475*44/12</f>
        <v>19.628271214985418</v>
      </c>
      <c r="AB50" s="23">
        <f>EXP(-LN(2)/2)*AB49+(1-EXP(-LN(2)/2))/(LN(2)/2)*V50*Y50*VLOOKUP('Données projet'!$B$9,Paramètres!$A$1:$I$88,3,0)*0.475*44/12</f>
        <v>2.8029780514076594</v>
      </c>
      <c r="AC50" s="24">
        <f t="shared" si="3"/>
        <v>35.957712872930955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</v>
      </c>
      <c r="AI50" s="14">
        <f>IF('Données projet'!$A$62&gt;35,AI49+AH50-AQ49,IF(A50&lt;'Données projet'!$A$62,$AF$205^A50,IF(A50='Données projet'!$A$62,'Données projet'!$B$62,AI49+AH50-AQ49)))</f>
        <v>260</v>
      </c>
      <c r="AJ50" s="14">
        <f>AI50*VLOOKUP('Données projet'!$B$10,Paramètres!$A$1:$I$88,3,0)*VLOOKUP('Données projet'!$B$10,Paramètres!$A$1:$I$88,5,0)</f>
        <v>121.67999999999999</v>
      </c>
      <c r="AK50" s="14">
        <f t="shared" si="35"/>
        <v>32.066514091456256</v>
      </c>
      <c r="AL50" s="22">
        <f t="shared" si="4"/>
        <v>267.77517870928631</v>
      </c>
      <c r="AM50" s="62">
        <f t="shared" si="5"/>
        <v>561.10851204261962</v>
      </c>
      <c r="AN50" s="62">
        <f ca="1">AVERAGE(OFFSET($AM$3,0,0,'Données projet'!$E$10+1,1))-AVERAGE(OFFSET($H$3,0,0,'Données projet'!$E$10+1,1))</f>
        <v>135.19533066605396</v>
      </c>
      <c r="AO50" s="62">
        <f t="shared" si="36"/>
        <v>213.60182977243113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2.37804948075176</v>
      </c>
      <c r="AV50" s="23">
        <f>EXP(-LN(2)/25)*AV49+(1-EXP(-LN(2)/25))/(LN(2)/25)*Calculateur!AQ50*Calculateur!AS50*VLOOKUP('Données projet'!$B$10,Paramètres!$A$1:$I$88,3,0)*0.475*44/12</f>
        <v>9.7748726554572016</v>
      </c>
      <c r="AW50" s="23">
        <f>EXP(-LN(2)/2)*AW49+(1-EXP(-LN(2)/2))/(LN(2)/2)*AQ50*AT50*VLOOKUP('Données projet'!$B$10,Paramètres!$A$1:$I$88,3,0)*0.475*44/12</f>
        <v>0.68520533162859543</v>
      </c>
      <c r="AX50" s="23">
        <f t="shared" si="6"/>
        <v>12.838127467837555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16.399999999999999</v>
      </c>
      <c r="BD50" s="13">
        <f>IF('Données projet'!$A$88&gt;35,BD49+BC50-BL49,IF(A50&lt;'Données projet'!$A$88,$BA$205^A50,IF(A50='Données projet'!$A$88,'Données projet'!$B$88,BD49+BC50-BL49)))</f>
        <v>357.80000000000024</v>
      </c>
      <c r="BE50" s="14">
        <f>BD50*VLOOKUP('Données projet'!$B$11,Paramètres!$A$1:$I$88,3,0)*VLOOKUP('Données projet'!$B$11,Paramètres!$A$1:$I$88,5,0)</f>
        <v>213.96440000000015</v>
      </c>
      <c r="BF50" s="14">
        <f t="shared" si="37"/>
        <v>52.800961630419025</v>
      </c>
      <c r="BG50" s="22">
        <f t="shared" si="7"/>
        <v>464.61633817298008</v>
      </c>
      <c r="BH50" s="62">
        <f t="shared" si="8"/>
        <v>757.94967150631339</v>
      </c>
      <c r="BI50" s="62">
        <f ca="1">AVERAGE(OFFSET($BH$3,0,0,'Données projet'!$E$11+1,1))-AVERAGE(OFFSET($H$3,0,0,'Données projet'!$E$11+1,1))</f>
        <v>258.1884172762135</v>
      </c>
      <c r="BJ50" s="62">
        <f t="shared" si="38"/>
        <v>356.36714671797864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18.937049049153028</v>
      </c>
      <c r="BQ50" s="23">
        <f>EXP(-LN(2)/25)*BQ49+(1-EXP(-LN(2)/25))/(LN(2)/25)*Calculateur!BL50*Calculateur!BN50*VLOOKUP('Données projet'!$B$11,Paramètres!$A$1:$I$88,3,0)*0.475*44/12</f>
        <v>29.457567564237799</v>
      </c>
      <c r="BR50" s="23">
        <f>EXP(-LN(2)/2)*BR49+(1-EXP(-LN(2)/2))/(LN(2)/2)*BL50*BO50*VLOOKUP('Données projet'!$B$11,Paramètres!$A$1:$I$88,3,0)*0.475*44/12</f>
        <v>3.9247092843962799</v>
      </c>
      <c r="BS50" s="24">
        <f t="shared" si="9"/>
        <v>52.319325897787103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11.6</v>
      </c>
      <c r="BY50" s="13">
        <f>IF('Données projet'!$A$114&gt;35,BY49+BX50-CG49,IF(A50&lt;'Données projet'!$A$114,$BV$205^A50,IF(A50='Données projet'!$A$114,'Données projet'!$B$114,BY49+BX50-CG49)))</f>
        <v>270.19999999999993</v>
      </c>
      <c r="BZ50" s="14">
        <f>BY50*VLOOKUP('Données projet'!$B$12,Paramètres!$A$1:$I$88,3,0)*VLOOKUP('Données projet'!$B$12,Paramètres!$A$1:$I$88,5,0)</f>
        <v>161.57959999999997</v>
      </c>
      <c r="CA50" s="14">
        <f t="shared" si="39"/>
        <v>41.198594631057283</v>
      </c>
      <c r="CB50" s="22">
        <f t="shared" si="10"/>
        <v>353.17202231575806</v>
      </c>
      <c r="CC50" s="62">
        <f t="shared" si="11"/>
        <v>646.50535564909137</v>
      </c>
      <c r="CD50" s="62">
        <f ca="1">AVERAGE(OFFSET($CC$3,0,0,'Données projet'!$E$12+1,1))-AVERAGE(OFFSET($H$3,0,0,'Données projet'!$E$12+1,1))</f>
        <v>201.94015973767443</v>
      </c>
      <c r="CE50" s="62">
        <f t="shared" si="40"/>
        <v>287.12228849146032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13.526463606537881</v>
      </c>
      <c r="CL50" s="23">
        <f>EXP(-LN(2)/25)*CL49+(1-EXP(-LN(2)/25))/(LN(2)/25)*Calculateur!CG50*Calculateur!CI50*VLOOKUP('Données projet'!$B$12,Paramètres!$A$1:$I$88,3,0)*0.475*44/12</f>
        <v>19.628271214985418</v>
      </c>
      <c r="CM50" s="23">
        <f>EXP(-LN(2)/2)*CM49+(1-EXP(-LN(2)/2))/(LN(2)/2)*CG50*CJ50*VLOOKUP('Données projet'!$B$12,Paramètres!$A$1:$I$88,3,0)*0.475*44/12</f>
        <v>2.8029780514076594</v>
      </c>
      <c r="CN50" s="24">
        <f t="shared" si="12"/>
        <v>35.957712872930955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11.6</v>
      </c>
      <c r="N51" s="14">
        <f>IF('Données projet'!$A$36&gt;35,N50+M51-V50,IF(A51&lt;'Données projet'!$A$36,$K$205^A51,IF(A51='Données projet'!$A$36,'Données projet'!$B$36,N50+M51-V50)))</f>
        <v>281.79999999999995</v>
      </c>
      <c r="O51" s="14">
        <f>N51*VLOOKUP('Données projet'!$B$9,Paramètres!$A$1:$I$88,3,0)*VLOOKUP('Données projet'!$B$9,Paramètres!$A$1:$I$88,5,0)</f>
        <v>168.51639999999998</v>
      </c>
      <c r="P51" s="14">
        <f t="shared" si="33"/>
        <v>42.757577219146505</v>
      </c>
      <c r="Q51" s="22">
        <f t="shared" si="53"/>
        <v>367.96884365668006</v>
      </c>
      <c r="R51" s="62">
        <f t="shared" si="0"/>
        <v>661.30217699001332</v>
      </c>
      <c r="S51" s="62">
        <f ca="1">AVERAGE(OFFSET($R$3,0,0,'Données projet'!$E$9+1,1))-AVERAGE(OFFSET($H$3,0,0,'Données projet'!$E$9+1,1))</f>
        <v>201.94015973767443</v>
      </c>
      <c r="T51" s="62">
        <f t="shared" si="34"/>
        <v>287.12228849146032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13.261217905541821</v>
      </c>
      <c r="AA51" s="23">
        <f>EXP(-LN(2)/25)*AA50+(1-EXP(-LN(2)/25))/(LN(2)/25)*Calculateur!V51*Calculateur!X51*VLOOKUP('Données projet'!$B$9,Paramètres!$A$1:$I$88,3,0)*0.475*44/12</f>
        <v>19.091535106405718</v>
      </c>
      <c r="AB51" s="23">
        <f>EXP(-LN(2)/2)*AB50+(1-EXP(-LN(2)/2))/(LN(2)/2)*V51*Y51*VLOOKUP('Données projet'!$B$9,Paramètres!$A$1:$I$88,3,0)*0.475*44/12</f>
        <v>1.9820047876674114</v>
      </c>
      <c r="AC51" s="24">
        <f t="shared" si="3"/>
        <v>34.334757799614955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</v>
      </c>
      <c r="AI51" s="14">
        <f>IF('Données projet'!$A$62&gt;35,AI50+AH51-AQ50,IF(A51&lt;'Données projet'!$A$62,$AF$205^A51,IF(A51='Données projet'!$A$62,'Données projet'!$B$62,AI50+AH51-AQ50)))</f>
        <v>270</v>
      </c>
      <c r="AJ51" s="14">
        <f>AI51*VLOOKUP('Données projet'!$B$10,Paramètres!$A$1:$I$88,3,0)*VLOOKUP('Données projet'!$B$10,Paramètres!$A$1:$I$88,5,0)</f>
        <v>126.36000000000001</v>
      </c>
      <c r="AK51" s="14">
        <f t="shared" si="35"/>
        <v>33.153877056327453</v>
      </c>
      <c r="AL51" s="22">
        <f t="shared" si="4"/>
        <v>277.82000253977031</v>
      </c>
      <c r="AM51" s="62">
        <f t="shared" si="5"/>
        <v>571.15333587310363</v>
      </c>
      <c r="AN51" s="62">
        <f ca="1">AVERAGE(OFFSET($AM$3,0,0,'Données projet'!$E$10+1,1))-AVERAGE(OFFSET($H$3,0,0,'Données projet'!$E$10+1,1))</f>
        <v>135.19533066605396</v>
      </c>
      <c r="AO51" s="62">
        <f t="shared" si="36"/>
        <v>213.60182977243113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2.3314173809011796</v>
      </c>
      <c r="AV51" s="23">
        <f>EXP(-LN(2)/25)*AV50+(1-EXP(-LN(2)/25))/(LN(2)/25)*Calculateur!AQ51*Calculateur!AS51*VLOOKUP('Données projet'!$B$10,Paramètres!$A$1:$I$88,3,0)*0.475*44/12</f>
        <v>9.5075782486555127</v>
      </c>
      <c r="AW51" s="23">
        <f>EXP(-LN(2)/2)*AW50+(1-EXP(-LN(2)/2))/(LN(2)/2)*AQ51*AT51*VLOOKUP('Données projet'!$B$10,Paramètres!$A$1:$I$88,3,0)*0.475*44/12</f>
        <v>0.48451333649975697</v>
      </c>
      <c r="AX51" s="23">
        <f t="shared" si="6"/>
        <v>12.323508966056449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16.399999999999999</v>
      </c>
      <c r="BD51" s="13">
        <f>IF('Données projet'!$A$88&gt;35,BD50+BC51-BL50,IF(A51&lt;'Données projet'!$A$88,$BA$205^A51,IF(A51='Données projet'!$A$88,'Données projet'!$B$88,BD50+BC51-BL50)))</f>
        <v>374.20000000000022</v>
      </c>
      <c r="BE51" s="14">
        <f>BD51*VLOOKUP('Données projet'!$B$11,Paramètres!$A$1:$I$88,3,0)*VLOOKUP('Données projet'!$B$11,Paramètres!$A$1:$I$88,5,0)</f>
        <v>223.77160000000015</v>
      </c>
      <c r="BF51" s="14">
        <f t="shared" si="37"/>
        <v>54.933811614894488</v>
      </c>
      <c r="BG51" s="22">
        <f t="shared" si="7"/>
        <v>485.41192522927469</v>
      </c>
      <c r="BH51" s="62">
        <f t="shared" si="8"/>
        <v>778.745258562608</v>
      </c>
      <c r="BI51" s="62">
        <f ca="1">AVERAGE(OFFSET($BH$3,0,0,'Données projet'!$E$11+1,1))-AVERAGE(OFFSET($H$3,0,0,'Données projet'!$E$11+1,1))</f>
        <v>258.1884172762135</v>
      </c>
      <c r="BJ51" s="62">
        <f t="shared" si="38"/>
        <v>356.36714671797864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18.565705067758543</v>
      </c>
      <c r="BQ51" s="23">
        <f>EXP(-LN(2)/25)*BQ50+(1-EXP(-LN(2)/25))/(LN(2)/25)*Calculateur!BL51*Calculateur!BN51*VLOOKUP('Données projet'!$B$11,Paramètres!$A$1:$I$88,3,0)*0.475*44/12</f>
        <v>28.652048830087566</v>
      </c>
      <c r="BR51" s="23">
        <f>EXP(-LN(2)/2)*BR50+(1-EXP(-LN(2)/2))/(LN(2)/2)*BL51*BO51*VLOOKUP('Données projet'!$B$11,Paramètres!$A$1:$I$88,3,0)*0.475*44/12</f>
        <v>2.775188549182412</v>
      </c>
      <c r="BS51" s="24">
        <f t="shared" si="9"/>
        <v>49.992942447028518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11.6</v>
      </c>
      <c r="BY51" s="13">
        <f>IF('Données projet'!$A$114&gt;35,BY50+BX51-CG50,IF(A51&lt;'Données projet'!$A$114,$BV$205^A51,IF(A51='Données projet'!$A$114,'Données projet'!$B$114,BY50+BX51-CG50)))</f>
        <v>281.79999999999995</v>
      </c>
      <c r="BZ51" s="14">
        <f>BY51*VLOOKUP('Données projet'!$B$12,Paramètres!$A$1:$I$88,3,0)*VLOOKUP('Données projet'!$B$12,Paramètres!$A$1:$I$88,5,0)</f>
        <v>168.51639999999998</v>
      </c>
      <c r="CA51" s="14">
        <f t="shared" si="39"/>
        <v>42.757577219146505</v>
      </c>
      <c r="CB51" s="22">
        <f t="shared" si="10"/>
        <v>367.96884365668006</v>
      </c>
      <c r="CC51" s="62">
        <f t="shared" si="11"/>
        <v>661.30217699001332</v>
      </c>
      <c r="CD51" s="62">
        <f ca="1">AVERAGE(OFFSET($CC$3,0,0,'Données projet'!$E$12+1,1))-AVERAGE(OFFSET($H$3,0,0,'Données projet'!$E$12+1,1))</f>
        <v>201.94015973767443</v>
      </c>
      <c r="CE51" s="62">
        <f t="shared" si="40"/>
        <v>287.12228849146032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13.261217905541821</v>
      </c>
      <c r="CL51" s="23">
        <f>EXP(-LN(2)/25)*CL50+(1-EXP(-LN(2)/25))/(LN(2)/25)*Calculateur!CG51*Calculateur!CI51*VLOOKUP('Données projet'!$B$12,Paramètres!$A$1:$I$88,3,0)*0.475*44/12</f>
        <v>19.091535106405718</v>
      </c>
      <c r="CM51" s="23">
        <f>EXP(-LN(2)/2)*CM50+(1-EXP(-LN(2)/2))/(LN(2)/2)*CG51*CJ51*VLOOKUP('Données projet'!$B$12,Paramètres!$A$1:$I$88,3,0)*0.475*44/12</f>
        <v>1.9820047876674114</v>
      </c>
      <c r="CN51" s="24">
        <f t="shared" si="12"/>
        <v>34.334757799614955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11.6</v>
      </c>
      <c r="N52" s="14">
        <f>IF('Données projet'!$A$36&gt;35,N51+M52-V51,IF(A52&lt;'Données projet'!$A$36,$K$205^A52,IF(A52='Données projet'!$A$36,'Données projet'!$B$36,N51+M52-V51)))</f>
        <v>293.39999999999998</v>
      </c>
      <c r="O52" s="14">
        <f>N52*VLOOKUP('Données projet'!$B$9,Paramètres!$A$1:$I$88,3,0)*VLOOKUP('Données projet'!$B$9,Paramètres!$A$1:$I$88,5,0)</f>
        <v>175.45320000000001</v>
      </c>
      <c r="P52" s="14">
        <f t="shared" si="33"/>
        <v>44.309105612169866</v>
      </c>
      <c r="Q52" s="22">
        <f t="shared" si="53"/>
        <v>382.75268227452921</v>
      </c>
      <c r="R52" s="62">
        <f t="shared" si="0"/>
        <v>676.08601560786246</v>
      </c>
      <c r="S52" s="62">
        <f ca="1">AVERAGE(OFFSET($R$3,0,0,'Données projet'!$E$9+1,1))-AVERAGE(OFFSET($H$3,0,0,'Données projet'!$E$9+1,1))</f>
        <v>201.94015973767443</v>
      </c>
      <c r="T52" s="62">
        <f t="shared" si="34"/>
        <v>287.12228849146032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13.001173510958392</v>
      </c>
      <c r="AA52" s="23">
        <f>EXP(-LN(2)/25)*AA51+(1-EXP(-LN(2)/25))/(LN(2)/25)*Calculateur!V52*Calculateur!X52*VLOOKUP('Données projet'!$B$9,Paramètres!$A$1:$I$88,3,0)*0.475*44/12</f>
        <v>18.569476074940859</v>
      </c>
      <c r="AB52" s="23">
        <f>EXP(-LN(2)/2)*AB51+(1-EXP(-LN(2)/2))/(LN(2)/2)*V52*Y52*VLOOKUP('Données projet'!$B$9,Paramètres!$A$1:$I$88,3,0)*0.475*44/12</f>
        <v>1.4014890257038299</v>
      </c>
      <c r="AC52" s="24">
        <f t="shared" si="3"/>
        <v>32.972138611603079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</v>
      </c>
      <c r="AI52" s="14">
        <f>IF('Données projet'!$A$62&gt;35,AI51+AH52-AQ51,IF(A52&lt;'Données projet'!$A$62,$AF$205^A52,IF(A52='Données projet'!$A$62,'Données projet'!$B$62,AI51+AH52-AQ51)))</f>
        <v>280</v>
      </c>
      <c r="AJ52" s="14">
        <f>AI52*VLOOKUP('Données projet'!$B$10,Paramètres!$A$1:$I$88,3,0)*VLOOKUP('Données projet'!$B$10,Paramètres!$A$1:$I$88,5,0)</f>
        <v>131.04</v>
      </c>
      <c r="AK52" s="14">
        <f t="shared" si="35"/>
        <v>34.236561238949918</v>
      </c>
      <c r="AL52" s="22">
        <f t="shared" si="4"/>
        <v>287.85667749117107</v>
      </c>
      <c r="AM52" s="62">
        <f t="shared" si="5"/>
        <v>581.19001082450438</v>
      </c>
      <c r="AN52" s="62">
        <f ca="1">AVERAGE(OFFSET($AM$3,0,0,'Données projet'!$E$10+1,1))-AVERAGE(OFFSET($H$3,0,0,'Données projet'!$E$10+1,1))</f>
        <v>135.19533066605396</v>
      </c>
      <c r="AO52" s="62">
        <f t="shared" si="36"/>
        <v>213.60182977243113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2.2856997080858967</v>
      </c>
      <c r="AV52" s="23">
        <f>EXP(-LN(2)/25)*AV51+(1-EXP(-LN(2)/25))/(LN(2)/25)*Calculateur!AQ52*Calculateur!AS52*VLOOKUP('Données projet'!$B$10,Paramètres!$A$1:$I$88,3,0)*0.475*44/12</f>
        <v>9.2475930214642172</v>
      </c>
      <c r="AW52" s="23">
        <f>EXP(-LN(2)/2)*AW51+(1-EXP(-LN(2)/2))/(LN(2)/2)*AQ52*AT52*VLOOKUP('Données projet'!$B$10,Paramètres!$A$1:$I$88,3,0)*0.475*44/12</f>
        <v>0.34260266581429777</v>
      </c>
      <c r="AX52" s="23">
        <f t="shared" si="6"/>
        <v>11.875895395364411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16.399999999999999</v>
      </c>
      <c r="BD52" s="13">
        <f>IF('Données projet'!$A$88&gt;35,BD51+BC52-BL51,IF(A52&lt;'Données projet'!$A$88,$BA$205^A52,IF(A52='Données projet'!$A$88,'Données projet'!$B$88,BD51+BC52-BL51)))</f>
        <v>390.60000000000019</v>
      </c>
      <c r="BE52" s="14">
        <f>BD52*VLOOKUP('Données projet'!$B$11,Paramètres!$A$1:$I$88,3,0)*VLOOKUP('Données projet'!$B$11,Paramètres!$A$1:$I$88,5,0)</f>
        <v>233.57880000000014</v>
      </c>
      <c r="BF52" s="14">
        <f t="shared" si="37"/>
        <v>57.055805022709997</v>
      </c>
      <c r="BG52" s="22">
        <f t="shared" si="7"/>
        <v>506.18860374788687</v>
      </c>
      <c r="BH52" s="62">
        <f t="shared" si="8"/>
        <v>799.52193708122013</v>
      </c>
      <c r="BI52" s="62">
        <f ca="1">AVERAGE(OFFSET($BH$3,0,0,'Données projet'!$E$11+1,1))-AVERAGE(OFFSET($H$3,0,0,'Données projet'!$E$11+1,1))</f>
        <v>258.1884172762135</v>
      </c>
      <c r="BJ52" s="62">
        <f t="shared" si="38"/>
        <v>356.36714671797864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18.20164291534174</v>
      </c>
      <c r="BQ52" s="23">
        <f>EXP(-LN(2)/25)*BQ51+(1-EXP(-LN(2)/25))/(LN(2)/25)*Calculateur!BL52*Calculateur!BN52*VLOOKUP('Données projet'!$B$11,Paramètres!$A$1:$I$88,3,0)*0.475*44/12</f>
        <v>27.868557048083058</v>
      </c>
      <c r="BR52" s="23">
        <f>EXP(-LN(2)/2)*BR51+(1-EXP(-LN(2)/2))/(LN(2)/2)*BL52*BO52*VLOOKUP('Données projet'!$B$11,Paramètres!$A$1:$I$88,3,0)*0.475*44/12</f>
        <v>1.9623546421981402</v>
      </c>
      <c r="BS52" s="24">
        <f t="shared" si="9"/>
        <v>48.032554605622941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11.6</v>
      </c>
      <c r="BY52" s="13">
        <f>IF('Données projet'!$A$114&gt;35,BY51+BX52-CG51,IF(A52&lt;'Données projet'!$A$114,$BV$205^A52,IF(A52='Données projet'!$A$114,'Données projet'!$B$114,BY51+BX52-CG51)))</f>
        <v>293.39999999999998</v>
      </c>
      <c r="BZ52" s="14">
        <f>BY52*VLOOKUP('Données projet'!$B$12,Paramètres!$A$1:$I$88,3,0)*VLOOKUP('Données projet'!$B$12,Paramètres!$A$1:$I$88,5,0)</f>
        <v>175.45320000000001</v>
      </c>
      <c r="CA52" s="14">
        <f t="shared" si="39"/>
        <v>44.309105612169866</v>
      </c>
      <c r="CB52" s="22">
        <f t="shared" si="10"/>
        <v>382.75268227452921</v>
      </c>
      <c r="CC52" s="62">
        <f t="shared" si="11"/>
        <v>676.08601560786246</v>
      </c>
      <c r="CD52" s="62">
        <f ca="1">AVERAGE(OFFSET($CC$3,0,0,'Données projet'!$E$12+1,1))-AVERAGE(OFFSET($H$3,0,0,'Données projet'!$E$12+1,1))</f>
        <v>201.94015973767443</v>
      </c>
      <c r="CE52" s="62">
        <f t="shared" si="40"/>
        <v>287.12228849146032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13.001173510958392</v>
      </c>
      <c r="CL52" s="23">
        <f>EXP(-LN(2)/25)*CL51+(1-EXP(-LN(2)/25))/(LN(2)/25)*Calculateur!CG52*Calculateur!CI52*VLOOKUP('Données projet'!$B$12,Paramètres!$A$1:$I$88,3,0)*0.475*44/12</f>
        <v>18.569476074940859</v>
      </c>
      <c r="CM52" s="23">
        <f>EXP(-LN(2)/2)*CM51+(1-EXP(-LN(2)/2))/(LN(2)/2)*CG52*CJ52*VLOOKUP('Données projet'!$B$12,Paramètres!$A$1:$I$88,3,0)*0.475*44/12</f>
        <v>1.4014890257038299</v>
      </c>
      <c r="CN52" s="24">
        <f t="shared" si="12"/>
        <v>32.972138611603079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305</v>
      </c>
      <c r="L53" s="13">
        <f>VLOOKUP(A53,'Données projet'!$A$35:$I$55,9,0)</f>
        <v>11.6</v>
      </c>
      <c r="M53" s="13">
        <f t="array" ref="M53">INDEX(L:L,MIN(IF(ISNUMBER(L53:L249),ROW(L53:L249),"")))</f>
        <v>11.6</v>
      </c>
      <c r="N53" s="14">
        <f>IF('Données projet'!$A$36&gt;35,N52+M53-V52,IF(A53&lt;'Données projet'!$A$36,$K$205^A53,IF(A53='Données projet'!$A$36,'Données projet'!$B$36,N52+M53-V52)))</f>
        <v>305</v>
      </c>
      <c r="O53" s="14">
        <f>N53*VLOOKUP('Données projet'!$B$9,Paramètres!$A$1:$I$88,3,0)*VLOOKUP('Données projet'!$B$9,Paramètres!$A$1:$I$88,5,0)</f>
        <v>182.39000000000001</v>
      </c>
      <c r="P53" s="14">
        <f t="shared" si="33"/>
        <v>45.853508245632504</v>
      </c>
      <c r="Q53" s="22">
        <f t="shared" si="53"/>
        <v>397.52411019447663</v>
      </c>
      <c r="R53" s="62">
        <f t="shared" si="0"/>
        <v>690.85744352780989</v>
      </c>
      <c r="S53" s="62">
        <f ca="1">AVERAGE(OFFSET($R$3,0,0,'Données projet'!$E$9+1,1))-AVERAGE(OFFSET($H$3,0,0,'Données projet'!$E$9+1,1))</f>
        <v>201.94015973767443</v>
      </c>
      <c r="T53" s="62">
        <f t="shared" si="34"/>
        <v>287.12228849146032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305</v>
      </c>
      <c r="W53" s="17">
        <f>IF(ISNA(VLOOKUP(A53,'Données projet'!$A$35:$I$55,5,0)),0%,VLOOKUP(A53,'Données projet'!$A$35:$I$55,5,0)*VLOOKUP('Données projet'!$B$9,Paramètres!$A$1:$I$88,7,0))</f>
        <v>0.36000000000000004</v>
      </c>
      <c r="X53" s="17">
        <f>IF(ISNA(VLOOKUP(A53,'Données projet'!$A$35:$I$55,6,0)),0%,VLOOKUP(A53,'Données projet'!$A$35:$I$55,6,0)*VLOOKUP('Données projet'!$B$9,Paramètres!$A$1:$I$88,7,0))</f>
        <v>4.9500000000000002E-2</v>
      </c>
      <c r="Y53" s="17">
        <f>IF(ISNA(VLOOKUP(A53,'Données projet'!$A$35:$I$55,7,0)),0%,VLOOKUP(A53,'Données projet'!$A$35:$I$55,7,0))</f>
        <v>0.09</v>
      </c>
      <c r="Z53" s="23">
        <f>EXP(-LN(2)/35)*Z52+(1-EXP(-LN(2)/35))/(LN(2)/35)*V53*W53*VLOOKUP('Données projet'!$B$9,Paramètres!$A$1:$I$88,3,0)*0.475*44/12</f>
        <v>99.848981198283724</v>
      </c>
      <c r="AA53" s="23">
        <f>EXP(-LN(2)/25)*AA52+(1-EXP(-LN(2)/25))/(LN(2)/25)*Calculateur!V53*Calculateur!X53*VLOOKUP('Données projet'!$B$9,Paramètres!$A$1:$I$88,3,0)*0.475*44/12</f>
        <v>29.991164731131548</v>
      </c>
      <c r="AB53" s="23">
        <f>EXP(-LN(2)/2)*AB52+(1-EXP(-LN(2)/2))/(LN(2)/2)*V53*Y53*VLOOKUP('Données projet'!$B$9,Paramètres!$A$1:$I$88,3,0)*0.475*44/12</f>
        <v>19.576708780960395</v>
      </c>
      <c r="AC53" s="24">
        <f t="shared" si="3"/>
        <v>149.41685471037565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290</v>
      </c>
      <c r="AG53" s="13">
        <f>VLOOKUP(A53,'Données projet'!$A$61:$I$81,9,0)</f>
        <v>10</v>
      </c>
      <c r="AH53" s="13">
        <f t="array" ref="AH53">INDEX(AG:AG,MIN(IF(ISNUMBER(AG53:AG249),ROW(AG53:AG249),"")))</f>
        <v>10</v>
      </c>
      <c r="AI53" s="14">
        <f>IF('Données projet'!$A$62&gt;35,AI52+AH53-AQ52,IF(A53&lt;'Données projet'!$A$62,$AF$205^A53,IF(A53='Données projet'!$A$62,'Données projet'!$B$62,AI52+AH53-AQ52)))</f>
        <v>290</v>
      </c>
      <c r="AJ53" s="14">
        <f>AI53*VLOOKUP('Données projet'!$B$10,Paramètres!$A$1:$I$88,3,0)*VLOOKUP('Données projet'!$B$10,Paramètres!$A$1:$I$88,5,0)</f>
        <v>135.72</v>
      </c>
      <c r="AK53" s="14">
        <f t="shared" si="35"/>
        <v>35.314752882348131</v>
      </c>
      <c r="AL53" s="22">
        <f t="shared" si="4"/>
        <v>297.88552793675632</v>
      </c>
      <c r="AM53" s="62">
        <f t="shared" si="5"/>
        <v>591.21886127008963</v>
      </c>
      <c r="AN53" s="62">
        <f ca="1">AVERAGE(OFFSET($AM$3,0,0,'Données projet'!$E$10+1,1))-AVERAGE(OFFSET($H$3,0,0,'Données projet'!$E$10+1,1))</f>
        <v>135.19533066605396</v>
      </c>
      <c r="AO53" s="62">
        <f t="shared" si="36"/>
        <v>213.60182977243113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290</v>
      </c>
      <c r="AR53" s="17">
        <f>IF(ISNA(VLOOKUP(A53,'Données projet'!$A$61:$I$81,5,0)),0%,VLOOKUP(A53,'Données projet'!$A$61:$I$81,5,0)*VLOOKUP('Données projet'!$B$10,Paramètres!$A$1:$I$88,7,0))</f>
        <v>0.38500000000000001</v>
      </c>
      <c r="AS53" s="17">
        <f>IF(ISNA(VLOOKUP(A53,'Données projet'!$A$61:$I$81,6,0)),0%,VLOOKUP(A53,'Données projet'!$A$61:$I$81,6,0)*VLOOKUP('Données projet'!$B$10,Paramètres!$A$1:$I$88,7,0))</f>
        <v>9.240000000000001E-2</v>
      </c>
      <c r="AT53" s="17">
        <f>IF(ISNA(VLOOKUP(A53,'Données projet'!$A$61:$I$81,7,0)),0%,VLOOKUP(A53,'Données projet'!$A$61:$I$81,7,0))</f>
        <v>0.13200000000000001</v>
      </c>
      <c r="AU53" s="23">
        <f>EXP(-LN(2)/35)*AU52+(1-EXP(-LN(2)/35))/(LN(2)/35)*AQ53*AR53*VLOOKUP('Données projet'!$B$10,Paramètres!$A$1:$I$88,3,0)*0.475*44/12</f>
        <v>71.556789769467429</v>
      </c>
      <c r="AV53" s="23">
        <f>EXP(-LN(2)/25)*AV52+(1-EXP(-LN(2)/25))/(LN(2)/25)*Calculateur!AQ53*Calculateur!AS53*VLOOKUP('Données projet'!$B$10,Paramètres!$A$1:$I$88,3,0)*0.475*44/12</f>
        <v>25.565034244271885</v>
      </c>
      <c r="AW53" s="23">
        <f>EXP(-LN(2)/2)*AW52+(1-EXP(-LN(2)/2))/(LN(2)/2)*AQ53*AT53*VLOOKUP('Données projet'!$B$10,Paramètres!$A$1:$I$88,3,0)*0.475*44/12</f>
        <v>20.526243567728418</v>
      </c>
      <c r="AX53" s="23">
        <f t="shared" si="6"/>
        <v>117.64806758146773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407</v>
      </c>
      <c r="BB53" s="13">
        <f>VLOOKUP(A53,'Données projet'!$A$87:$I$107,9,0)</f>
        <v>16.399999999999999</v>
      </c>
      <c r="BC53" s="13">
        <f t="array" ref="BC53">INDEX(BB:BB,MIN(IF(ISNUMBER(BB53:BB249),ROW(BB53:BB249),"")))</f>
        <v>16.399999999999999</v>
      </c>
      <c r="BD53" s="13">
        <f>IF('Données projet'!$A$88&gt;35,BD52+BC53-BL52,IF(A53&lt;'Données projet'!$A$88,$BA$205^A53,IF(A53='Données projet'!$A$88,'Données projet'!$B$88,BD52+BC53-BL52)))</f>
        <v>407.00000000000017</v>
      </c>
      <c r="BE53" s="14">
        <f>BD53*VLOOKUP('Données projet'!$B$11,Paramètres!$A$1:$I$88,3,0)*VLOOKUP('Données projet'!$B$11,Paramètres!$A$1:$I$88,5,0)</f>
        <v>243.38600000000011</v>
      </c>
      <c r="BF53" s="14">
        <f t="shared" si="37"/>
        <v>59.167449807285649</v>
      </c>
      <c r="BG53" s="22">
        <f t="shared" si="7"/>
        <v>526.94725841435593</v>
      </c>
      <c r="BH53" s="62">
        <f t="shared" si="8"/>
        <v>820.28059174768919</v>
      </c>
      <c r="BI53" s="62">
        <f ca="1">AVERAGE(OFFSET($BH$3,0,0,'Données projet'!$E$11+1,1))-AVERAGE(OFFSET($H$3,0,0,'Données projet'!$E$11+1,1))</f>
        <v>258.1884172762135</v>
      </c>
      <c r="BJ53" s="62">
        <f t="shared" si="38"/>
        <v>356.36714671797864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407</v>
      </c>
      <c r="BM53" s="17">
        <f>IF(ISNA(VLOOKUP(A53,'Données projet'!$A$87:$I$107,5,0)),0%,VLOOKUP(A53,'Données projet'!$A$87:$I$107,5,0)*VLOOKUP('Données projet'!$B$11,Paramètres!$A$1:$I$88,7,0))</f>
        <v>0.36000000000000004</v>
      </c>
      <c r="BN53" s="17">
        <f>IF(ISNA(VLOOKUP(A53,'Données projet'!$A$87:$I$107,6,0)),0%,VLOOKUP(A53,'Données projet'!$A$87:$I$107,6,0)*VLOOKUP('Données projet'!$B$11,Paramètres!$A$1:$I$88,7,0))</f>
        <v>4.9500000000000002E-2</v>
      </c>
      <c r="BO53" s="17">
        <f>IF(ISNA(VLOOKUP(A53,'Données projet'!$A$87:$I$107,7,0)),0%,VLOOKUP(A53,'Données projet'!$A$87:$I$107,7,0))</f>
        <v>0.09</v>
      </c>
      <c r="BP53" s="23">
        <f>EXP(-LN(2)/35)*BP52+(1-EXP(-LN(2)/35))/(LN(2)/35)*BL53*BM53*VLOOKUP('Données projet'!$B$11,Paramètres!$A$1:$I$88,3,0)*0.475*44/12</f>
        <v>134.07691775825671</v>
      </c>
      <c r="BQ53" s="23">
        <f>EXP(-LN(2)/25)*BQ52+(1-EXP(-LN(2)/25))/(LN(2)/25)*Calculateur!BL53*Calculateur!BN53*VLOOKUP('Données projet'!$B$11,Paramètres!$A$1:$I$88,3,0)*0.475*44/12</f>
        <v>43.025490172310008</v>
      </c>
      <c r="BR53" s="23">
        <f>EXP(-LN(2)/2)*BR52+(1-EXP(-LN(2)/2))/(LN(2)/2)*BL53*BO53*VLOOKUP('Données projet'!$B$11,Paramètres!$A$1:$I$88,3,0)*0.475*44/12</f>
        <v>26.188848371511082</v>
      </c>
      <c r="BS53" s="24">
        <f t="shared" si="9"/>
        <v>203.29125630207781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305</v>
      </c>
      <c r="BW53" s="13">
        <f>VLOOKUP(A53,'Données projet'!$A$113:$I$133,9,0)</f>
        <v>11.6</v>
      </c>
      <c r="BX53" s="13">
        <f t="array" ref="BX53">INDEX(BW:BW,MIN(IF(ISNUMBER(BW53:BW249),ROW(BW53:BW249),"")))</f>
        <v>11.6</v>
      </c>
      <c r="BY53" s="13">
        <f>IF('Données projet'!$A$114&gt;35,BY52+BX53-CG52,IF(A53&lt;'Données projet'!$A$114,$BV$205^A53,IF(A53='Données projet'!$A$114,'Données projet'!$B$114,BY52+BX53-CG52)))</f>
        <v>305</v>
      </c>
      <c r="BZ53" s="14">
        <f>BY53*VLOOKUP('Données projet'!$B$12,Paramètres!$A$1:$I$88,3,0)*VLOOKUP('Données projet'!$B$12,Paramètres!$A$1:$I$88,5,0)</f>
        <v>182.39000000000001</v>
      </c>
      <c r="CA53" s="14">
        <f t="shared" si="39"/>
        <v>45.853508245632504</v>
      </c>
      <c r="CB53" s="22">
        <f t="shared" si="10"/>
        <v>397.52411019447663</v>
      </c>
      <c r="CC53" s="62">
        <f t="shared" si="11"/>
        <v>690.85744352780989</v>
      </c>
      <c r="CD53" s="62">
        <f ca="1">AVERAGE(OFFSET($CC$3,0,0,'Données projet'!$E$12+1,1))-AVERAGE(OFFSET($H$3,0,0,'Données projet'!$E$12+1,1))</f>
        <v>201.94015973767443</v>
      </c>
      <c r="CE53" s="62">
        <f t="shared" si="40"/>
        <v>287.12228849146032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305</v>
      </c>
      <c r="CH53" s="17">
        <f>IF(ISNA(VLOOKUP(A53,'Données projet'!$A$113:$I$133,5,0)),0%,VLOOKUP(A53,'Données projet'!$A$113:$I$133,5,0)*VLOOKUP('Données projet'!$B$12,Paramètres!$A$1:$I$88,7,0))</f>
        <v>0.36000000000000004</v>
      </c>
      <c r="CI53" s="17">
        <f>IF(ISNA(VLOOKUP(A53,'Données projet'!$A$113:$I$133,6,0)),0%,VLOOKUP(A53,'Données projet'!$A$113:$I$133,6,0)*VLOOKUP('Données projet'!$B$12,Paramètres!$A$1:$I$88,7,0))</f>
        <v>4.9500000000000002E-2</v>
      </c>
      <c r="CJ53" s="17">
        <f>IF(ISNA(VLOOKUP(A53,'Données projet'!$A$113:$I$133,7,0)),0%,VLOOKUP(A53,'Données projet'!$A$113:$I$133,7,0))</f>
        <v>0.09</v>
      </c>
      <c r="CK53" s="23">
        <f>EXP(-LN(2)/35)*CK52+(1-EXP(-LN(2)/35))/(LN(2)/35)*CG53*CH53*VLOOKUP('Données projet'!$B$12,Paramètres!$A$1:$I$88,3,0)*0.475*44/12</f>
        <v>99.848981198283724</v>
      </c>
      <c r="CL53" s="23">
        <f>EXP(-LN(2)/25)*CL52+(1-EXP(-LN(2)/25))/(LN(2)/25)*Calculateur!CG53*Calculateur!CI53*VLOOKUP('Données projet'!$B$12,Paramètres!$A$1:$I$88,3,0)*0.475*44/12</f>
        <v>29.991164731131548</v>
      </c>
      <c r="CM53" s="23">
        <f>EXP(-LN(2)/2)*CM52+(1-EXP(-LN(2)/2))/(LN(2)/2)*CG53*CJ53*VLOOKUP('Données projet'!$B$12,Paramètres!$A$1:$I$88,3,0)*0.475*44/12</f>
        <v>19.576708780960395</v>
      </c>
      <c r="CN53" s="24">
        <f t="shared" si="12"/>
        <v>149.41685471037565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projet'!$B$9,Paramètres!$A$1:$I$88,3,0)*VLOOKUP('Données projet'!$B$9,Paramètres!$A$1:$I$88,5,0)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201.94015973767443</v>
      </c>
      <c r="T54" s="62">
        <f t="shared" si="34"/>
        <v>287.12228849146032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97.891003578850345</v>
      </c>
      <c r="AA54" s="23">
        <f>EXP(-LN(2)/25)*AA53+(1-EXP(-LN(2)/25))/(LN(2)/25)*Calculateur!V54*Calculateur!X54*VLOOKUP('Données projet'!$B$9,Paramètres!$A$1:$I$88,3,0)*0.475*44/12</f>
        <v>29.17105475439195</v>
      </c>
      <c r="AB54" s="23">
        <f>EXP(-LN(2)/2)*AB53+(1-EXP(-LN(2)/2))/(LN(2)/2)*V54*Y54*VLOOKUP('Données projet'!$B$9,Paramètres!$A$1:$I$88,3,0)*0.475*44/12</f>
        <v>13.842823532331327</v>
      </c>
      <c r="AC54" s="24">
        <f t="shared" si="3"/>
        <v>140.90488186557363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projet'!$B$10,Paramètres!$A$1:$I$88,3,0)*VLOOKUP('Données projet'!$B$10,Paramètres!$A$1:$I$88,5,0)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135.19533066605396</v>
      </c>
      <c r="AO54" s="62">
        <f t="shared" si="36"/>
        <v>213.60182977243113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70.153604767420319</v>
      </c>
      <c r="AV54" s="23">
        <f>EXP(-LN(2)/25)*AV53+(1-EXP(-LN(2)/25))/(LN(2)/25)*Calculateur!AQ54*Calculateur!AS54*VLOOKUP('Données projet'!$B$10,Paramètres!$A$1:$I$88,3,0)*0.475*44/12</f>
        <v>24.865957038455548</v>
      </c>
      <c r="AW54" s="23">
        <f>EXP(-LN(2)/2)*AW53+(1-EXP(-LN(2)/2))/(LN(2)/2)*AQ54*AT54*VLOOKUP('Données projet'!$B$10,Paramètres!$A$1:$I$88,3,0)*0.475*44/12</f>
        <v>14.514246019027517</v>
      </c>
      <c r="AX54" s="23">
        <f t="shared" si="6"/>
        <v>109.53380782490339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1.7053025658242404E-13</v>
      </c>
      <c r="BE54" s="14">
        <f>BD54*VLOOKUP('Données projet'!$B$11,Paramètres!$A$1:$I$88,3,0)*VLOOKUP('Données projet'!$B$11,Paramètres!$A$1:$I$88,5,0)</f>
        <v>1.0197709343628959E-13</v>
      </c>
      <c r="BF54" s="14">
        <f t="shared" si="37"/>
        <v>1.5284983994279675E-12</v>
      </c>
      <c r="BG54" s="22">
        <f t="shared" si="7"/>
        <v>2.839744816738581E-12</v>
      </c>
      <c r="BH54" s="62">
        <f t="shared" si="8"/>
        <v>293.33333333333616</v>
      </c>
      <c r="BI54" s="62">
        <f ca="1">AVERAGE(OFFSET($BH$3,0,0,'Données projet'!$E$11+1,1))-AVERAGE(OFFSET($H$3,0,0,'Données projet'!$E$11+1,1))</f>
        <v>258.1884172762135</v>
      </c>
      <c r="BJ54" s="62">
        <f t="shared" si="38"/>
        <v>356.36714671797864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131.44775117986214</v>
      </c>
      <c r="BQ54" s="23">
        <f>EXP(-LN(2)/25)*BQ53+(1-EXP(-LN(2)/25))/(LN(2)/25)*Calculateur!BL54*Calculateur!BN54*VLOOKUP('Données projet'!$B$11,Paramètres!$A$1:$I$88,3,0)*0.475*44/12</f>
        <v>41.848955880935996</v>
      </c>
      <c r="BR54" s="23">
        <f>EXP(-LN(2)/2)*BR53+(1-EXP(-LN(2)/2))/(LN(2)/2)*BL54*BO54*VLOOKUP('Données projet'!$B$11,Paramètres!$A$1:$I$88,3,0)*0.475*44/12</f>
        <v>18.518312274961758</v>
      </c>
      <c r="BS54" s="24">
        <f t="shared" si="9"/>
        <v>191.81501933575987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projet'!$B$12,Paramètres!$A$1:$I$88,3,0)*VLOOKUP('Données projet'!$B$12,Paramètres!$A$1:$I$88,5,0)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201.94015973767443</v>
      </c>
      <c r="CE54" s="62">
        <f t="shared" si="40"/>
        <v>287.12228849146032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97.891003578850345</v>
      </c>
      <c r="CL54" s="23">
        <f>EXP(-LN(2)/25)*CL53+(1-EXP(-LN(2)/25))/(LN(2)/25)*Calculateur!CG54*Calculateur!CI54*VLOOKUP('Données projet'!$B$12,Paramètres!$A$1:$I$88,3,0)*0.475*44/12</f>
        <v>29.17105475439195</v>
      </c>
      <c r="CM54" s="23">
        <f>EXP(-LN(2)/2)*CM53+(1-EXP(-LN(2)/2))/(LN(2)/2)*CG54*CJ54*VLOOKUP('Données projet'!$B$12,Paramètres!$A$1:$I$88,3,0)*0.475*44/12</f>
        <v>13.842823532331327</v>
      </c>
      <c r="CN54" s="24">
        <f t="shared" si="12"/>
        <v>140.90488186557363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projet'!$B$9,Paramètres!$A$1:$I$88,3,0)*VLOOKUP('Données projet'!$B$9,Paramètres!$A$1:$I$88,5,0)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201.94015973767443</v>
      </c>
      <c r="T55" s="62">
        <f t="shared" si="34"/>
        <v>287.12228849146032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95.971420706285642</v>
      </c>
      <c r="AA55" s="23">
        <f>EXP(-LN(2)/25)*AA54+(1-EXP(-LN(2)/25))/(LN(2)/25)*Calculateur!V55*Calculateur!X55*VLOOKUP('Données projet'!$B$9,Paramètres!$A$1:$I$88,3,0)*0.475*44/12</f>
        <v>28.373370728094002</v>
      </c>
      <c r="AB55" s="23">
        <f>EXP(-LN(2)/2)*AB54+(1-EXP(-LN(2)/2))/(LN(2)/2)*V55*Y55*VLOOKUP('Données projet'!$B$9,Paramètres!$A$1:$I$88,3,0)*0.475*44/12</f>
        <v>9.7883543904801993</v>
      </c>
      <c r="AC55" s="24">
        <f t="shared" si="3"/>
        <v>134.13314582485984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projet'!$B$10,Paramètres!$A$1:$I$88,3,0)*VLOOKUP('Données projet'!$B$10,Paramètres!$A$1:$I$88,5,0)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135.19533066605396</v>
      </c>
      <c r="AO55" s="62">
        <f t="shared" si="36"/>
        <v>213.60182977243113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68.777935367405007</v>
      </c>
      <c r="AV55" s="23">
        <f>EXP(-LN(2)/25)*AV54+(1-EXP(-LN(2)/25))/(LN(2)/25)*Calculateur!AQ55*Calculateur!AS55*VLOOKUP('Données projet'!$B$10,Paramètres!$A$1:$I$88,3,0)*0.475*44/12</f>
        <v>24.185996135595133</v>
      </c>
      <c r="AW55" s="23">
        <f>EXP(-LN(2)/2)*AW54+(1-EXP(-LN(2)/2))/(LN(2)/2)*AQ55*AT55*VLOOKUP('Données projet'!$B$10,Paramètres!$A$1:$I$88,3,0)*0.475*44/12</f>
        <v>10.263121783864209</v>
      </c>
      <c r="AX55" s="23">
        <f t="shared" si="6"/>
        <v>103.22705328686435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1.7053025658242404E-13</v>
      </c>
      <c r="BE55" s="14">
        <f>BD55*VLOOKUP('Données projet'!$B$11,Paramètres!$A$1:$I$88,3,0)*VLOOKUP('Données projet'!$B$11,Paramètres!$A$1:$I$88,5,0)</f>
        <v>1.0197709343628959E-13</v>
      </c>
      <c r="BF55" s="14">
        <f t="shared" si="37"/>
        <v>1.5284983994279675E-12</v>
      </c>
      <c r="BG55" s="22">
        <f t="shared" si="7"/>
        <v>2.839744816738581E-12</v>
      </c>
      <c r="BH55" s="62">
        <f t="shared" si="8"/>
        <v>293.33333333333616</v>
      </c>
      <c r="BI55" s="62">
        <f ca="1">AVERAGE(OFFSET($BH$3,0,0,'Données projet'!$E$11+1,1))-AVERAGE(OFFSET($H$3,0,0,'Données projet'!$E$11+1,1))</f>
        <v>258.1884172762135</v>
      </c>
      <c r="BJ55" s="62">
        <f t="shared" si="38"/>
        <v>356.36714671797864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128.87014095443661</v>
      </c>
      <c r="BQ55" s="23">
        <f>EXP(-LN(2)/25)*BQ54+(1-EXP(-LN(2)/25))/(LN(2)/25)*Calculateur!BL55*Calculateur!BN55*VLOOKUP('Données projet'!$B$11,Paramètres!$A$1:$I$88,3,0)*0.475*44/12</f>
        <v>40.704593981630858</v>
      </c>
      <c r="BR55" s="23">
        <f>EXP(-LN(2)/2)*BR54+(1-EXP(-LN(2)/2))/(LN(2)/2)*BL55*BO55*VLOOKUP('Données projet'!$B$11,Paramètres!$A$1:$I$88,3,0)*0.475*44/12</f>
        <v>13.094424185755543</v>
      </c>
      <c r="BS55" s="24">
        <f t="shared" si="9"/>
        <v>182.66915912182301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projet'!$B$12,Paramètres!$A$1:$I$88,3,0)*VLOOKUP('Données projet'!$B$12,Paramètres!$A$1:$I$88,5,0)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201.94015973767443</v>
      </c>
      <c r="CE55" s="62">
        <f t="shared" si="40"/>
        <v>287.12228849146032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95.971420706285642</v>
      </c>
      <c r="CL55" s="23">
        <f>EXP(-LN(2)/25)*CL54+(1-EXP(-LN(2)/25))/(LN(2)/25)*Calculateur!CG55*Calculateur!CI55*VLOOKUP('Données projet'!$B$12,Paramètres!$A$1:$I$88,3,0)*0.475*44/12</f>
        <v>28.373370728094002</v>
      </c>
      <c r="CM55" s="23">
        <f>EXP(-LN(2)/2)*CM54+(1-EXP(-LN(2)/2))/(LN(2)/2)*CG55*CJ55*VLOOKUP('Données projet'!$B$12,Paramètres!$A$1:$I$88,3,0)*0.475*44/12</f>
        <v>9.7883543904801993</v>
      </c>
      <c r="CN55" s="24">
        <f t="shared" si="12"/>
        <v>134.13314582485984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projet'!$B$9,Paramètres!$A$1:$I$88,3,0)*VLOOKUP('Données projet'!$B$9,Paramètres!$A$1:$I$88,5,0)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201.94015973767443</v>
      </c>
      <c r="T56" s="62">
        <f t="shared" si="34"/>
        <v>287.12228849146032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94.089479683021978</v>
      </c>
      <c r="AA56" s="23">
        <f>EXP(-LN(2)/25)*AA55+(1-EXP(-LN(2)/25))/(LN(2)/25)*Calculateur!V56*Calculateur!X56*VLOOKUP('Données projet'!$B$9,Paramètres!$A$1:$I$88,3,0)*0.475*44/12</f>
        <v>27.597499413443554</v>
      </c>
      <c r="AB56" s="23">
        <f>EXP(-LN(2)/2)*AB55+(1-EXP(-LN(2)/2))/(LN(2)/2)*V56*Y56*VLOOKUP('Données projet'!$B$9,Paramètres!$A$1:$I$88,3,0)*0.475*44/12</f>
        <v>6.9214117661656642</v>
      </c>
      <c r="AC56" s="24">
        <f t="shared" si="3"/>
        <v>128.60839086263121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projet'!$B$10,Paramètres!$A$1:$I$88,3,0)*VLOOKUP('Données projet'!$B$10,Paramètres!$A$1:$I$88,5,0)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135.19533066605396</v>
      </c>
      <c r="AO56" s="62">
        <f t="shared" si="36"/>
        <v>213.60182977243113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67.429242005248511</v>
      </c>
      <c r="AV56" s="23">
        <f>EXP(-LN(2)/25)*AV55+(1-EXP(-LN(2)/25))/(LN(2)/25)*Calculateur!AQ56*Calculateur!AS56*VLOOKUP('Données projet'!$B$10,Paramètres!$A$1:$I$88,3,0)*0.475*44/12</f>
        <v>23.524628799381023</v>
      </c>
      <c r="AW56" s="23">
        <f>EXP(-LN(2)/2)*AW55+(1-EXP(-LN(2)/2))/(LN(2)/2)*AQ56*AT56*VLOOKUP('Données projet'!$B$10,Paramètres!$A$1:$I$88,3,0)*0.475*44/12</f>
        <v>7.2571230095137587</v>
      </c>
      <c r="AX56" s="23">
        <f t="shared" si="6"/>
        <v>98.210993814143293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1.7053025658242404E-13</v>
      </c>
      <c r="BE56" s="14">
        <f>BD56*VLOOKUP('Données projet'!$B$11,Paramètres!$A$1:$I$88,3,0)*VLOOKUP('Données projet'!$B$11,Paramètres!$A$1:$I$88,5,0)</f>
        <v>1.0197709343628959E-13</v>
      </c>
      <c r="BF56" s="14">
        <f t="shared" si="37"/>
        <v>1.5284983994279675E-12</v>
      </c>
      <c r="BG56" s="22">
        <f t="shared" si="7"/>
        <v>2.839744816738581E-12</v>
      </c>
      <c r="BH56" s="62">
        <f t="shared" si="8"/>
        <v>293.33333333333616</v>
      </c>
      <c r="BI56" s="62">
        <f ca="1">AVERAGE(OFFSET($BH$3,0,0,'Données projet'!$E$11+1,1))-AVERAGE(OFFSET($H$3,0,0,'Données projet'!$E$11+1,1))</f>
        <v>258.1884172762135</v>
      </c>
      <c r="BJ56" s="62">
        <f t="shared" si="38"/>
        <v>356.36714671797864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126.34307609334468</v>
      </c>
      <c r="BQ56" s="23">
        <f>EXP(-LN(2)/25)*BQ55+(1-EXP(-LN(2)/25))/(LN(2)/25)*Calculateur!BL56*Calculateur!BN56*VLOOKUP('Données projet'!$B$11,Paramètres!$A$1:$I$88,3,0)*0.475*44/12</f>
        <v>39.591524718641594</v>
      </c>
      <c r="BR56" s="23">
        <f>EXP(-LN(2)/2)*BR55+(1-EXP(-LN(2)/2))/(LN(2)/2)*BL56*BO56*VLOOKUP('Données projet'!$B$11,Paramètres!$A$1:$I$88,3,0)*0.475*44/12</f>
        <v>9.2591561374808808</v>
      </c>
      <c r="BS56" s="24">
        <f t="shared" si="9"/>
        <v>175.19375694946717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projet'!$B$12,Paramètres!$A$1:$I$88,3,0)*VLOOKUP('Données projet'!$B$12,Paramètres!$A$1:$I$88,5,0)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201.94015973767443</v>
      </c>
      <c r="CE56" s="62">
        <f t="shared" si="40"/>
        <v>287.12228849146032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94.089479683021978</v>
      </c>
      <c r="CL56" s="23">
        <f>EXP(-LN(2)/25)*CL55+(1-EXP(-LN(2)/25))/(LN(2)/25)*Calculateur!CG56*Calculateur!CI56*VLOOKUP('Données projet'!$B$12,Paramètres!$A$1:$I$88,3,0)*0.475*44/12</f>
        <v>27.597499413443554</v>
      </c>
      <c r="CM56" s="23">
        <f>EXP(-LN(2)/2)*CM55+(1-EXP(-LN(2)/2))/(LN(2)/2)*CG56*CJ56*VLOOKUP('Données projet'!$B$12,Paramètres!$A$1:$I$88,3,0)*0.475*44/12</f>
        <v>6.9214117661656642</v>
      </c>
      <c r="CN56" s="24">
        <f t="shared" si="12"/>
        <v>128.60839086263121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projet'!$B$9,Paramètres!$A$1:$I$88,3,0)*VLOOKUP('Données projet'!$B$9,Paramètres!$A$1:$I$88,5,0)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201.94015973767443</v>
      </c>
      <c r="T57" s="62">
        <f t="shared" si="34"/>
        <v>287.12228849146032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92.244442375353842</v>
      </c>
      <c r="AA57" s="23">
        <f>EXP(-LN(2)/25)*AA56+(1-EXP(-LN(2)/25))/(LN(2)/25)*Calculateur!V57*Calculateur!X57*VLOOKUP('Données projet'!$B$9,Paramètres!$A$1:$I$88,3,0)*0.475*44/12</f>
        <v>26.842844340693521</v>
      </c>
      <c r="AB57" s="23">
        <f>EXP(-LN(2)/2)*AB56+(1-EXP(-LN(2)/2))/(LN(2)/2)*V57*Y57*VLOOKUP('Données projet'!$B$9,Paramètres!$A$1:$I$88,3,0)*0.475*44/12</f>
        <v>4.8941771952401005</v>
      </c>
      <c r="AC57" s="24">
        <f t="shared" si="3"/>
        <v>123.98146391128746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projet'!$B$10,Paramètres!$A$1:$I$88,3,0)*VLOOKUP('Données projet'!$B$10,Paramètres!$A$1:$I$88,5,0)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135.19533066605396</v>
      </c>
      <c r="AO57" s="62">
        <f t="shared" si="36"/>
        <v>213.60182977243113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66.106995697302182</v>
      </c>
      <c r="AV57" s="23">
        <f>EXP(-LN(2)/25)*AV56+(1-EXP(-LN(2)/25))/(LN(2)/25)*Calculateur!AQ57*Calculateur!AS57*VLOOKUP('Données projet'!$B$10,Paramètres!$A$1:$I$88,3,0)*0.475*44/12</f>
        <v>22.881346587755488</v>
      </c>
      <c r="AW57" s="23">
        <f>EXP(-LN(2)/2)*AW56+(1-EXP(-LN(2)/2))/(LN(2)/2)*AQ57*AT57*VLOOKUP('Données projet'!$B$10,Paramètres!$A$1:$I$88,3,0)*0.475*44/12</f>
        <v>5.1315608919321045</v>
      </c>
      <c r="AX57" s="23">
        <f t="shared" si="6"/>
        <v>94.11990317698978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1.7053025658242404E-13</v>
      </c>
      <c r="BE57" s="14">
        <f>BD57*VLOOKUP('Données projet'!$B$11,Paramètres!$A$1:$I$88,3,0)*VLOOKUP('Données projet'!$B$11,Paramètres!$A$1:$I$88,5,0)</f>
        <v>1.0197709343628959E-13</v>
      </c>
      <c r="BF57" s="14">
        <f t="shared" si="37"/>
        <v>1.5284983994279675E-12</v>
      </c>
      <c r="BG57" s="22">
        <f t="shared" si="7"/>
        <v>2.839744816738581E-12</v>
      </c>
      <c r="BH57" s="62">
        <f t="shared" si="8"/>
        <v>293.33333333333616</v>
      </c>
      <c r="BI57" s="62">
        <f ca="1">AVERAGE(OFFSET($BH$3,0,0,'Données projet'!$E$11+1,1))-AVERAGE(OFFSET($H$3,0,0,'Données projet'!$E$11+1,1))</f>
        <v>258.1884172762135</v>
      </c>
      <c r="BJ57" s="62">
        <f t="shared" si="38"/>
        <v>356.36714671797864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123.8655654328214</v>
      </c>
      <c r="BQ57" s="23">
        <f>EXP(-LN(2)/25)*BQ56+(1-EXP(-LN(2)/25))/(LN(2)/25)*Calculateur!BL57*Calculateur!BN57*VLOOKUP('Données projet'!$B$11,Paramètres!$A$1:$I$88,3,0)*0.475*44/12</f>
        <v>38.508892393182542</v>
      </c>
      <c r="BR57" s="23">
        <f>EXP(-LN(2)/2)*BR56+(1-EXP(-LN(2)/2))/(LN(2)/2)*BL57*BO57*VLOOKUP('Données projet'!$B$11,Paramètres!$A$1:$I$88,3,0)*0.475*44/12</f>
        <v>6.5472120928777722</v>
      </c>
      <c r="BS57" s="24">
        <f t="shared" si="9"/>
        <v>168.92166991888172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projet'!$B$12,Paramètres!$A$1:$I$88,3,0)*VLOOKUP('Données projet'!$B$12,Paramètres!$A$1:$I$88,5,0)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201.94015973767443</v>
      </c>
      <c r="CE57" s="62">
        <f t="shared" si="40"/>
        <v>287.12228849146032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92.244442375353842</v>
      </c>
      <c r="CL57" s="23">
        <f>EXP(-LN(2)/25)*CL56+(1-EXP(-LN(2)/25))/(LN(2)/25)*Calculateur!CG57*Calculateur!CI57*VLOOKUP('Données projet'!$B$12,Paramètres!$A$1:$I$88,3,0)*0.475*44/12</f>
        <v>26.842844340693521</v>
      </c>
      <c r="CM57" s="23">
        <f>EXP(-LN(2)/2)*CM56+(1-EXP(-LN(2)/2))/(LN(2)/2)*CG57*CJ57*VLOOKUP('Données projet'!$B$12,Paramètres!$A$1:$I$88,3,0)*0.475*44/12</f>
        <v>4.8941771952401005</v>
      </c>
      <c r="CN57" s="24">
        <f t="shared" si="12"/>
        <v>123.98146391128746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projet'!$B$9,Paramètres!$A$1:$I$88,3,0)*VLOOKUP('Données projet'!$B$9,Paramètres!$A$1:$I$88,5,0)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201.94015973767443</v>
      </c>
      <c r="T58" s="62">
        <f t="shared" si="34"/>
        <v>287.12228849146032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90.435585123927439</v>
      </c>
      <c r="AA58" s="23">
        <f>EXP(-LN(2)/25)*AA57+(1-EXP(-LN(2)/25))/(LN(2)/25)*Calculateur!V58*Calculateur!X58*VLOOKUP('Données projet'!$B$9,Paramètres!$A$1:$I$88,3,0)*0.475*44/12</f>
        <v>26.108825350593424</v>
      </c>
      <c r="AB58" s="23">
        <f>EXP(-LN(2)/2)*AB57+(1-EXP(-LN(2)/2))/(LN(2)/2)*V58*Y58*VLOOKUP('Données projet'!$B$9,Paramètres!$A$1:$I$88,3,0)*0.475*44/12</f>
        <v>3.460705883082833</v>
      </c>
      <c r="AC58" s="24">
        <f t="shared" si="3"/>
        <v>120.0051163576037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projet'!$B$10,Paramètres!$A$1:$I$88,3,0)*VLOOKUP('Données projet'!$B$10,Paramètres!$A$1:$I$88,5,0)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135.19533066605396</v>
      </c>
      <c r="AO58" s="62">
        <f t="shared" si="36"/>
        <v>213.60182977243113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64.81067783296406</v>
      </c>
      <c r="AV58" s="23">
        <f>EXP(-LN(2)/25)*AV57+(1-EXP(-LN(2)/25))/(LN(2)/25)*Calculateur!AQ58*Calculateur!AS58*VLOOKUP('Données projet'!$B$10,Paramètres!$A$1:$I$88,3,0)*0.475*44/12</f>
        <v>22.255654962035592</v>
      </c>
      <c r="AW58" s="23">
        <f>EXP(-LN(2)/2)*AW57+(1-EXP(-LN(2)/2))/(LN(2)/2)*AQ58*AT58*VLOOKUP('Données projet'!$B$10,Paramètres!$A$1:$I$88,3,0)*0.475*44/12</f>
        <v>3.6285615047568793</v>
      </c>
      <c r="AX58" s="23">
        <f t="shared" si="6"/>
        <v>90.694894299756527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1.7053025658242404E-13</v>
      </c>
      <c r="BE58" s="14">
        <f>BD58*VLOOKUP('Données projet'!$B$11,Paramètres!$A$1:$I$88,3,0)*VLOOKUP('Données projet'!$B$11,Paramètres!$A$1:$I$88,5,0)</f>
        <v>1.0197709343628959E-13</v>
      </c>
      <c r="BF58" s="14">
        <f t="shared" si="37"/>
        <v>1.5284983994279675E-12</v>
      </c>
      <c r="BG58" s="22">
        <f t="shared" si="7"/>
        <v>2.839744816738581E-12</v>
      </c>
      <c r="BH58" s="62">
        <f t="shared" si="8"/>
        <v>293.33333333333616</v>
      </c>
      <c r="BI58" s="62">
        <f ca="1">AVERAGE(OFFSET($BH$3,0,0,'Données projet'!$E$11+1,1))-AVERAGE(OFFSET($H$3,0,0,'Données projet'!$E$11+1,1))</f>
        <v>258.1884172762135</v>
      </c>
      <c r="BJ58" s="62">
        <f t="shared" si="38"/>
        <v>356.36714671797864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121.43663724521869</v>
      </c>
      <c r="BQ58" s="23">
        <f>EXP(-LN(2)/25)*BQ57+(1-EXP(-LN(2)/25))/(LN(2)/25)*Calculateur!BL58*Calculateur!BN58*VLOOKUP('Données projet'!$B$11,Paramètres!$A$1:$I$88,3,0)*0.475*44/12</f>
        <v>37.455864705596326</v>
      </c>
      <c r="BR58" s="23">
        <f>EXP(-LN(2)/2)*BR57+(1-EXP(-LN(2)/2))/(LN(2)/2)*BL58*BO58*VLOOKUP('Données projet'!$B$11,Paramètres!$A$1:$I$88,3,0)*0.475*44/12</f>
        <v>4.6295780687404413</v>
      </c>
      <c r="BS58" s="24">
        <f t="shared" si="9"/>
        <v>163.52208001955546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projet'!$B$12,Paramètres!$A$1:$I$88,3,0)*VLOOKUP('Données projet'!$B$12,Paramètres!$A$1:$I$88,5,0)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201.94015973767443</v>
      </c>
      <c r="CE58" s="62">
        <f t="shared" si="40"/>
        <v>287.12228849146032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90.435585123927439</v>
      </c>
      <c r="CL58" s="23">
        <f>EXP(-LN(2)/25)*CL57+(1-EXP(-LN(2)/25))/(LN(2)/25)*Calculateur!CG58*Calculateur!CI58*VLOOKUP('Données projet'!$B$12,Paramètres!$A$1:$I$88,3,0)*0.475*44/12</f>
        <v>26.108825350593424</v>
      </c>
      <c r="CM58" s="23">
        <f>EXP(-LN(2)/2)*CM57+(1-EXP(-LN(2)/2))/(LN(2)/2)*CG58*CJ58*VLOOKUP('Données projet'!$B$12,Paramètres!$A$1:$I$88,3,0)*0.475*44/12</f>
        <v>3.460705883082833</v>
      </c>
      <c r="CN58" s="24">
        <f t="shared" si="12"/>
        <v>120.0051163576037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projet'!$B$9,Paramètres!$A$1:$I$88,3,0)*VLOOKUP('Données projet'!$B$9,Paramètres!$A$1:$I$88,5,0)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201.94015973767443</v>
      </c>
      <c r="T59" s="62">
        <f t="shared" si="34"/>
        <v>287.12228849146032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88.662198459907529</v>
      </c>
      <c r="AA59" s="23">
        <f>EXP(-LN(2)/25)*AA58+(1-EXP(-LN(2)/25))/(LN(2)/25)*Calculateur!V59*Calculateur!X59*VLOOKUP('Données projet'!$B$9,Paramètres!$A$1:$I$88,3,0)*0.475*44/12</f>
        <v>25.394878148377995</v>
      </c>
      <c r="AB59" s="23">
        <f>EXP(-LN(2)/2)*AB58+(1-EXP(-LN(2)/2))/(LN(2)/2)*V59*Y59*VLOOKUP('Données projet'!$B$9,Paramètres!$A$1:$I$88,3,0)*0.475*44/12</f>
        <v>2.4470885976200507</v>
      </c>
      <c r="AC59" s="24">
        <f t="shared" si="3"/>
        <v>116.50416520590558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projet'!$B$10,Paramètres!$A$1:$I$88,3,0)*VLOOKUP('Données projet'!$B$10,Paramètres!$A$1:$I$88,5,0)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135.19533066605396</v>
      </c>
      <c r="AO59" s="62">
        <f t="shared" si="36"/>
        <v>213.60182977243113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63.539779971269787</v>
      </c>
      <c r="AV59" s="23">
        <f>EXP(-LN(2)/25)*AV58+(1-EXP(-LN(2)/25))/(LN(2)/25)*Calculateur!AQ59*Calculateur!AS59*VLOOKUP('Données projet'!$B$10,Paramètres!$A$1:$I$88,3,0)*0.475*44/12</f>
        <v>21.647072906724702</v>
      </c>
      <c r="AW59" s="23">
        <f>EXP(-LN(2)/2)*AW58+(1-EXP(-LN(2)/2))/(LN(2)/2)*AQ59*AT59*VLOOKUP('Données projet'!$B$10,Paramètres!$A$1:$I$88,3,0)*0.475*44/12</f>
        <v>2.5657804459660523</v>
      </c>
      <c r="AX59" s="23">
        <f t="shared" si="6"/>
        <v>87.752633323960538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1.7053025658242404E-13</v>
      </c>
      <c r="BE59" s="14">
        <f>BD59*VLOOKUP('Données projet'!$B$11,Paramètres!$A$1:$I$88,3,0)*VLOOKUP('Données projet'!$B$11,Paramètres!$A$1:$I$88,5,0)</f>
        <v>1.0197709343628959E-13</v>
      </c>
      <c r="BF59" s="14">
        <f t="shared" si="37"/>
        <v>1.5284983994279675E-12</v>
      </c>
      <c r="BG59" s="22">
        <f t="shared" si="7"/>
        <v>2.839744816738581E-12</v>
      </c>
      <c r="BH59" s="62">
        <f t="shared" si="8"/>
        <v>293.33333333333616</v>
      </c>
      <c r="BI59" s="62">
        <f ca="1">AVERAGE(OFFSET($BH$3,0,0,'Données projet'!$E$11+1,1))-AVERAGE(OFFSET($H$3,0,0,'Données projet'!$E$11+1,1))</f>
        <v>258.1884172762135</v>
      </c>
      <c r="BJ59" s="62">
        <f t="shared" si="38"/>
        <v>356.36714671797864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119.05533885787496</v>
      </c>
      <c r="BQ59" s="23">
        <f>EXP(-LN(2)/25)*BQ58+(1-EXP(-LN(2)/25))/(LN(2)/25)*Calculateur!BL59*Calculateur!BN59*VLOOKUP('Données projet'!$B$11,Paramètres!$A$1:$I$88,3,0)*0.475*44/12</f>
        <v>36.431632115503476</v>
      </c>
      <c r="BR59" s="23">
        <f>EXP(-LN(2)/2)*BR58+(1-EXP(-LN(2)/2))/(LN(2)/2)*BL59*BO59*VLOOKUP('Données projet'!$B$11,Paramètres!$A$1:$I$88,3,0)*0.475*44/12</f>
        <v>3.2736060464388865</v>
      </c>
      <c r="BS59" s="24">
        <f t="shared" si="9"/>
        <v>158.76057701981733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projet'!$B$12,Paramètres!$A$1:$I$88,3,0)*VLOOKUP('Données projet'!$B$12,Paramètres!$A$1:$I$88,5,0)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201.94015973767443</v>
      </c>
      <c r="CE59" s="62">
        <f t="shared" si="40"/>
        <v>287.12228849146032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88.662198459907529</v>
      </c>
      <c r="CL59" s="23">
        <f>EXP(-LN(2)/25)*CL58+(1-EXP(-LN(2)/25))/(LN(2)/25)*Calculateur!CG59*Calculateur!CI59*VLOOKUP('Données projet'!$B$12,Paramètres!$A$1:$I$88,3,0)*0.475*44/12</f>
        <v>25.394878148377995</v>
      </c>
      <c r="CM59" s="23">
        <f>EXP(-LN(2)/2)*CM58+(1-EXP(-LN(2)/2))/(LN(2)/2)*CG59*CJ59*VLOOKUP('Données projet'!$B$12,Paramètres!$A$1:$I$88,3,0)*0.475*44/12</f>
        <v>2.4470885976200507</v>
      </c>
      <c r="CN59" s="24">
        <f t="shared" si="12"/>
        <v>116.50416520590558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projet'!$B$9,Paramètres!$A$1:$I$88,3,0)*VLOOKUP('Données projet'!$B$9,Paramètres!$A$1:$I$88,5,0)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201.94015973767443</v>
      </c>
      <c r="T60" s="62">
        <f t="shared" si="34"/>
        <v>287.12228849146032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86.923586826709979</v>
      </c>
      <c r="AA60" s="23">
        <f>EXP(-LN(2)/25)*AA59+(1-EXP(-LN(2)/25))/(LN(2)/25)*Calculateur!V60*Calculateur!X60*VLOOKUP('Données projet'!$B$9,Paramètres!$A$1:$I$88,3,0)*0.475*44/12</f>
        <v>24.700453869951996</v>
      </c>
      <c r="AB60" s="23">
        <f>EXP(-LN(2)/2)*AB59+(1-EXP(-LN(2)/2))/(LN(2)/2)*V60*Y60*VLOOKUP('Données projet'!$B$9,Paramètres!$A$1:$I$88,3,0)*0.475*44/12</f>
        <v>1.7303529415414167</v>
      </c>
      <c r="AC60" s="24">
        <f t="shared" si="3"/>
        <v>113.35439363820339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projet'!$B$10,Paramètres!$A$1:$I$88,3,0)*VLOOKUP('Données projet'!$B$10,Paramètres!$A$1:$I$88,5,0)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135.19533066605396</v>
      </c>
      <c r="AO60" s="62">
        <f t="shared" si="36"/>
        <v>213.60182977243113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62.293803641472188</v>
      </c>
      <c r="AV60" s="23">
        <f>EXP(-LN(2)/25)*AV59+(1-EXP(-LN(2)/25))/(LN(2)/25)*Calculateur!AQ60*Calculateur!AS60*VLOOKUP('Données projet'!$B$10,Paramètres!$A$1:$I$88,3,0)*0.475*44/12</f>
        <v>21.055132559720224</v>
      </c>
      <c r="AW60" s="23">
        <f>EXP(-LN(2)/2)*AW59+(1-EXP(-LN(2)/2))/(LN(2)/2)*AQ60*AT60*VLOOKUP('Données projet'!$B$10,Paramètres!$A$1:$I$88,3,0)*0.475*44/12</f>
        <v>1.8142807523784397</v>
      </c>
      <c r="AX60" s="23">
        <f t="shared" si="6"/>
        <v>85.163216953570853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1.7053025658242404E-13</v>
      </c>
      <c r="BE60" s="14">
        <f>BD60*VLOOKUP('Données projet'!$B$11,Paramètres!$A$1:$I$88,3,0)*VLOOKUP('Données projet'!$B$11,Paramètres!$A$1:$I$88,5,0)</f>
        <v>1.0197709343628959E-13</v>
      </c>
      <c r="BF60" s="14">
        <f t="shared" si="37"/>
        <v>1.5284983994279675E-12</v>
      </c>
      <c r="BG60" s="22">
        <f t="shared" si="7"/>
        <v>2.839744816738581E-12</v>
      </c>
      <c r="BH60" s="62">
        <f t="shared" si="8"/>
        <v>293.33333333333616</v>
      </c>
      <c r="BI60" s="62">
        <f ca="1">AVERAGE(OFFSET($BH$3,0,0,'Données projet'!$E$11+1,1))-AVERAGE(OFFSET($H$3,0,0,'Données projet'!$E$11+1,1))</f>
        <v>258.1884172762135</v>
      </c>
      <c r="BJ60" s="62">
        <f t="shared" si="38"/>
        <v>356.36714671797864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116.72073627945844</v>
      </c>
      <c r="BQ60" s="23">
        <f>EXP(-LN(2)/25)*BQ59+(1-EXP(-LN(2)/25))/(LN(2)/25)*Calculateur!BL60*Calculateur!BN60*VLOOKUP('Données projet'!$B$11,Paramètres!$A$1:$I$88,3,0)*0.475*44/12</f>
        <v>35.435407219448763</v>
      </c>
      <c r="BR60" s="23">
        <f>EXP(-LN(2)/2)*BR59+(1-EXP(-LN(2)/2))/(LN(2)/2)*BL60*BO60*VLOOKUP('Données projet'!$B$11,Paramètres!$A$1:$I$88,3,0)*0.475*44/12</f>
        <v>2.3147890343702207</v>
      </c>
      <c r="BS60" s="24">
        <f t="shared" si="9"/>
        <v>154.47093253327742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projet'!$B$12,Paramètres!$A$1:$I$88,3,0)*VLOOKUP('Données projet'!$B$12,Paramètres!$A$1:$I$88,5,0)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201.94015973767443</v>
      </c>
      <c r="CE60" s="62">
        <f t="shared" si="40"/>
        <v>287.12228849146032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86.923586826709979</v>
      </c>
      <c r="CL60" s="23">
        <f>EXP(-LN(2)/25)*CL59+(1-EXP(-LN(2)/25))/(LN(2)/25)*Calculateur!CG60*Calculateur!CI60*VLOOKUP('Données projet'!$B$12,Paramètres!$A$1:$I$88,3,0)*0.475*44/12</f>
        <v>24.700453869951996</v>
      </c>
      <c r="CM60" s="23">
        <f>EXP(-LN(2)/2)*CM59+(1-EXP(-LN(2)/2))/(LN(2)/2)*CG60*CJ60*VLOOKUP('Données projet'!$B$12,Paramètres!$A$1:$I$88,3,0)*0.475*44/12</f>
        <v>1.7303529415414167</v>
      </c>
      <c r="CN60" s="24">
        <f t="shared" si="12"/>
        <v>113.35439363820339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projet'!$B$9,Paramètres!$A$1:$I$88,3,0)*VLOOKUP('Données projet'!$B$9,Paramètres!$A$1:$I$88,5,0)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201.94015973767443</v>
      </c>
      <c r="T61" s="62">
        <f t="shared" si="34"/>
        <v>287.12228849146032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85.219068307191051</v>
      </c>
      <c r="AA61" s="23">
        <f>EXP(-LN(2)/25)*AA60+(1-EXP(-LN(2)/25))/(LN(2)/25)*Calculateur!V61*Calculateur!X61*VLOOKUP('Données projet'!$B$9,Paramètres!$A$1:$I$88,3,0)*0.475*44/12</f>
        <v>24.025018659937743</v>
      </c>
      <c r="AB61" s="23">
        <f>EXP(-LN(2)/2)*AB60+(1-EXP(-LN(2)/2))/(LN(2)/2)*V61*Y61*VLOOKUP('Données projet'!$B$9,Paramètres!$A$1:$I$88,3,0)*0.475*44/12</f>
        <v>1.2235442988100256</v>
      </c>
      <c r="AC61" s="24">
        <f t="shared" si="3"/>
        <v>110.46763126593882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projet'!$B$10,Paramètres!$A$1:$I$88,3,0)*VLOOKUP('Données projet'!$B$10,Paramètres!$A$1:$I$88,5,0)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135.19533066605396</v>
      </c>
      <c r="AO61" s="62">
        <f t="shared" si="36"/>
        <v>213.60182977243113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61.072260147531402</v>
      </c>
      <c r="AV61" s="23">
        <f>EXP(-LN(2)/25)*AV60+(1-EXP(-LN(2)/25))/(LN(2)/25)*Calculateur!AQ61*Calculateur!AS61*VLOOKUP('Données projet'!$B$10,Paramètres!$A$1:$I$88,3,0)*0.475*44/12</f>
        <v>20.479378852633374</v>
      </c>
      <c r="AW61" s="23">
        <f>EXP(-LN(2)/2)*AW60+(1-EXP(-LN(2)/2))/(LN(2)/2)*AQ61*AT61*VLOOKUP('Données projet'!$B$10,Paramètres!$A$1:$I$88,3,0)*0.475*44/12</f>
        <v>1.2828902229830261</v>
      </c>
      <c r="AX61" s="23">
        <f t="shared" si="6"/>
        <v>82.834529223147811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1.7053025658242404E-13</v>
      </c>
      <c r="BE61" s="14">
        <f>BD61*VLOOKUP('Données projet'!$B$11,Paramètres!$A$1:$I$88,3,0)*VLOOKUP('Données projet'!$B$11,Paramètres!$A$1:$I$88,5,0)</f>
        <v>1.0197709343628959E-13</v>
      </c>
      <c r="BF61" s="14">
        <f t="shared" si="37"/>
        <v>1.5284983994279675E-12</v>
      </c>
      <c r="BG61" s="22">
        <f t="shared" si="7"/>
        <v>2.839744816738581E-12</v>
      </c>
      <c r="BH61" s="62">
        <f t="shared" si="8"/>
        <v>293.33333333333616</v>
      </c>
      <c r="BI61" s="62">
        <f ca="1">AVERAGE(OFFSET($BH$3,0,0,'Données projet'!$E$11+1,1))-AVERAGE(OFFSET($H$3,0,0,'Données projet'!$E$11+1,1))</f>
        <v>258.1884172762135</v>
      </c>
      <c r="BJ61" s="62">
        <f t="shared" si="38"/>
        <v>356.36714671797864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114.43191383363769</v>
      </c>
      <c r="BQ61" s="23">
        <f>EXP(-LN(2)/25)*BQ60+(1-EXP(-LN(2)/25))/(LN(2)/25)*Calculateur!BL61*Calculateur!BN61*VLOOKUP('Données projet'!$B$11,Paramètres!$A$1:$I$88,3,0)*0.475*44/12</f>
        <v>34.46642414556586</v>
      </c>
      <c r="BR61" s="23">
        <f>EXP(-LN(2)/2)*BR60+(1-EXP(-LN(2)/2))/(LN(2)/2)*BL61*BO61*VLOOKUP('Données projet'!$B$11,Paramètres!$A$1:$I$88,3,0)*0.475*44/12</f>
        <v>1.6368030232194433</v>
      </c>
      <c r="BS61" s="24">
        <f t="shared" si="9"/>
        <v>150.53514100242299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projet'!$B$12,Paramètres!$A$1:$I$88,3,0)*VLOOKUP('Données projet'!$B$12,Paramètres!$A$1:$I$88,5,0)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201.94015973767443</v>
      </c>
      <c r="CE61" s="62">
        <f t="shared" si="40"/>
        <v>287.12228849146032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85.219068307191051</v>
      </c>
      <c r="CL61" s="23">
        <f>EXP(-LN(2)/25)*CL60+(1-EXP(-LN(2)/25))/(LN(2)/25)*Calculateur!CG61*Calculateur!CI61*VLOOKUP('Données projet'!$B$12,Paramètres!$A$1:$I$88,3,0)*0.475*44/12</f>
        <v>24.025018659937743</v>
      </c>
      <c r="CM61" s="23">
        <f>EXP(-LN(2)/2)*CM60+(1-EXP(-LN(2)/2))/(LN(2)/2)*CG61*CJ61*VLOOKUP('Données projet'!$B$12,Paramètres!$A$1:$I$88,3,0)*0.475*44/12</f>
        <v>1.2235442988100256</v>
      </c>
      <c r="CN61" s="24">
        <f t="shared" si="12"/>
        <v>110.46763126593882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projet'!$B$9,Paramètres!$A$1:$I$88,3,0)*VLOOKUP('Données projet'!$B$9,Paramètres!$A$1:$I$88,5,0)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201.94015973767443</v>
      </c>
      <c r="T62" s="62">
        <f t="shared" si="34"/>
        <v>287.12228849146032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83.547974356186245</v>
      </c>
      <c r="AA62" s="23">
        <f>EXP(-LN(2)/25)*AA61+(1-EXP(-LN(2)/25))/(LN(2)/25)*Calculateur!V62*Calculateur!X62*VLOOKUP('Données projet'!$B$9,Paramètres!$A$1:$I$88,3,0)*0.475*44/12</f>
        <v>23.368053261260926</v>
      </c>
      <c r="AB62" s="23">
        <f>EXP(-LN(2)/2)*AB61+(1-EXP(-LN(2)/2))/(LN(2)/2)*V62*Y62*VLOOKUP('Données projet'!$B$9,Paramètres!$A$1:$I$88,3,0)*0.475*44/12</f>
        <v>0.86517647077070858</v>
      </c>
      <c r="AC62" s="24">
        <f t="shared" si="3"/>
        <v>107.78120408821788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projet'!$B$10,Paramètres!$A$1:$I$88,3,0)*VLOOKUP('Données projet'!$B$10,Paramètres!$A$1:$I$88,5,0)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135.19533066605396</v>
      </c>
      <c r="AO62" s="62">
        <f t="shared" si="36"/>
        <v>213.60182977243113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59.874670376438829</v>
      </c>
      <c r="AV62" s="23">
        <f>EXP(-LN(2)/25)*AV61+(1-EXP(-LN(2)/25))/(LN(2)/25)*Calculateur!AQ62*Calculateur!AS62*VLOOKUP('Données projet'!$B$10,Paramètres!$A$1:$I$88,3,0)*0.475*44/12</f>
        <v>19.919369160944388</v>
      </c>
      <c r="AW62" s="23">
        <f>EXP(-LN(2)/2)*AW61+(1-EXP(-LN(2)/2))/(LN(2)/2)*AQ62*AT62*VLOOKUP('Données projet'!$B$10,Paramètres!$A$1:$I$88,3,0)*0.475*44/12</f>
        <v>0.90714037618921983</v>
      </c>
      <c r="AX62" s="23">
        <f t="shared" si="6"/>
        <v>80.701179913572432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1.7053025658242404E-13</v>
      </c>
      <c r="BE62" s="14">
        <f>BD62*VLOOKUP('Données projet'!$B$11,Paramètres!$A$1:$I$88,3,0)*VLOOKUP('Données projet'!$B$11,Paramètres!$A$1:$I$88,5,0)</f>
        <v>1.0197709343628959E-13</v>
      </c>
      <c r="BF62" s="14">
        <f t="shared" si="37"/>
        <v>1.5284983994279675E-12</v>
      </c>
      <c r="BG62" s="22">
        <f t="shared" si="7"/>
        <v>2.839744816738581E-12</v>
      </c>
      <c r="BH62" s="62">
        <f t="shared" si="8"/>
        <v>293.33333333333616</v>
      </c>
      <c r="BI62" s="62">
        <f ca="1">AVERAGE(OFFSET($BH$3,0,0,'Données projet'!$E$11+1,1))-AVERAGE(OFFSET($H$3,0,0,'Données projet'!$E$11+1,1))</f>
        <v>258.1884172762135</v>
      </c>
      <c r="BJ62" s="62">
        <f t="shared" si="38"/>
        <v>356.36714671797864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112.18797379993566</v>
      </c>
      <c r="BQ62" s="23">
        <f>EXP(-LN(2)/25)*BQ61+(1-EXP(-LN(2)/25))/(LN(2)/25)*Calculateur!BL62*Calculateur!BN62*VLOOKUP('Données projet'!$B$11,Paramètres!$A$1:$I$88,3,0)*0.475*44/12</f>
        <v>33.523937964794889</v>
      </c>
      <c r="BR62" s="23">
        <f>EXP(-LN(2)/2)*BR61+(1-EXP(-LN(2)/2))/(LN(2)/2)*BL62*BO62*VLOOKUP('Données projet'!$B$11,Paramètres!$A$1:$I$88,3,0)*0.475*44/12</f>
        <v>1.1573945171851103</v>
      </c>
      <c r="BS62" s="24">
        <f t="shared" si="9"/>
        <v>146.86930628191567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projet'!$B$12,Paramètres!$A$1:$I$88,3,0)*VLOOKUP('Données projet'!$B$12,Paramètres!$A$1:$I$88,5,0)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201.94015973767443</v>
      </c>
      <c r="CE62" s="62">
        <f t="shared" si="40"/>
        <v>287.12228849146032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83.547974356186245</v>
      </c>
      <c r="CL62" s="23">
        <f>EXP(-LN(2)/25)*CL61+(1-EXP(-LN(2)/25))/(LN(2)/25)*Calculateur!CG62*Calculateur!CI62*VLOOKUP('Données projet'!$B$12,Paramètres!$A$1:$I$88,3,0)*0.475*44/12</f>
        <v>23.368053261260926</v>
      </c>
      <c r="CM62" s="23">
        <f>EXP(-LN(2)/2)*CM61+(1-EXP(-LN(2)/2))/(LN(2)/2)*CG62*CJ62*VLOOKUP('Données projet'!$B$12,Paramètres!$A$1:$I$88,3,0)*0.475*44/12</f>
        <v>0.86517647077070858</v>
      </c>
      <c r="CN62" s="24">
        <f t="shared" si="12"/>
        <v>107.78120408821788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projet'!$B$9,Paramètres!$A$1:$I$88,3,0)*VLOOKUP('Données projet'!$B$9,Paramètres!$A$1:$I$88,5,0)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201.94015973767443</v>
      </c>
      <c r="T63" s="62">
        <f t="shared" si="34"/>
        <v>287.12228849146032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81.909649538293991</v>
      </c>
      <c r="AA63" s="23">
        <f>EXP(-LN(2)/25)*AA62+(1-EXP(-LN(2)/25))/(LN(2)/25)*Calculateur!V63*Calculateur!X63*VLOOKUP('Données projet'!$B$9,Paramètres!$A$1:$I$88,3,0)*0.475*44/12</f>
        <v>22.729052615959233</v>
      </c>
      <c r="AB63" s="23">
        <f>EXP(-LN(2)/2)*AB62+(1-EXP(-LN(2)/2))/(LN(2)/2)*V63*Y63*VLOOKUP('Données projet'!$B$9,Paramètres!$A$1:$I$88,3,0)*0.475*44/12</f>
        <v>0.6117721494050129</v>
      </c>
      <c r="AC63" s="24">
        <f t="shared" si="3"/>
        <v>105.25047430365824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projet'!$B$10,Paramètres!$A$1:$I$88,3,0)*VLOOKUP('Données projet'!$B$10,Paramètres!$A$1:$I$88,5,0)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135.19533066605396</v>
      </c>
      <c r="AO63" s="62">
        <f t="shared" si="36"/>
        <v>213.60182977243113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58.70056461029975</v>
      </c>
      <c r="AV63" s="23">
        <f>EXP(-LN(2)/25)*AV62+(1-EXP(-LN(2)/25))/(LN(2)/25)*Calculateur!AQ63*Calculateur!AS63*VLOOKUP('Données projet'!$B$10,Paramètres!$A$1:$I$88,3,0)*0.475*44/12</f>
        <v>19.374672963724265</v>
      </c>
      <c r="AW63" s="23">
        <f>EXP(-LN(2)/2)*AW62+(1-EXP(-LN(2)/2))/(LN(2)/2)*AQ63*AT63*VLOOKUP('Données projet'!$B$10,Paramètres!$A$1:$I$88,3,0)*0.475*44/12</f>
        <v>0.64144511149151306</v>
      </c>
      <c r="AX63" s="23">
        <f t="shared" si="6"/>
        <v>78.716682685515522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1.7053025658242404E-13</v>
      </c>
      <c r="BE63" s="14">
        <f>BD63*VLOOKUP('Données projet'!$B$11,Paramètres!$A$1:$I$88,3,0)*VLOOKUP('Données projet'!$B$11,Paramètres!$A$1:$I$88,5,0)</f>
        <v>1.0197709343628959E-13</v>
      </c>
      <c r="BF63" s="14">
        <f t="shared" si="37"/>
        <v>1.5284983994279675E-12</v>
      </c>
      <c r="BG63" s="22">
        <f t="shared" si="7"/>
        <v>2.839744816738581E-12</v>
      </c>
      <c r="BH63" s="62">
        <f t="shared" si="8"/>
        <v>293.33333333333616</v>
      </c>
      <c r="BI63" s="62">
        <f ca="1">AVERAGE(OFFSET($BH$3,0,0,'Données projet'!$E$11+1,1))-AVERAGE(OFFSET($H$3,0,0,'Données projet'!$E$11+1,1))</f>
        <v>258.1884172762135</v>
      </c>
      <c r="BJ63" s="62">
        <f t="shared" si="38"/>
        <v>356.36714671797864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109.98803606162625</v>
      </c>
      <c r="BQ63" s="23">
        <f>EXP(-LN(2)/25)*BQ62+(1-EXP(-LN(2)/25))/(LN(2)/25)*Calculateur!BL63*Calculateur!BN63*VLOOKUP('Données projet'!$B$11,Paramètres!$A$1:$I$88,3,0)*0.475*44/12</f>
        <v>32.607224118200293</v>
      </c>
      <c r="BR63" s="23">
        <f>EXP(-LN(2)/2)*BR62+(1-EXP(-LN(2)/2))/(LN(2)/2)*BL63*BO63*VLOOKUP('Données projet'!$B$11,Paramètres!$A$1:$I$88,3,0)*0.475*44/12</f>
        <v>0.81840151160972163</v>
      </c>
      <c r="BS63" s="24">
        <f t="shared" si="9"/>
        <v>143.41366169143626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projet'!$B$12,Paramètres!$A$1:$I$88,3,0)*VLOOKUP('Données projet'!$B$12,Paramètres!$A$1:$I$88,5,0)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201.94015973767443</v>
      </c>
      <c r="CE63" s="62">
        <f t="shared" si="40"/>
        <v>287.12228849146032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81.909649538293991</v>
      </c>
      <c r="CL63" s="23">
        <f>EXP(-LN(2)/25)*CL62+(1-EXP(-LN(2)/25))/(LN(2)/25)*Calculateur!CG63*Calculateur!CI63*VLOOKUP('Données projet'!$B$12,Paramètres!$A$1:$I$88,3,0)*0.475*44/12</f>
        <v>22.729052615959233</v>
      </c>
      <c r="CM63" s="23">
        <f>EXP(-LN(2)/2)*CM62+(1-EXP(-LN(2)/2))/(LN(2)/2)*CG63*CJ63*VLOOKUP('Données projet'!$B$12,Paramètres!$A$1:$I$88,3,0)*0.475*44/12</f>
        <v>0.6117721494050129</v>
      </c>
      <c r="CN63" s="24">
        <f t="shared" si="12"/>
        <v>105.25047430365824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projet'!$B$9,Paramètres!$A$1:$I$88,3,0)*VLOOKUP('Données projet'!$B$9,Paramètres!$A$1:$I$88,5,0)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201.94015973767443</v>
      </c>
      <c r="T64" s="62">
        <f t="shared" si="34"/>
        <v>287.12228849146032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80.303451270801133</v>
      </c>
      <c r="AA64" s="23">
        <f>EXP(-LN(2)/25)*AA63+(1-EXP(-LN(2)/25))/(LN(2)/25)*Calculateur!V64*Calculateur!X64*VLOOKUP('Données projet'!$B$9,Paramètres!$A$1:$I$88,3,0)*0.475*44/12</f>
        <v>22.107525476906901</v>
      </c>
      <c r="AB64" s="23">
        <f>EXP(-LN(2)/2)*AB63+(1-EXP(-LN(2)/2))/(LN(2)/2)*V64*Y64*VLOOKUP('Données projet'!$B$9,Paramètres!$A$1:$I$88,3,0)*0.475*44/12</f>
        <v>0.43258823538535435</v>
      </c>
      <c r="AC64" s="24">
        <f t="shared" si="3"/>
        <v>102.84356498309339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projet'!$B$10,Paramètres!$A$1:$I$88,3,0)*VLOOKUP('Données projet'!$B$10,Paramètres!$A$1:$I$88,5,0)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135.19533066605396</v>
      </c>
      <c r="AO64" s="62">
        <f t="shared" si="36"/>
        <v>213.60182977243113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57.549482342100852</v>
      </c>
      <c r="AV64" s="23">
        <f>EXP(-LN(2)/25)*AV63+(1-EXP(-LN(2)/25))/(LN(2)/25)*Calculateur!AQ64*Calculateur!AS64*VLOOKUP('Données projet'!$B$10,Paramètres!$A$1:$I$88,3,0)*0.475*44/12</f>
        <v>18.844871512661456</v>
      </c>
      <c r="AW64" s="23">
        <f>EXP(-LN(2)/2)*AW63+(1-EXP(-LN(2)/2))/(LN(2)/2)*AQ64*AT64*VLOOKUP('Données projet'!$B$10,Paramètres!$A$1:$I$88,3,0)*0.475*44/12</f>
        <v>0.45357018809460992</v>
      </c>
      <c r="AX64" s="23">
        <f t="shared" si="6"/>
        <v>76.847924042856917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1.7053025658242404E-13</v>
      </c>
      <c r="BE64" s="14">
        <f>BD64*VLOOKUP('Données projet'!$B$11,Paramètres!$A$1:$I$88,3,0)*VLOOKUP('Données projet'!$B$11,Paramètres!$A$1:$I$88,5,0)</f>
        <v>1.0197709343628959E-13</v>
      </c>
      <c r="BF64" s="14">
        <f t="shared" si="37"/>
        <v>1.5284983994279675E-12</v>
      </c>
      <c r="BG64" s="22">
        <f t="shared" si="7"/>
        <v>2.839744816738581E-12</v>
      </c>
      <c r="BH64" s="62">
        <f t="shared" si="8"/>
        <v>293.33333333333616</v>
      </c>
      <c r="BI64" s="62">
        <f ca="1">AVERAGE(OFFSET($BH$3,0,0,'Données projet'!$E$11+1,1))-AVERAGE(OFFSET($H$3,0,0,'Données projet'!$E$11+1,1))</f>
        <v>258.1884172762135</v>
      </c>
      <c r="BJ64" s="62">
        <f t="shared" si="38"/>
        <v>356.36714671797864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107.83123776053556</v>
      </c>
      <c r="BQ64" s="23">
        <f>EXP(-LN(2)/25)*BQ63+(1-EXP(-LN(2)/25))/(LN(2)/25)*Calculateur!BL64*Calculateur!BN64*VLOOKUP('Données projet'!$B$11,Paramètres!$A$1:$I$88,3,0)*0.475*44/12</f>
        <v>31.715577859948713</v>
      </c>
      <c r="BR64" s="23">
        <f>EXP(-LN(2)/2)*BR63+(1-EXP(-LN(2)/2))/(LN(2)/2)*BL64*BO64*VLOOKUP('Données projet'!$B$11,Paramètres!$A$1:$I$88,3,0)*0.475*44/12</f>
        <v>0.57869725859255516</v>
      </c>
      <c r="BS64" s="24">
        <f t="shared" si="9"/>
        <v>140.12551287907681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projet'!$B$12,Paramètres!$A$1:$I$88,3,0)*VLOOKUP('Données projet'!$B$12,Paramètres!$A$1:$I$88,5,0)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201.94015973767443</v>
      </c>
      <c r="CE64" s="62">
        <f t="shared" si="40"/>
        <v>287.12228849146032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80.303451270801133</v>
      </c>
      <c r="CL64" s="23">
        <f>EXP(-LN(2)/25)*CL63+(1-EXP(-LN(2)/25))/(LN(2)/25)*Calculateur!CG64*Calculateur!CI64*VLOOKUP('Données projet'!$B$12,Paramètres!$A$1:$I$88,3,0)*0.475*44/12</f>
        <v>22.107525476906901</v>
      </c>
      <c r="CM64" s="23">
        <f>EXP(-LN(2)/2)*CM63+(1-EXP(-LN(2)/2))/(LN(2)/2)*CG64*CJ64*VLOOKUP('Données projet'!$B$12,Paramètres!$A$1:$I$88,3,0)*0.475*44/12</f>
        <v>0.43258823538535435</v>
      </c>
      <c r="CN64" s="24">
        <f t="shared" si="12"/>
        <v>102.84356498309339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projet'!$B$9,Paramètres!$A$1:$I$88,3,0)*VLOOKUP('Données projet'!$B$9,Paramètres!$A$1:$I$88,5,0)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201.94015973767443</v>
      </c>
      <c r="T65" s="62">
        <f t="shared" si="34"/>
        <v>287.12228849146032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78.728749571649601</v>
      </c>
      <c r="AA65" s="23">
        <f>EXP(-LN(2)/25)*AA64+(1-EXP(-LN(2)/25))/(LN(2)/25)*Calculateur!V65*Calculateur!X65*VLOOKUP('Données projet'!$B$9,Paramètres!$A$1:$I$88,3,0)*0.475*44/12</f>
        <v>21.502994030156643</v>
      </c>
      <c r="AB65" s="23">
        <f>EXP(-LN(2)/2)*AB64+(1-EXP(-LN(2)/2))/(LN(2)/2)*V65*Y65*VLOOKUP('Données projet'!$B$9,Paramètres!$A$1:$I$88,3,0)*0.475*44/12</f>
        <v>0.30588607470250651</v>
      </c>
      <c r="AC65" s="24">
        <f t="shared" si="3"/>
        <v>100.53762967650874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projet'!$B$10,Paramètres!$A$1:$I$88,3,0)*VLOOKUP('Données projet'!$B$10,Paramètres!$A$1:$I$88,5,0)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135.19533066605396</v>
      </c>
      <c r="AO65" s="62">
        <f t="shared" si="36"/>
        <v>213.60182977243113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56.420972095090477</v>
      </c>
      <c r="AV65" s="23">
        <f>EXP(-LN(2)/25)*AV64+(1-EXP(-LN(2)/25))/(LN(2)/25)*Calculateur!AQ65*Calculateur!AS65*VLOOKUP('Données projet'!$B$10,Paramètres!$A$1:$I$88,3,0)*0.475*44/12</f>
        <v>18.329557510139008</v>
      </c>
      <c r="AW65" s="23">
        <f>EXP(-LN(2)/2)*AW64+(1-EXP(-LN(2)/2))/(LN(2)/2)*AQ65*AT65*VLOOKUP('Données projet'!$B$10,Paramètres!$A$1:$I$88,3,0)*0.475*44/12</f>
        <v>0.32072255574575653</v>
      </c>
      <c r="AX65" s="23">
        <f t="shared" si="6"/>
        <v>75.071252160975249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1.7053025658242404E-13</v>
      </c>
      <c r="BE65" s="14">
        <f>BD65*VLOOKUP('Données projet'!$B$11,Paramètres!$A$1:$I$88,3,0)*VLOOKUP('Données projet'!$B$11,Paramètres!$A$1:$I$88,5,0)</f>
        <v>1.0197709343628959E-13</v>
      </c>
      <c r="BF65" s="14">
        <f t="shared" si="37"/>
        <v>1.5284983994279675E-12</v>
      </c>
      <c r="BG65" s="22">
        <f t="shared" si="7"/>
        <v>2.839744816738581E-12</v>
      </c>
      <c r="BH65" s="62">
        <f t="shared" si="8"/>
        <v>293.33333333333616</v>
      </c>
      <c r="BI65" s="62">
        <f ca="1">AVERAGE(OFFSET($BH$3,0,0,'Données projet'!$E$11+1,1))-AVERAGE(OFFSET($H$3,0,0,'Données projet'!$E$11+1,1))</f>
        <v>258.1884172762135</v>
      </c>
      <c r="BJ65" s="62">
        <f t="shared" si="38"/>
        <v>356.36714671797864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105.71673295861218</v>
      </c>
      <c r="BQ65" s="23">
        <f>EXP(-LN(2)/25)*BQ64+(1-EXP(-LN(2)/25))/(LN(2)/25)*Calculateur!BL65*Calculateur!BN65*VLOOKUP('Données projet'!$B$11,Paramètres!$A$1:$I$88,3,0)*0.475*44/12</f>
        <v>30.848313715518664</v>
      </c>
      <c r="BR65" s="23">
        <f>EXP(-LN(2)/2)*BR64+(1-EXP(-LN(2)/2))/(LN(2)/2)*BL65*BO65*VLOOKUP('Données projet'!$B$11,Paramètres!$A$1:$I$88,3,0)*0.475*44/12</f>
        <v>0.40920075580486082</v>
      </c>
      <c r="BS65" s="24">
        <f t="shared" si="9"/>
        <v>136.97424742993573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projet'!$B$12,Paramètres!$A$1:$I$88,3,0)*VLOOKUP('Données projet'!$B$12,Paramètres!$A$1:$I$88,5,0)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201.94015973767443</v>
      </c>
      <c r="CE65" s="62">
        <f t="shared" si="40"/>
        <v>287.12228849146032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78.728749571649601</v>
      </c>
      <c r="CL65" s="23">
        <f>EXP(-LN(2)/25)*CL64+(1-EXP(-LN(2)/25))/(LN(2)/25)*Calculateur!CG65*Calculateur!CI65*VLOOKUP('Données projet'!$B$12,Paramètres!$A$1:$I$88,3,0)*0.475*44/12</f>
        <v>21.502994030156643</v>
      </c>
      <c r="CM65" s="23">
        <f>EXP(-LN(2)/2)*CM64+(1-EXP(-LN(2)/2))/(LN(2)/2)*CG65*CJ65*VLOOKUP('Données projet'!$B$12,Paramètres!$A$1:$I$88,3,0)*0.475*44/12</f>
        <v>0.30588607470250651</v>
      </c>
      <c r="CN65" s="24">
        <f t="shared" si="12"/>
        <v>100.53762967650874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projet'!$B$9,Paramètres!$A$1:$I$88,3,0)*VLOOKUP('Données projet'!$B$9,Paramètres!$A$1:$I$88,5,0)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201.94015973767443</v>
      </c>
      <c r="T66" s="62">
        <f t="shared" si="34"/>
        <v>287.12228849146032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77.184926812345225</v>
      </c>
      <c r="AA66" s="23">
        <f>EXP(-LN(2)/25)*AA65+(1-EXP(-LN(2)/25))/(LN(2)/25)*Calculateur!V66*Calculateur!X66*VLOOKUP('Données projet'!$B$9,Paramètres!$A$1:$I$88,3,0)*0.475*44/12</f>
        <v>20.914993527608701</v>
      </c>
      <c r="AB66" s="23">
        <f>EXP(-LN(2)/2)*AB65+(1-EXP(-LN(2)/2))/(LN(2)/2)*V66*Y66*VLOOKUP('Données projet'!$B$9,Paramètres!$A$1:$I$88,3,0)*0.475*44/12</f>
        <v>0.2162941176926772</v>
      </c>
      <c r="AC66" s="24">
        <f t="shared" si="3"/>
        <v>98.316214457646609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projet'!$B$10,Paramètres!$A$1:$I$88,3,0)*VLOOKUP('Données projet'!$B$10,Paramètres!$A$1:$I$88,5,0)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135.19533066605396</v>
      </c>
      <c r="AO66" s="62">
        <f t="shared" si="36"/>
        <v>213.60182977243113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55.31459124570069</v>
      </c>
      <c r="AV66" s="23">
        <f>EXP(-LN(2)/25)*AV65+(1-EXP(-LN(2)/25))/(LN(2)/25)*Calculateur!AQ66*Calculateur!AS66*VLOOKUP('Données projet'!$B$10,Paramètres!$A$1:$I$88,3,0)*0.475*44/12</f>
        <v>17.828334796114721</v>
      </c>
      <c r="AW66" s="23">
        <f>EXP(-LN(2)/2)*AW65+(1-EXP(-LN(2)/2))/(LN(2)/2)*AQ66*AT66*VLOOKUP('Données projet'!$B$10,Paramètres!$A$1:$I$88,3,0)*0.475*44/12</f>
        <v>0.22678509404730496</v>
      </c>
      <c r="AX66" s="23">
        <f t="shared" si="6"/>
        <v>73.369711135862715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1.7053025658242404E-13</v>
      </c>
      <c r="BE66" s="14">
        <f>BD66*VLOOKUP('Données projet'!$B$11,Paramètres!$A$1:$I$88,3,0)*VLOOKUP('Données projet'!$B$11,Paramètres!$A$1:$I$88,5,0)</f>
        <v>1.0197709343628959E-13</v>
      </c>
      <c r="BF66" s="14">
        <f t="shared" si="37"/>
        <v>1.5284983994279675E-12</v>
      </c>
      <c r="BG66" s="22">
        <f t="shared" si="7"/>
        <v>2.839744816738581E-12</v>
      </c>
      <c r="BH66" s="62">
        <f t="shared" si="8"/>
        <v>293.33333333333616</v>
      </c>
      <c r="BI66" s="62">
        <f ca="1">AVERAGE(OFFSET($BH$3,0,0,'Données projet'!$E$11+1,1))-AVERAGE(OFFSET($H$3,0,0,'Données projet'!$E$11+1,1))</f>
        <v>258.1884172762135</v>
      </c>
      <c r="BJ66" s="62">
        <f t="shared" si="38"/>
        <v>356.36714671797864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103.64369230613394</v>
      </c>
      <c r="BQ66" s="23">
        <f>EXP(-LN(2)/25)*BQ65+(1-EXP(-LN(2)/25))/(LN(2)/25)*Calculateur!BL66*Calculateur!BN66*VLOOKUP('Données projet'!$B$11,Paramètres!$A$1:$I$88,3,0)*0.475*44/12</f>
        <v>30.004764954725491</v>
      </c>
      <c r="BR66" s="23">
        <f>EXP(-LN(2)/2)*BR65+(1-EXP(-LN(2)/2))/(LN(2)/2)*BL66*BO66*VLOOKUP('Données projet'!$B$11,Paramètres!$A$1:$I$88,3,0)*0.475*44/12</f>
        <v>0.28934862929627758</v>
      </c>
      <c r="BS66" s="24">
        <f t="shared" si="9"/>
        <v>133.93780589015572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projet'!$B$12,Paramètres!$A$1:$I$88,3,0)*VLOOKUP('Données projet'!$B$12,Paramètres!$A$1:$I$88,5,0)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201.94015973767443</v>
      </c>
      <c r="CE66" s="62">
        <f t="shared" si="40"/>
        <v>287.12228849146032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77.184926812345225</v>
      </c>
      <c r="CL66" s="23">
        <f>EXP(-LN(2)/25)*CL65+(1-EXP(-LN(2)/25))/(LN(2)/25)*Calculateur!CG66*Calculateur!CI66*VLOOKUP('Données projet'!$B$12,Paramètres!$A$1:$I$88,3,0)*0.475*44/12</f>
        <v>20.914993527608701</v>
      </c>
      <c r="CM66" s="23">
        <f>EXP(-LN(2)/2)*CM65+(1-EXP(-LN(2)/2))/(LN(2)/2)*CG66*CJ66*VLOOKUP('Données projet'!$B$12,Paramètres!$A$1:$I$88,3,0)*0.475*44/12</f>
        <v>0.2162941176926772</v>
      </c>
      <c r="CN66" s="24">
        <f t="shared" si="12"/>
        <v>98.316214457646609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projet'!$B$9,Paramètres!$A$1:$I$88,3,0)*VLOOKUP('Données projet'!$B$9,Paramètres!$A$1:$I$88,5,0)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201.94015973767443</v>
      </c>
      <c r="T67" s="62">
        <f t="shared" si="34"/>
        <v>287.12228849146032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75.671377475711907</v>
      </c>
      <c r="AA67" s="23">
        <f>EXP(-LN(2)/25)*AA66+(1-EXP(-LN(2)/25))/(LN(2)/25)*Calculateur!V67*Calculateur!X67*VLOOKUP('Données projet'!$B$9,Paramètres!$A$1:$I$88,3,0)*0.475*44/12</f>
        <v>20.343071929724534</v>
      </c>
      <c r="AB67" s="23">
        <f>EXP(-LN(2)/2)*AB66+(1-EXP(-LN(2)/2))/(LN(2)/2)*V67*Y67*VLOOKUP('Données projet'!$B$9,Paramètres!$A$1:$I$88,3,0)*0.475*44/12</f>
        <v>0.15294303735125325</v>
      </c>
      <c r="AC67" s="24">
        <f t="shared" si="3"/>
        <v>96.167392442787687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projet'!$B$10,Paramètres!$A$1:$I$88,3,0)*VLOOKUP('Données projet'!$B$10,Paramètres!$A$1:$I$88,5,0)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135.19533066605396</v>
      </c>
      <c r="AO67" s="62">
        <f t="shared" si="36"/>
        <v>213.60182977243113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54.229905849941751</v>
      </c>
      <c r="AV67" s="23">
        <f>EXP(-LN(2)/25)*AV66+(1-EXP(-LN(2)/25))/(LN(2)/25)*Calculateur!AQ67*Calculateur!AS67*VLOOKUP('Données projet'!$B$10,Paramètres!$A$1:$I$88,3,0)*0.475*44/12</f>
        <v>17.340818043563583</v>
      </c>
      <c r="AW67" s="23">
        <f>EXP(-LN(2)/2)*AW66+(1-EXP(-LN(2)/2))/(LN(2)/2)*AQ67*AT67*VLOOKUP('Données projet'!$B$10,Paramètres!$A$1:$I$88,3,0)*0.475*44/12</f>
        <v>0.16036127787287827</v>
      </c>
      <c r="AX67" s="23">
        <f t="shared" si="6"/>
        <v>71.731085171378211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1.7053025658242404E-13</v>
      </c>
      <c r="BE67" s="14">
        <f>BD67*VLOOKUP('Données projet'!$B$11,Paramètres!$A$1:$I$88,3,0)*VLOOKUP('Données projet'!$B$11,Paramètres!$A$1:$I$88,5,0)</f>
        <v>1.0197709343628959E-13</v>
      </c>
      <c r="BF67" s="14">
        <f t="shared" si="37"/>
        <v>1.5284983994279675E-12</v>
      </c>
      <c r="BG67" s="22">
        <f t="shared" si="7"/>
        <v>2.839744816738581E-12</v>
      </c>
      <c r="BH67" s="62">
        <f t="shared" si="8"/>
        <v>293.33333333333616</v>
      </c>
      <c r="BI67" s="62">
        <f ca="1">AVERAGE(OFFSET($BH$3,0,0,'Données projet'!$E$11+1,1))-AVERAGE(OFFSET($H$3,0,0,'Données projet'!$E$11+1,1))</f>
        <v>258.1884172762135</v>
      </c>
      <c r="BJ67" s="62">
        <f t="shared" si="38"/>
        <v>356.36714671797864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101.61130271642087</v>
      </c>
      <c r="BQ67" s="23">
        <f>EXP(-LN(2)/25)*BQ66+(1-EXP(-LN(2)/25))/(LN(2)/25)*Calculateur!BL67*Calculateur!BN67*VLOOKUP('Données projet'!$B$11,Paramètres!$A$1:$I$88,3,0)*0.475*44/12</f>
        <v>29.184283079156511</v>
      </c>
      <c r="BR67" s="23">
        <f>EXP(-LN(2)/2)*BR66+(1-EXP(-LN(2)/2))/(LN(2)/2)*BL67*BO67*VLOOKUP('Données projet'!$B$11,Paramètres!$A$1:$I$88,3,0)*0.475*44/12</f>
        <v>0.20460037790243041</v>
      </c>
      <c r="BS67" s="24">
        <f t="shared" si="9"/>
        <v>131.00018617347982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projet'!$B$12,Paramètres!$A$1:$I$88,3,0)*VLOOKUP('Données projet'!$B$12,Paramètres!$A$1:$I$88,5,0)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201.94015973767443</v>
      </c>
      <c r="CE67" s="62">
        <f t="shared" si="40"/>
        <v>287.12228849146032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75.671377475711907</v>
      </c>
      <c r="CL67" s="23">
        <f>EXP(-LN(2)/25)*CL66+(1-EXP(-LN(2)/25))/(LN(2)/25)*Calculateur!CG67*Calculateur!CI67*VLOOKUP('Données projet'!$B$12,Paramètres!$A$1:$I$88,3,0)*0.475*44/12</f>
        <v>20.343071929724534</v>
      </c>
      <c r="CM67" s="23">
        <f>EXP(-LN(2)/2)*CM66+(1-EXP(-LN(2)/2))/(LN(2)/2)*CG67*CJ67*VLOOKUP('Données projet'!$B$12,Paramètres!$A$1:$I$88,3,0)*0.475*44/12</f>
        <v>0.15294303735125325</v>
      </c>
      <c r="CN67" s="24">
        <f t="shared" si="12"/>
        <v>96.167392442787687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projet'!$B$9,Paramètres!$A$1:$I$88,3,0)*VLOOKUP('Données projet'!$B$9,Paramètres!$A$1:$I$88,5,0)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201.94015973767443</v>
      </c>
      <c r="T68" s="62">
        <f t="shared" si="34"/>
        <v>287.12228849146032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74.187507918396037</v>
      </c>
      <c r="AA68" s="23">
        <f>EXP(-LN(2)/25)*AA67+(1-EXP(-LN(2)/25))/(LN(2)/25)*Calculateur!V68*Calculateur!X68*VLOOKUP('Données projet'!$B$9,Paramètres!$A$1:$I$88,3,0)*0.475*44/12</f>
        <v>19.786789558010557</v>
      </c>
      <c r="AB68" s="23">
        <f>EXP(-LN(2)/2)*AB67+(1-EXP(-LN(2)/2))/(LN(2)/2)*V68*Y68*VLOOKUP('Données projet'!$B$9,Paramètres!$A$1:$I$88,3,0)*0.475*44/12</f>
        <v>0.1081470588463386</v>
      </c>
      <c r="AC68" s="24">
        <f t="shared" ref="AC68:AC131" si="57">SUM(Z68:AB68)</f>
        <v>94.082444535252932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projet'!$B$10,Paramètres!$A$1:$I$88,3,0)*VLOOKUP('Données projet'!$B$10,Paramètres!$A$1:$I$88,5,0)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135.19533066605396</v>
      </c>
      <c r="AO68" s="62">
        <f t="shared" si="36"/>
        <v>213.60182977243113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53.166490473200881</v>
      </c>
      <c r="AV68" s="23">
        <f>EXP(-LN(2)/25)*AV67+(1-EXP(-LN(2)/25))/(LN(2)/25)*Calculateur!AQ68*Calculateur!AS68*VLOOKUP('Données projet'!$B$10,Paramètres!$A$1:$I$88,3,0)*0.475*44/12</f>
        <v>16.866632462248351</v>
      </c>
      <c r="AW68" s="23">
        <f>EXP(-LN(2)/2)*AW67+(1-EXP(-LN(2)/2))/(LN(2)/2)*AQ68*AT68*VLOOKUP('Données projet'!$B$10,Paramètres!$A$1:$I$88,3,0)*0.475*44/12</f>
        <v>0.11339254702365248</v>
      </c>
      <c r="AX68" s="23">
        <f t="shared" ref="AX68:AX131" si="60">SUM(AU68:AW68)</f>
        <v>70.146515482472878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1.7053025658242404E-13</v>
      </c>
      <c r="BE68" s="14">
        <f>BD68*VLOOKUP('Données projet'!$B$11,Paramètres!$A$1:$I$88,3,0)*VLOOKUP('Données projet'!$B$11,Paramètres!$A$1:$I$88,5,0)</f>
        <v>1.0197709343628959E-13</v>
      </c>
      <c r="BF68" s="14">
        <f t="shared" si="37"/>
        <v>1.5284983994279675E-12</v>
      </c>
      <c r="BG68" s="22">
        <f t="shared" ref="BG68:BG131" si="61">(BE68+BF68)*0.475*44/12</f>
        <v>2.839744816738581E-12</v>
      </c>
      <c r="BH68" s="62">
        <f t="shared" ref="BH68:BH131" si="62">BG68+(AY68+AZ68)*44/12</f>
        <v>293.33333333333616</v>
      </c>
      <c r="BI68" s="62">
        <f ca="1">AVERAGE(OFFSET($BH$3,0,0,'Données projet'!$E$11+1,1))-AVERAGE(OFFSET($H$3,0,0,'Données projet'!$E$11+1,1))</f>
        <v>258.1884172762135</v>
      </c>
      <c r="BJ68" s="62">
        <f t="shared" si="38"/>
        <v>356.36714671797864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99.618767046926806</v>
      </c>
      <c r="BQ68" s="23">
        <f>EXP(-LN(2)/25)*BQ67+(1-EXP(-LN(2)/25))/(LN(2)/25)*Calculateur!BL68*Calculateur!BN68*VLOOKUP('Données projet'!$B$11,Paramètres!$A$1:$I$88,3,0)*0.475*44/12</f>
        <v>28.386237323622233</v>
      </c>
      <c r="BR68" s="23">
        <f>EXP(-LN(2)/2)*BR67+(1-EXP(-LN(2)/2))/(LN(2)/2)*BL68*BO68*VLOOKUP('Données projet'!$B$11,Paramètres!$A$1:$I$88,3,0)*0.475*44/12</f>
        <v>0.14467431464813879</v>
      </c>
      <c r="BS68" s="24">
        <f t="shared" ref="BS68:BS131" si="63">SUM(BP68:BR68)</f>
        <v>128.14967868519719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projet'!$B$12,Paramètres!$A$1:$I$88,3,0)*VLOOKUP('Données projet'!$B$12,Paramètres!$A$1:$I$88,5,0)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201.94015973767443</v>
      </c>
      <c r="CE68" s="62">
        <f t="shared" si="40"/>
        <v>287.12228849146032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74.187507918396037</v>
      </c>
      <c r="CL68" s="23">
        <f>EXP(-LN(2)/25)*CL67+(1-EXP(-LN(2)/25))/(LN(2)/25)*Calculateur!CG68*Calculateur!CI68*VLOOKUP('Données projet'!$B$12,Paramètres!$A$1:$I$88,3,0)*0.475*44/12</f>
        <v>19.786789558010557</v>
      </c>
      <c r="CM68" s="23">
        <f>EXP(-LN(2)/2)*CM67+(1-EXP(-LN(2)/2))/(LN(2)/2)*CG68*CJ68*VLOOKUP('Données projet'!$B$12,Paramètres!$A$1:$I$88,3,0)*0.475*44/12</f>
        <v>0.1081470588463386</v>
      </c>
      <c r="CN68" s="24">
        <f t="shared" ref="CN68:CN131" si="66">SUM(CK68:CM68)</f>
        <v>94.082444535252932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projet'!$B$9,Paramètres!$A$1:$I$88,3,0)*VLOOKUP('Données projet'!$B$9,Paramètres!$A$1:$I$88,5,0)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201.94015973767443</v>
      </c>
      <c r="T69" s="62">
        <f t="shared" ref="T69:T132" si="88">$T$3</f>
        <v>287.12228849146032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72.732736138028059</v>
      </c>
      <c r="AA69" s="23">
        <f>EXP(-LN(2)/25)*AA68+(1-EXP(-LN(2)/25))/(LN(2)/25)*Calculateur!V69*Calculateur!X69*VLOOKUP('Données projet'!$B$9,Paramètres!$A$1:$I$88,3,0)*0.475*44/12</f>
        <v>19.24571875700472</v>
      </c>
      <c r="AB69" s="23">
        <f>EXP(-LN(2)/2)*AB68+(1-EXP(-LN(2)/2))/(LN(2)/2)*V69*Y69*VLOOKUP('Données projet'!$B$9,Paramètres!$A$1:$I$88,3,0)*0.475*44/12</f>
        <v>7.6471518675626626E-2</v>
      </c>
      <c r="AC69" s="24">
        <f t="shared" si="57"/>
        <v>92.054926413708415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projet'!$B$10,Paramètres!$A$1:$I$88,3,0)*VLOOKUP('Données projet'!$B$10,Paramètres!$A$1:$I$88,5,0)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135.19533066605396</v>
      </c>
      <c r="AO69" s="62">
        <f t="shared" ref="AO69:AO132" si="90">$AO$3</f>
        <v>213.60182977243113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52.123928023378568</v>
      </c>
      <c r="AV69" s="23">
        <f>EXP(-LN(2)/25)*AV68+(1-EXP(-LN(2)/25))/(LN(2)/25)*Calculateur!AQ69*Calculateur!AS69*VLOOKUP('Données projet'!$B$10,Paramètres!$A$1:$I$88,3,0)*0.475*44/12</f>
        <v>16.405413510590517</v>
      </c>
      <c r="AW69" s="23">
        <f>EXP(-LN(2)/2)*AW68+(1-EXP(-LN(2)/2))/(LN(2)/2)*AQ69*AT69*VLOOKUP('Données projet'!$B$10,Paramètres!$A$1:$I$88,3,0)*0.475*44/12</f>
        <v>8.0180638936439133E-2</v>
      </c>
      <c r="AX69" s="23">
        <f t="shared" si="60"/>
        <v>68.609522172905528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1.7053025658242404E-13</v>
      </c>
      <c r="BE69" s="14">
        <f>BD69*VLOOKUP('Données projet'!$B$11,Paramètres!$A$1:$I$88,3,0)*VLOOKUP('Données projet'!$B$11,Paramètres!$A$1:$I$88,5,0)</f>
        <v>1.0197709343628959E-13</v>
      </c>
      <c r="BF69" s="14">
        <f t="shared" ref="BF69:BF132" si="91">EXP(-1.0587+0.8836*LN(BE69)+0.284)</f>
        <v>1.5284983994279675E-12</v>
      </c>
      <c r="BG69" s="22">
        <f t="shared" si="61"/>
        <v>2.839744816738581E-12</v>
      </c>
      <c r="BH69" s="62">
        <f t="shared" si="62"/>
        <v>293.33333333333616</v>
      </c>
      <c r="BI69" s="62">
        <f ca="1">AVERAGE(OFFSET($BH$3,0,0,'Données projet'!$E$11+1,1))-AVERAGE(OFFSET($H$3,0,0,'Données projet'!$E$11+1,1))</f>
        <v>258.1884172762135</v>
      </c>
      <c r="BJ69" s="62">
        <f t="shared" ref="BJ69:BJ132" si="92">$BJ$3</f>
        <v>356.36714671797864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97.665303786584772</v>
      </c>
      <c r="BQ69" s="23">
        <f>EXP(-LN(2)/25)*BQ68+(1-EXP(-LN(2)/25))/(LN(2)/25)*Calculateur!BL69*Calculateur!BN69*VLOOKUP('Données projet'!$B$11,Paramètres!$A$1:$I$88,3,0)*0.475*44/12</f>
        <v>27.61001417124044</v>
      </c>
      <c r="BR69" s="23">
        <f>EXP(-LN(2)/2)*BR68+(1-EXP(-LN(2)/2))/(LN(2)/2)*BL69*BO69*VLOOKUP('Données projet'!$B$11,Paramètres!$A$1:$I$88,3,0)*0.475*44/12</f>
        <v>0.1023001889512152</v>
      </c>
      <c r="BS69" s="24">
        <f t="shared" si="63"/>
        <v>125.37761814677643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projet'!$B$12,Paramètres!$A$1:$I$88,3,0)*VLOOKUP('Données projet'!$B$12,Paramètres!$A$1:$I$88,5,0)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201.94015973767443</v>
      </c>
      <c r="CE69" s="62">
        <f t="shared" ref="CE69:CE132" si="94">$CE$3</f>
        <v>287.12228849146032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72.732736138028059</v>
      </c>
      <c r="CL69" s="23">
        <f>EXP(-LN(2)/25)*CL68+(1-EXP(-LN(2)/25))/(LN(2)/25)*Calculateur!CG69*Calculateur!CI69*VLOOKUP('Données projet'!$B$12,Paramètres!$A$1:$I$88,3,0)*0.475*44/12</f>
        <v>19.24571875700472</v>
      </c>
      <c r="CM69" s="23">
        <f>EXP(-LN(2)/2)*CM68+(1-EXP(-LN(2)/2))/(LN(2)/2)*CG69*CJ69*VLOOKUP('Données projet'!$B$12,Paramètres!$A$1:$I$88,3,0)*0.475*44/12</f>
        <v>7.6471518675626626E-2</v>
      </c>
      <c r="CN69" s="24">
        <f t="shared" si="66"/>
        <v>92.054926413708415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projet'!$B$9,Paramètres!$A$1:$I$88,3,0)*VLOOKUP('Données projet'!$B$9,Paramètres!$A$1:$I$88,5,0)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201.94015973767443</v>
      </c>
      <c r="T70" s="62">
        <f t="shared" si="88"/>
        <v>287.12228849146032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71.306491544949935</v>
      </c>
      <c r="AA70" s="23">
        <f>EXP(-LN(2)/25)*AA69+(1-EXP(-LN(2)/25))/(LN(2)/25)*Calculateur!V70*Calculateur!X70*VLOOKUP('Données projet'!$B$9,Paramètres!$A$1:$I$88,3,0)*0.475*44/12</f>
        <v>18.719443565506065</v>
      </c>
      <c r="AB70" s="23">
        <f>EXP(-LN(2)/2)*AB69+(1-EXP(-LN(2)/2))/(LN(2)/2)*V70*Y70*VLOOKUP('Données projet'!$B$9,Paramètres!$A$1:$I$88,3,0)*0.475*44/12</f>
        <v>5.40735294231693E-2</v>
      </c>
      <c r="AC70" s="24">
        <f t="shared" si="57"/>
        <v>90.080008639879168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projet'!$B$10,Paramètres!$A$1:$I$88,3,0)*VLOOKUP('Données projet'!$B$10,Paramètres!$A$1:$I$88,5,0)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135.19533066605396</v>
      </c>
      <c r="AO70" s="62">
        <f t="shared" si="90"/>
        <v>213.60182977243113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51.101809587296962</v>
      </c>
      <c r="AV70" s="23">
        <f>EXP(-LN(2)/25)*AV69+(1-EXP(-LN(2)/25))/(LN(2)/25)*Calculateur!AQ70*Calculateur!AS70*VLOOKUP('Données projet'!$B$10,Paramètres!$A$1:$I$88,3,0)*0.475*44/12</f>
        <v>15.956806615420218</v>
      </c>
      <c r="AW70" s="23">
        <f>EXP(-LN(2)/2)*AW69+(1-EXP(-LN(2)/2))/(LN(2)/2)*AQ70*AT70*VLOOKUP('Données projet'!$B$10,Paramètres!$A$1:$I$88,3,0)*0.475*44/12</f>
        <v>5.669627351182624E-2</v>
      </c>
      <c r="AX70" s="23">
        <f t="shared" si="60"/>
        <v>67.115312476229008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1.7053025658242404E-13</v>
      </c>
      <c r="BE70" s="14">
        <f>BD70*VLOOKUP('Données projet'!$B$11,Paramètres!$A$1:$I$88,3,0)*VLOOKUP('Données projet'!$B$11,Paramètres!$A$1:$I$88,5,0)</f>
        <v>1.0197709343628959E-13</v>
      </c>
      <c r="BF70" s="14">
        <f t="shared" si="91"/>
        <v>1.5284983994279675E-12</v>
      </c>
      <c r="BG70" s="22">
        <f t="shared" si="61"/>
        <v>2.839744816738581E-12</v>
      </c>
      <c r="BH70" s="62">
        <f t="shared" si="62"/>
        <v>293.33333333333616</v>
      </c>
      <c r="BI70" s="62">
        <f ca="1">AVERAGE(OFFSET($BH$3,0,0,'Données projet'!$E$11+1,1))-AVERAGE(OFFSET($H$3,0,0,'Données projet'!$E$11+1,1))</f>
        <v>258.1884172762135</v>
      </c>
      <c r="BJ70" s="62">
        <f t="shared" si="92"/>
        <v>356.36714671797864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95.750146749283104</v>
      </c>
      <c r="BQ70" s="23">
        <f>EXP(-LN(2)/25)*BQ69+(1-EXP(-LN(2)/25))/(LN(2)/25)*Calculateur!BL70*Calculateur!BN70*VLOOKUP('Données projet'!$B$11,Paramètres!$A$1:$I$88,3,0)*0.475*44/12</f>
        <v>26.85501688178033</v>
      </c>
      <c r="BR70" s="23">
        <f>EXP(-LN(2)/2)*BR69+(1-EXP(-LN(2)/2))/(LN(2)/2)*BL70*BO70*VLOOKUP('Données projet'!$B$11,Paramètres!$A$1:$I$88,3,0)*0.475*44/12</f>
        <v>7.2337157324069395E-2</v>
      </c>
      <c r="BS70" s="24">
        <f t="shared" si="63"/>
        <v>122.6775007883875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projet'!$B$12,Paramètres!$A$1:$I$88,3,0)*VLOOKUP('Données projet'!$B$12,Paramètres!$A$1:$I$88,5,0)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201.94015973767443</v>
      </c>
      <c r="CE70" s="62">
        <f t="shared" si="94"/>
        <v>287.12228849146032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71.306491544949935</v>
      </c>
      <c r="CL70" s="23">
        <f>EXP(-LN(2)/25)*CL69+(1-EXP(-LN(2)/25))/(LN(2)/25)*Calculateur!CG70*Calculateur!CI70*VLOOKUP('Données projet'!$B$12,Paramètres!$A$1:$I$88,3,0)*0.475*44/12</f>
        <v>18.719443565506065</v>
      </c>
      <c r="CM70" s="23">
        <f>EXP(-LN(2)/2)*CM69+(1-EXP(-LN(2)/2))/(LN(2)/2)*CG70*CJ70*VLOOKUP('Données projet'!$B$12,Paramètres!$A$1:$I$88,3,0)*0.475*44/12</f>
        <v>5.40735294231693E-2</v>
      </c>
      <c r="CN70" s="24">
        <f t="shared" si="66"/>
        <v>90.080008639879168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projet'!$B$9,Paramètres!$A$1:$I$88,3,0)*VLOOKUP('Données projet'!$B$9,Paramètres!$A$1:$I$88,5,0)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201.94015973767443</v>
      </c>
      <c r="T71" s="62">
        <f t="shared" si="88"/>
        <v>287.12228849146032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69.908214738418764</v>
      </c>
      <c r="AA71" s="23">
        <f>EXP(-LN(2)/25)*AA70+(1-EXP(-LN(2)/25))/(LN(2)/25)*Calculateur!V71*Calculateur!X71*VLOOKUP('Données projet'!$B$9,Paramètres!$A$1:$I$88,3,0)*0.475*44/12</f>
        <v>18.207559396794547</v>
      </c>
      <c r="AB71" s="23">
        <f>EXP(-LN(2)/2)*AB70+(1-EXP(-LN(2)/2))/(LN(2)/2)*V71*Y71*VLOOKUP('Données projet'!$B$9,Paramètres!$A$1:$I$88,3,0)*0.475*44/12</f>
        <v>3.8235759337813313E-2</v>
      </c>
      <c r="AC71" s="24">
        <f t="shared" si="57"/>
        <v>88.154009894551123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projet'!$B$10,Paramètres!$A$1:$I$88,3,0)*VLOOKUP('Données projet'!$B$10,Paramètres!$A$1:$I$88,5,0)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135.19533066605396</v>
      </c>
      <c r="AO71" s="62">
        <f t="shared" si="90"/>
        <v>213.60182977243113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50.099734270316233</v>
      </c>
      <c r="AV71" s="23">
        <f>EXP(-LN(2)/25)*AV70+(1-EXP(-LN(2)/25))/(LN(2)/25)*Calculateur!AQ71*Calculateur!AS71*VLOOKUP('Données projet'!$B$10,Paramètres!$A$1:$I$88,3,0)*0.475*44/12</f>
        <v>15.520466899389563</v>
      </c>
      <c r="AW71" s="23">
        <f>EXP(-LN(2)/2)*AW70+(1-EXP(-LN(2)/2))/(LN(2)/2)*AQ71*AT71*VLOOKUP('Données projet'!$B$10,Paramètres!$A$1:$I$88,3,0)*0.475*44/12</f>
        <v>4.0090319468219567E-2</v>
      </c>
      <c r="AX71" s="23">
        <f t="shared" si="60"/>
        <v>65.660291489174014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1.7053025658242404E-13</v>
      </c>
      <c r="BE71" s="14">
        <f>BD71*VLOOKUP('Données projet'!$B$11,Paramètres!$A$1:$I$88,3,0)*VLOOKUP('Données projet'!$B$11,Paramètres!$A$1:$I$88,5,0)</f>
        <v>1.0197709343628959E-13</v>
      </c>
      <c r="BF71" s="14">
        <f t="shared" si="91"/>
        <v>1.5284983994279675E-12</v>
      </c>
      <c r="BG71" s="22">
        <f t="shared" si="61"/>
        <v>2.839744816738581E-12</v>
      </c>
      <c r="BH71" s="62">
        <f t="shared" si="62"/>
        <v>293.33333333333616</v>
      </c>
      <c r="BI71" s="62">
        <f ca="1">AVERAGE(OFFSET($BH$3,0,0,'Données projet'!$E$11+1,1))-AVERAGE(OFFSET($H$3,0,0,'Données projet'!$E$11+1,1))</f>
        <v>258.1884172762135</v>
      </c>
      <c r="BJ71" s="62">
        <f t="shared" si="92"/>
        <v>356.36714671797864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93.872544773352473</v>
      </c>
      <c r="BQ71" s="23">
        <f>EXP(-LN(2)/25)*BQ70+(1-EXP(-LN(2)/25))/(LN(2)/25)*Calculateur!BL71*Calculateur!BN71*VLOOKUP('Données projet'!$B$11,Paramètres!$A$1:$I$88,3,0)*0.475*44/12</f>
        <v>26.120665032904085</v>
      </c>
      <c r="BR71" s="23">
        <f>EXP(-LN(2)/2)*BR70+(1-EXP(-LN(2)/2))/(LN(2)/2)*BL71*BO71*VLOOKUP('Données projet'!$B$11,Paramètres!$A$1:$I$88,3,0)*0.475*44/12</f>
        <v>5.1150094475607602E-2</v>
      </c>
      <c r="BS71" s="24">
        <f t="shared" si="63"/>
        <v>120.04435990073216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projet'!$B$12,Paramètres!$A$1:$I$88,3,0)*VLOOKUP('Données projet'!$B$12,Paramètres!$A$1:$I$88,5,0)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201.94015973767443</v>
      </c>
      <c r="CE71" s="62">
        <f t="shared" si="94"/>
        <v>287.12228849146032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69.908214738418764</v>
      </c>
      <c r="CL71" s="23">
        <f>EXP(-LN(2)/25)*CL70+(1-EXP(-LN(2)/25))/(LN(2)/25)*Calculateur!CG71*Calculateur!CI71*VLOOKUP('Données projet'!$B$12,Paramètres!$A$1:$I$88,3,0)*0.475*44/12</f>
        <v>18.207559396794547</v>
      </c>
      <c r="CM71" s="23">
        <f>EXP(-LN(2)/2)*CM70+(1-EXP(-LN(2)/2))/(LN(2)/2)*CG71*CJ71*VLOOKUP('Données projet'!$B$12,Paramètres!$A$1:$I$88,3,0)*0.475*44/12</f>
        <v>3.8235759337813313E-2</v>
      </c>
      <c r="CN71" s="24">
        <f t="shared" si="66"/>
        <v>88.154009894551123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projet'!$B$9,Paramètres!$A$1:$I$88,3,0)*VLOOKUP('Données projet'!$B$9,Paramètres!$A$1:$I$88,5,0)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201.94015973767443</v>
      </c>
      <c r="T72" s="62">
        <f t="shared" si="88"/>
        <v>287.12228849146032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68.537357287199029</v>
      </c>
      <c r="AA72" s="23">
        <f>EXP(-LN(2)/25)*AA71+(1-EXP(-LN(2)/25))/(LN(2)/25)*Calculateur!V72*Calculateur!X72*VLOOKUP('Données projet'!$B$9,Paramètres!$A$1:$I$88,3,0)*0.475*44/12</f>
        <v>17.709672727595265</v>
      </c>
      <c r="AB72" s="23">
        <f>EXP(-LN(2)/2)*AB71+(1-EXP(-LN(2)/2))/(LN(2)/2)*V72*Y72*VLOOKUP('Données projet'!$B$9,Paramètres!$A$1:$I$88,3,0)*0.475*44/12</f>
        <v>2.703676471158465E-2</v>
      </c>
      <c r="AC72" s="24">
        <f t="shared" si="57"/>
        <v>86.274066779505873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projet'!$B$10,Paramètres!$A$1:$I$88,3,0)*VLOOKUP('Données projet'!$B$10,Paramètres!$A$1:$I$88,5,0)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135.19533066605396</v>
      </c>
      <c r="AO72" s="62">
        <f t="shared" si="90"/>
        <v>213.60182977243113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49.1173090390959</v>
      </c>
      <c r="AV72" s="23">
        <f>EXP(-LN(2)/25)*AV71+(1-EXP(-LN(2)/25))/(LN(2)/25)*Calculateur!AQ72*Calculateur!AS72*VLOOKUP('Données projet'!$B$10,Paramètres!$A$1:$I$88,3,0)*0.475*44/12</f>
        <v>15.096058915839873</v>
      </c>
      <c r="AW72" s="23">
        <f>EXP(-LN(2)/2)*AW71+(1-EXP(-LN(2)/2))/(LN(2)/2)*AQ72*AT72*VLOOKUP('Données projet'!$B$10,Paramètres!$A$1:$I$88,3,0)*0.475*44/12</f>
        <v>2.834813675591312E-2</v>
      </c>
      <c r="AX72" s="23">
        <f t="shared" si="60"/>
        <v>64.241716091691686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1.7053025658242404E-13</v>
      </c>
      <c r="BE72" s="14">
        <f>BD72*VLOOKUP('Données projet'!$B$11,Paramètres!$A$1:$I$88,3,0)*VLOOKUP('Données projet'!$B$11,Paramètres!$A$1:$I$88,5,0)</f>
        <v>1.0197709343628959E-13</v>
      </c>
      <c r="BF72" s="14">
        <f t="shared" si="91"/>
        <v>1.5284983994279675E-12</v>
      </c>
      <c r="BG72" s="22">
        <f t="shared" si="61"/>
        <v>2.839744816738581E-12</v>
      </c>
      <c r="BH72" s="62">
        <f t="shared" si="62"/>
        <v>293.33333333333616</v>
      </c>
      <c r="BI72" s="62">
        <f ca="1">AVERAGE(OFFSET($BH$3,0,0,'Données projet'!$E$11+1,1))-AVERAGE(OFFSET($H$3,0,0,'Données projet'!$E$11+1,1))</f>
        <v>258.1884172762135</v>
      </c>
      <c r="BJ72" s="62">
        <f t="shared" si="92"/>
        <v>356.36714671797864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92.031761426945721</v>
      </c>
      <c r="BQ72" s="23">
        <f>EXP(-LN(2)/25)*BQ71+(1-EXP(-LN(2)/25))/(LN(2)/25)*Calculateur!BL72*Calculateur!BN72*VLOOKUP('Données projet'!$B$11,Paramètres!$A$1:$I$88,3,0)*0.475*44/12</f>
        <v>25.406394073953248</v>
      </c>
      <c r="BR72" s="23">
        <f>EXP(-LN(2)/2)*BR71+(1-EXP(-LN(2)/2))/(LN(2)/2)*BL72*BO72*VLOOKUP('Données projet'!$B$11,Paramètres!$A$1:$I$88,3,0)*0.475*44/12</f>
        <v>3.6168578662034698E-2</v>
      </c>
      <c r="BS72" s="24">
        <f t="shared" si="63"/>
        <v>117.474324079561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projet'!$B$12,Paramètres!$A$1:$I$88,3,0)*VLOOKUP('Données projet'!$B$12,Paramètres!$A$1:$I$88,5,0)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201.94015973767443</v>
      </c>
      <c r="CE72" s="62">
        <f t="shared" si="94"/>
        <v>287.12228849146032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68.537357287199029</v>
      </c>
      <c r="CL72" s="23">
        <f>EXP(-LN(2)/25)*CL71+(1-EXP(-LN(2)/25))/(LN(2)/25)*Calculateur!CG72*Calculateur!CI72*VLOOKUP('Données projet'!$B$12,Paramètres!$A$1:$I$88,3,0)*0.475*44/12</f>
        <v>17.709672727595265</v>
      </c>
      <c r="CM72" s="23">
        <f>EXP(-LN(2)/2)*CM71+(1-EXP(-LN(2)/2))/(LN(2)/2)*CG72*CJ72*VLOOKUP('Données projet'!$B$12,Paramètres!$A$1:$I$88,3,0)*0.475*44/12</f>
        <v>2.703676471158465E-2</v>
      </c>
      <c r="CN72" s="24">
        <f t="shared" si="66"/>
        <v>86.274066779505873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projet'!$B$9,Paramètres!$A$1:$I$88,3,0)*VLOOKUP('Données projet'!$B$9,Paramètres!$A$1:$I$88,5,0)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201.94015973767443</v>
      </c>
      <c r="T73" s="62">
        <f t="shared" si="88"/>
        <v>287.12228849146032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67.193381514457229</v>
      </c>
      <c r="AA73" s="23">
        <f>EXP(-LN(2)/25)*AA72+(1-EXP(-LN(2)/25))/(LN(2)/25)*Calculateur!V73*Calculateur!X73*VLOOKUP('Données projet'!$B$9,Paramètres!$A$1:$I$88,3,0)*0.475*44/12</f>
        <v>17.225400795547959</v>
      </c>
      <c r="AB73" s="23">
        <f>EXP(-LN(2)/2)*AB72+(1-EXP(-LN(2)/2))/(LN(2)/2)*V73*Y73*VLOOKUP('Données projet'!$B$9,Paramètres!$A$1:$I$88,3,0)*0.475*44/12</f>
        <v>1.9117879668906657E-2</v>
      </c>
      <c r="AC73" s="24">
        <f t="shared" si="57"/>
        <v>84.437900189674096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projet'!$B$10,Paramètres!$A$1:$I$88,3,0)*VLOOKUP('Données projet'!$B$10,Paramètres!$A$1:$I$88,5,0)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135.19533066605396</v>
      </c>
      <c r="AO73" s="62">
        <f t="shared" si="90"/>
        <v>213.60182977243113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48.154148567439577</v>
      </c>
      <c r="AV73" s="23">
        <f>EXP(-LN(2)/25)*AV72+(1-EXP(-LN(2)/25))/(LN(2)/25)*Calculateur!AQ73*Calculateur!AS73*VLOOKUP('Données projet'!$B$10,Paramètres!$A$1:$I$88,3,0)*0.475*44/12</f>
        <v>14.683256390918995</v>
      </c>
      <c r="AW73" s="23">
        <f>EXP(-LN(2)/2)*AW72+(1-EXP(-LN(2)/2))/(LN(2)/2)*AQ73*AT73*VLOOKUP('Données projet'!$B$10,Paramètres!$A$1:$I$88,3,0)*0.475*44/12</f>
        <v>2.0045159734109783E-2</v>
      </c>
      <c r="AX73" s="23">
        <f t="shared" si="60"/>
        <v>62.857450118092686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1.7053025658242404E-13</v>
      </c>
      <c r="BE73" s="14">
        <f>BD73*VLOOKUP('Données projet'!$B$11,Paramètres!$A$1:$I$88,3,0)*VLOOKUP('Données projet'!$B$11,Paramètres!$A$1:$I$88,5,0)</f>
        <v>1.0197709343628959E-13</v>
      </c>
      <c r="BF73" s="14">
        <f t="shared" si="91"/>
        <v>1.5284983994279675E-12</v>
      </c>
      <c r="BG73" s="22">
        <f t="shared" si="61"/>
        <v>2.839744816738581E-12</v>
      </c>
      <c r="BH73" s="62">
        <f t="shared" si="62"/>
        <v>293.33333333333616</v>
      </c>
      <c r="BI73" s="62">
        <f ca="1">AVERAGE(OFFSET($BH$3,0,0,'Données projet'!$E$11+1,1))-AVERAGE(OFFSET($H$3,0,0,'Données projet'!$E$11+1,1))</f>
        <v>258.1884172762135</v>
      </c>
      <c r="BJ73" s="62">
        <f t="shared" si="92"/>
        <v>356.36714671797864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90.227074719195031</v>
      </c>
      <c r="BQ73" s="23">
        <f>EXP(-LN(2)/25)*BQ72+(1-EXP(-LN(2)/25))/(LN(2)/25)*Calculateur!BL73*Calculateur!BN73*VLOOKUP('Données projet'!$B$11,Paramètres!$A$1:$I$88,3,0)*0.475*44/12</f>
        <v>24.711654891936799</v>
      </c>
      <c r="BR73" s="23">
        <f>EXP(-LN(2)/2)*BR72+(1-EXP(-LN(2)/2))/(LN(2)/2)*BL73*BO73*VLOOKUP('Données projet'!$B$11,Paramètres!$A$1:$I$88,3,0)*0.475*44/12</f>
        <v>2.5575047237803801E-2</v>
      </c>
      <c r="BS73" s="24">
        <f t="shared" si="63"/>
        <v>114.96430465836964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projet'!$B$12,Paramètres!$A$1:$I$88,3,0)*VLOOKUP('Données projet'!$B$12,Paramètres!$A$1:$I$88,5,0)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201.94015973767443</v>
      </c>
      <c r="CE73" s="62">
        <f t="shared" si="94"/>
        <v>287.12228849146032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67.193381514457229</v>
      </c>
      <c r="CL73" s="23">
        <f>EXP(-LN(2)/25)*CL72+(1-EXP(-LN(2)/25))/(LN(2)/25)*Calculateur!CG73*Calculateur!CI73*VLOOKUP('Données projet'!$B$12,Paramètres!$A$1:$I$88,3,0)*0.475*44/12</f>
        <v>17.225400795547959</v>
      </c>
      <c r="CM73" s="23">
        <f>EXP(-LN(2)/2)*CM72+(1-EXP(-LN(2)/2))/(LN(2)/2)*CG73*CJ73*VLOOKUP('Données projet'!$B$12,Paramètres!$A$1:$I$88,3,0)*0.475*44/12</f>
        <v>1.9117879668906657E-2</v>
      </c>
      <c r="CN73" s="24">
        <f t="shared" si="66"/>
        <v>84.437900189674096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projet'!$B$9,Paramètres!$A$1:$I$88,3,0)*VLOOKUP('Données projet'!$B$9,Paramètres!$A$1:$I$88,5,0)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201.94015973767443</v>
      </c>
      <c r="T74" s="62">
        <f t="shared" si="88"/>
        <v>287.12228849146032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65.875760286874623</v>
      </c>
      <c r="AA74" s="23">
        <f>EXP(-LN(2)/25)*AA73+(1-EXP(-LN(2)/25))/(LN(2)/25)*Calculateur!V74*Calculateur!X74*VLOOKUP('Données projet'!$B$9,Paramètres!$A$1:$I$88,3,0)*0.475*44/12</f>
        <v>16.754371304949242</v>
      </c>
      <c r="AB74" s="23">
        <f>EXP(-LN(2)/2)*AB73+(1-EXP(-LN(2)/2))/(LN(2)/2)*V74*Y74*VLOOKUP('Données projet'!$B$9,Paramètres!$A$1:$I$88,3,0)*0.475*44/12</f>
        <v>1.3518382355792325E-2</v>
      </c>
      <c r="AC74" s="24">
        <f t="shared" si="57"/>
        <v>82.643649974179667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projet'!$B$10,Paramètres!$A$1:$I$88,3,0)*VLOOKUP('Données projet'!$B$10,Paramètres!$A$1:$I$88,5,0)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135.19533066605396</v>
      </c>
      <c r="AO74" s="62">
        <f t="shared" si="90"/>
        <v>213.60182977243113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47.209875085162558</v>
      </c>
      <c r="AV74" s="23">
        <f>EXP(-LN(2)/25)*AV73+(1-EXP(-LN(2)/25))/(LN(2)/25)*Calculateur!AQ74*Calculateur!AS74*VLOOKUP('Données projet'!$B$10,Paramètres!$A$1:$I$88,3,0)*0.475*44/12</f>
        <v>14.281741972750421</v>
      </c>
      <c r="AW74" s="23">
        <f>EXP(-LN(2)/2)*AW73+(1-EXP(-LN(2)/2))/(LN(2)/2)*AQ74*AT74*VLOOKUP('Données projet'!$B$10,Paramètres!$A$1:$I$88,3,0)*0.475*44/12</f>
        <v>1.417406837795656E-2</v>
      </c>
      <c r="AX74" s="23">
        <f t="shared" si="60"/>
        <v>61.50579112629093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1.7053025658242404E-13</v>
      </c>
      <c r="BE74" s="14">
        <f>BD74*VLOOKUP('Données projet'!$B$11,Paramètres!$A$1:$I$88,3,0)*VLOOKUP('Données projet'!$B$11,Paramètres!$A$1:$I$88,5,0)</f>
        <v>1.0197709343628959E-13</v>
      </c>
      <c r="BF74" s="14">
        <f t="shared" si="91"/>
        <v>1.5284983994279675E-12</v>
      </c>
      <c r="BG74" s="22">
        <f t="shared" si="61"/>
        <v>2.839744816738581E-12</v>
      </c>
      <c r="BH74" s="62">
        <f t="shared" si="62"/>
        <v>293.33333333333616</v>
      </c>
      <c r="BI74" s="62">
        <f ca="1">AVERAGE(OFFSET($BH$3,0,0,'Données projet'!$E$11+1,1))-AVERAGE(OFFSET($H$3,0,0,'Données projet'!$E$11+1,1))</f>
        <v>258.1884172762135</v>
      </c>
      <c r="BJ74" s="62">
        <f t="shared" si="92"/>
        <v>356.36714671797864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88.457776817033135</v>
      </c>
      <c r="BQ74" s="23">
        <f>EXP(-LN(2)/25)*BQ73+(1-EXP(-LN(2)/25))/(LN(2)/25)*Calculateur!BL74*Calculateur!BN74*VLOOKUP('Données projet'!$B$11,Paramètres!$A$1:$I$88,3,0)*0.475*44/12</f>
        <v>24.035913389387336</v>
      </c>
      <c r="BR74" s="23">
        <f>EXP(-LN(2)/2)*BR73+(1-EXP(-LN(2)/2))/(LN(2)/2)*BL74*BO74*VLOOKUP('Données projet'!$B$11,Paramètres!$A$1:$I$88,3,0)*0.475*44/12</f>
        <v>1.8084289331017349E-2</v>
      </c>
      <c r="BS74" s="24">
        <f t="shared" si="63"/>
        <v>112.51177449575148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projet'!$B$12,Paramètres!$A$1:$I$88,3,0)*VLOOKUP('Données projet'!$B$12,Paramètres!$A$1:$I$88,5,0)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201.94015973767443</v>
      </c>
      <c r="CE74" s="62">
        <f t="shared" si="94"/>
        <v>287.12228849146032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65.875760286874623</v>
      </c>
      <c r="CL74" s="23">
        <f>EXP(-LN(2)/25)*CL73+(1-EXP(-LN(2)/25))/(LN(2)/25)*Calculateur!CG74*Calculateur!CI74*VLOOKUP('Données projet'!$B$12,Paramètres!$A$1:$I$88,3,0)*0.475*44/12</f>
        <v>16.754371304949242</v>
      </c>
      <c r="CM74" s="23">
        <f>EXP(-LN(2)/2)*CM73+(1-EXP(-LN(2)/2))/(LN(2)/2)*CG74*CJ74*VLOOKUP('Données projet'!$B$12,Paramètres!$A$1:$I$88,3,0)*0.475*44/12</f>
        <v>1.3518382355792325E-2</v>
      </c>
      <c r="CN74" s="24">
        <f t="shared" si="66"/>
        <v>82.643649974179667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projet'!$B$9,Paramètres!$A$1:$I$88,3,0)*VLOOKUP('Données projet'!$B$9,Paramètres!$A$1:$I$88,5,0)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201.94015973767443</v>
      </c>
      <c r="T75" s="62">
        <f t="shared" si="88"/>
        <v>287.12228849146032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64.583976807895311</v>
      </c>
      <c r="AA75" s="23">
        <f>EXP(-LN(2)/25)*AA74+(1-EXP(-LN(2)/25))/(LN(2)/25)*Calculateur!V75*Calculateur!X75*VLOOKUP('Données projet'!$B$9,Paramètres!$A$1:$I$88,3,0)*0.475*44/12</f>
        <v>16.29622214054131</v>
      </c>
      <c r="AB75" s="23">
        <f>EXP(-LN(2)/2)*AB74+(1-EXP(-LN(2)/2))/(LN(2)/2)*V75*Y75*VLOOKUP('Données projet'!$B$9,Paramètres!$A$1:$I$88,3,0)*0.475*44/12</f>
        <v>9.5589398344533283E-3</v>
      </c>
      <c r="AC75" s="24">
        <f t="shared" si="57"/>
        <v>80.889757888271077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projet'!$B$10,Paramètres!$A$1:$I$88,3,0)*VLOOKUP('Données projet'!$B$10,Paramètres!$A$1:$I$88,5,0)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135.19533066605396</v>
      </c>
      <c r="AO75" s="62">
        <f t="shared" si="90"/>
        <v>213.60182977243113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46.284118229923031</v>
      </c>
      <c r="AV75" s="23">
        <f>EXP(-LN(2)/25)*AV74+(1-EXP(-LN(2)/25))/(LN(2)/25)*Calculateur!AQ75*Calculateur!AS75*VLOOKUP('Données projet'!$B$10,Paramètres!$A$1:$I$88,3,0)*0.475*44/12</f>
        <v>13.891206987461391</v>
      </c>
      <c r="AW75" s="23">
        <f>EXP(-LN(2)/2)*AW74+(1-EXP(-LN(2)/2))/(LN(2)/2)*AQ75*AT75*VLOOKUP('Données projet'!$B$10,Paramètres!$A$1:$I$88,3,0)*0.475*44/12</f>
        <v>1.0022579867054892E-2</v>
      </c>
      <c r="AX75" s="23">
        <f t="shared" si="60"/>
        <v>60.185347797251481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1.7053025658242404E-13</v>
      </c>
      <c r="BE75" s="14">
        <f>BD75*VLOOKUP('Données projet'!$B$11,Paramètres!$A$1:$I$88,3,0)*VLOOKUP('Données projet'!$B$11,Paramètres!$A$1:$I$88,5,0)</f>
        <v>1.0197709343628959E-13</v>
      </c>
      <c r="BF75" s="14">
        <f t="shared" si="91"/>
        <v>1.5284983994279675E-12</v>
      </c>
      <c r="BG75" s="22">
        <f t="shared" si="61"/>
        <v>2.839744816738581E-12</v>
      </c>
      <c r="BH75" s="62">
        <f t="shared" si="62"/>
        <v>293.33333333333616</v>
      </c>
      <c r="BI75" s="62">
        <f ca="1">AVERAGE(OFFSET($BH$3,0,0,'Données projet'!$E$11+1,1))-AVERAGE(OFFSET($H$3,0,0,'Données projet'!$E$11+1,1))</f>
        <v>258.1884172762135</v>
      </c>
      <c r="BJ75" s="62">
        <f t="shared" si="92"/>
        <v>356.36714671797864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86.723173767567474</v>
      </c>
      <c r="BQ75" s="23">
        <f>EXP(-LN(2)/25)*BQ74+(1-EXP(-LN(2)/25))/(LN(2)/25)*Calculateur!BL75*Calculateur!BN75*VLOOKUP('Données projet'!$B$11,Paramètres!$A$1:$I$88,3,0)*0.475*44/12</f>
        <v>23.378650073760788</v>
      </c>
      <c r="BR75" s="23">
        <f>EXP(-LN(2)/2)*BR74+(1-EXP(-LN(2)/2))/(LN(2)/2)*BL75*BO75*VLOOKUP('Données projet'!$B$11,Paramètres!$A$1:$I$88,3,0)*0.475*44/12</f>
        <v>1.2787523618901901E-2</v>
      </c>
      <c r="BS75" s="24">
        <f t="shared" si="63"/>
        <v>110.11461136494717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projet'!$B$12,Paramètres!$A$1:$I$88,3,0)*VLOOKUP('Données projet'!$B$12,Paramètres!$A$1:$I$88,5,0)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201.94015973767443</v>
      </c>
      <c r="CE75" s="62">
        <f t="shared" si="94"/>
        <v>287.12228849146032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64.583976807895311</v>
      </c>
      <c r="CL75" s="23">
        <f>EXP(-LN(2)/25)*CL74+(1-EXP(-LN(2)/25))/(LN(2)/25)*Calculateur!CG75*Calculateur!CI75*VLOOKUP('Données projet'!$B$12,Paramètres!$A$1:$I$88,3,0)*0.475*44/12</f>
        <v>16.29622214054131</v>
      </c>
      <c r="CM75" s="23">
        <f>EXP(-LN(2)/2)*CM74+(1-EXP(-LN(2)/2))/(LN(2)/2)*CG75*CJ75*VLOOKUP('Données projet'!$B$12,Paramètres!$A$1:$I$88,3,0)*0.475*44/12</f>
        <v>9.5589398344533283E-3</v>
      </c>
      <c r="CN75" s="24">
        <f t="shared" si="66"/>
        <v>80.889757888271077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projet'!$B$9,Paramètres!$A$1:$I$88,3,0)*VLOOKUP('Données projet'!$B$9,Paramètres!$A$1:$I$88,5,0)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201.94015973767443</v>
      </c>
      <c r="T76" s="62">
        <f t="shared" si="88"/>
        <v>287.12228849146032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63.317524415028664</v>
      </c>
      <c r="AA76" s="23">
        <f>EXP(-LN(2)/25)*AA75+(1-EXP(-LN(2)/25))/(LN(2)/25)*Calculateur!V76*Calculateur!X76*VLOOKUP('Données projet'!$B$9,Paramètres!$A$1:$I$88,3,0)*0.475*44/12</f>
        <v>15.850601089127132</v>
      </c>
      <c r="AB76" s="23">
        <f>EXP(-LN(2)/2)*AB75+(1-EXP(-LN(2)/2))/(LN(2)/2)*V76*Y76*VLOOKUP('Données projet'!$B$9,Paramètres!$A$1:$I$88,3,0)*0.475*44/12</f>
        <v>6.7591911778961625E-3</v>
      </c>
      <c r="AC76" s="24">
        <f t="shared" si="57"/>
        <v>79.174884695333688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projet'!$B$10,Paramètres!$A$1:$I$88,3,0)*VLOOKUP('Données projet'!$B$10,Paramètres!$A$1:$I$88,5,0)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135.19533066605396</v>
      </c>
      <c r="AO76" s="62">
        <f t="shared" si="90"/>
        <v>213.60182977243113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45.376514901958828</v>
      </c>
      <c r="AV76" s="23">
        <f>EXP(-LN(2)/25)*AV75+(1-EXP(-LN(2)/25))/(LN(2)/25)*Calculateur!AQ76*Calculateur!AS76*VLOOKUP('Données projet'!$B$10,Paramètres!$A$1:$I$88,3,0)*0.475*44/12</f>
        <v>13.511351201882432</v>
      </c>
      <c r="AW76" s="23">
        <f>EXP(-LN(2)/2)*AW75+(1-EXP(-LN(2)/2))/(LN(2)/2)*AQ76*AT76*VLOOKUP('Données projet'!$B$10,Paramètres!$A$1:$I$88,3,0)*0.475*44/12</f>
        <v>7.0870341889782799E-3</v>
      </c>
      <c r="AX76" s="23">
        <f t="shared" si="60"/>
        <v>58.894953138030239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1.7053025658242404E-13</v>
      </c>
      <c r="BE76" s="14">
        <f>BD76*VLOOKUP('Données projet'!$B$11,Paramètres!$A$1:$I$88,3,0)*VLOOKUP('Données projet'!$B$11,Paramètres!$A$1:$I$88,5,0)</f>
        <v>1.0197709343628959E-13</v>
      </c>
      <c r="BF76" s="14">
        <f t="shared" si="91"/>
        <v>1.5284983994279675E-12</v>
      </c>
      <c r="BG76" s="22">
        <f t="shared" si="61"/>
        <v>2.839744816738581E-12</v>
      </c>
      <c r="BH76" s="62">
        <f t="shared" si="62"/>
        <v>293.33333333333616</v>
      </c>
      <c r="BI76" s="62">
        <f ca="1">AVERAGE(OFFSET($BH$3,0,0,'Données projet'!$E$11+1,1))-AVERAGE(OFFSET($H$3,0,0,'Données projet'!$E$11+1,1))</f>
        <v>258.1884172762135</v>
      </c>
      <c r="BJ76" s="62">
        <f t="shared" si="92"/>
        <v>356.36714671797864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85.022585225898439</v>
      </c>
      <c r="BQ76" s="23">
        <f>EXP(-LN(2)/25)*BQ75+(1-EXP(-LN(2)/25))/(LN(2)/25)*Calculateur!BL76*Calculateur!BN76*VLOOKUP('Données projet'!$B$11,Paramètres!$A$1:$I$88,3,0)*0.475*44/12</f>
        <v>22.739359658064025</v>
      </c>
      <c r="BR76" s="23">
        <f>EXP(-LN(2)/2)*BR75+(1-EXP(-LN(2)/2))/(LN(2)/2)*BL76*BO76*VLOOKUP('Données projet'!$B$11,Paramètres!$A$1:$I$88,3,0)*0.475*44/12</f>
        <v>9.0421446655086744E-3</v>
      </c>
      <c r="BS76" s="24">
        <f t="shared" si="63"/>
        <v>107.77098702862797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projet'!$B$12,Paramètres!$A$1:$I$88,3,0)*VLOOKUP('Données projet'!$B$12,Paramètres!$A$1:$I$88,5,0)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201.94015973767443</v>
      </c>
      <c r="CE76" s="62">
        <f t="shared" si="94"/>
        <v>287.12228849146032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63.317524415028664</v>
      </c>
      <c r="CL76" s="23">
        <f>EXP(-LN(2)/25)*CL75+(1-EXP(-LN(2)/25))/(LN(2)/25)*Calculateur!CG76*Calculateur!CI76*VLOOKUP('Données projet'!$B$12,Paramètres!$A$1:$I$88,3,0)*0.475*44/12</f>
        <v>15.850601089127132</v>
      </c>
      <c r="CM76" s="23">
        <f>EXP(-LN(2)/2)*CM75+(1-EXP(-LN(2)/2))/(LN(2)/2)*CG76*CJ76*VLOOKUP('Données projet'!$B$12,Paramètres!$A$1:$I$88,3,0)*0.475*44/12</f>
        <v>6.7591911778961625E-3</v>
      </c>
      <c r="CN76" s="24">
        <f t="shared" si="66"/>
        <v>79.174884695333688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projet'!$B$9,Paramètres!$A$1:$I$88,3,0)*VLOOKUP('Données projet'!$B$9,Paramètres!$A$1:$I$88,5,0)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201.94015973767443</v>
      </c>
      <c r="T77" s="62">
        <f t="shared" si="88"/>
        <v>287.12228849146032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62.075906381126451</v>
      </c>
      <c r="AA77" s="23">
        <f>EXP(-LN(2)/25)*AA76+(1-EXP(-LN(2)/25))/(LN(2)/25)*Calculateur!V77*Calculateur!X77*VLOOKUP('Données projet'!$B$9,Paramètres!$A$1:$I$88,3,0)*0.475*44/12</f>
        <v>15.417165568798065</v>
      </c>
      <c r="AB77" s="23">
        <f>EXP(-LN(2)/2)*AB76+(1-EXP(-LN(2)/2))/(LN(2)/2)*V77*Y77*VLOOKUP('Données projet'!$B$9,Paramètres!$A$1:$I$88,3,0)*0.475*44/12</f>
        <v>4.7794699172266641E-3</v>
      </c>
      <c r="AC77" s="24">
        <f t="shared" si="57"/>
        <v>77.497851419841737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projet'!$B$10,Paramètres!$A$1:$I$88,3,0)*VLOOKUP('Données projet'!$B$10,Paramètres!$A$1:$I$88,5,0)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135.19533066605396</v>
      </c>
      <c r="AO77" s="62">
        <f t="shared" si="90"/>
        <v>213.60182977243113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44.486709121672632</v>
      </c>
      <c r="AV77" s="23">
        <f>EXP(-LN(2)/25)*AV76+(1-EXP(-LN(2)/25))/(LN(2)/25)*Calculateur!AQ77*Calculateur!AS77*VLOOKUP('Données projet'!$B$10,Paramètres!$A$1:$I$88,3,0)*0.475*44/12</f>
        <v>13.141882592735877</v>
      </c>
      <c r="AW77" s="23">
        <f>EXP(-LN(2)/2)*AW76+(1-EXP(-LN(2)/2))/(LN(2)/2)*AQ77*AT77*VLOOKUP('Données projet'!$B$10,Paramètres!$A$1:$I$88,3,0)*0.475*44/12</f>
        <v>5.0112899335274458E-3</v>
      </c>
      <c r="AX77" s="23">
        <f t="shared" si="60"/>
        <v>57.633603004342035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1.7053025658242404E-13</v>
      </c>
      <c r="BE77" s="14">
        <f>BD77*VLOOKUP('Données projet'!$B$11,Paramètres!$A$1:$I$88,3,0)*VLOOKUP('Données projet'!$B$11,Paramètres!$A$1:$I$88,5,0)</f>
        <v>1.0197709343628959E-13</v>
      </c>
      <c r="BF77" s="14">
        <f t="shared" si="91"/>
        <v>1.5284983994279675E-12</v>
      </c>
      <c r="BG77" s="22">
        <f t="shared" si="61"/>
        <v>2.839744816738581E-12</v>
      </c>
      <c r="BH77" s="62">
        <f t="shared" si="62"/>
        <v>293.33333333333616</v>
      </c>
      <c r="BI77" s="62">
        <f ca="1">AVERAGE(OFFSET($BH$3,0,0,'Données projet'!$E$11+1,1))-AVERAGE(OFFSET($H$3,0,0,'Données projet'!$E$11+1,1))</f>
        <v>258.1884172762135</v>
      </c>
      <c r="BJ77" s="62">
        <f t="shared" si="92"/>
        <v>356.36714671797864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83.355344188274941</v>
      </c>
      <c r="BQ77" s="23">
        <f>EXP(-LN(2)/25)*BQ76+(1-EXP(-LN(2)/25))/(LN(2)/25)*Calculateur!BL77*Calculateur!BN77*VLOOKUP('Données projet'!$B$11,Paramètres!$A$1:$I$88,3,0)*0.475*44/12</f>
        <v>22.117550672403311</v>
      </c>
      <c r="BR77" s="23">
        <f>EXP(-LN(2)/2)*BR76+(1-EXP(-LN(2)/2))/(LN(2)/2)*BL77*BO77*VLOOKUP('Données projet'!$B$11,Paramètres!$A$1:$I$88,3,0)*0.475*44/12</f>
        <v>6.3937618094509503E-3</v>
      </c>
      <c r="BS77" s="24">
        <f t="shared" si="63"/>
        <v>105.4792886224877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projet'!$B$12,Paramètres!$A$1:$I$88,3,0)*VLOOKUP('Données projet'!$B$12,Paramètres!$A$1:$I$88,5,0)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201.94015973767443</v>
      </c>
      <c r="CE77" s="62">
        <f t="shared" si="94"/>
        <v>287.12228849146032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62.075906381126451</v>
      </c>
      <c r="CL77" s="23">
        <f>EXP(-LN(2)/25)*CL76+(1-EXP(-LN(2)/25))/(LN(2)/25)*Calculateur!CG77*Calculateur!CI77*VLOOKUP('Données projet'!$B$12,Paramètres!$A$1:$I$88,3,0)*0.475*44/12</f>
        <v>15.417165568798065</v>
      </c>
      <c r="CM77" s="23">
        <f>EXP(-LN(2)/2)*CM76+(1-EXP(-LN(2)/2))/(LN(2)/2)*CG77*CJ77*VLOOKUP('Données projet'!$B$12,Paramètres!$A$1:$I$88,3,0)*0.475*44/12</f>
        <v>4.7794699172266641E-3</v>
      </c>
      <c r="CN77" s="24">
        <f t="shared" si="66"/>
        <v>77.497851419841737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projet'!$B$9,Paramètres!$A$1:$I$88,3,0)*VLOOKUP('Données projet'!$B$9,Paramètres!$A$1:$I$88,5,0)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201.94015973767443</v>
      </c>
      <c r="T78" s="62">
        <f t="shared" si="88"/>
        <v>287.12228849146032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60.858635719556837</v>
      </c>
      <c r="AA78" s="23">
        <f>EXP(-LN(2)/25)*AA77+(1-EXP(-LN(2)/25))/(LN(2)/25)*Calculateur!V78*Calculateur!X78*VLOOKUP('Données projet'!$B$9,Paramètres!$A$1:$I$88,3,0)*0.475*44/12</f>
        <v>14.995582365565781</v>
      </c>
      <c r="AB78" s="23">
        <f>EXP(-LN(2)/2)*AB77+(1-EXP(-LN(2)/2))/(LN(2)/2)*V78*Y78*VLOOKUP('Données projet'!$B$9,Paramètres!$A$1:$I$88,3,0)*0.475*44/12</f>
        <v>3.3795955889480813E-3</v>
      </c>
      <c r="AC78" s="24">
        <f t="shared" si="57"/>
        <v>75.857597680711578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projet'!$B$10,Paramètres!$A$1:$I$88,3,0)*VLOOKUP('Données projet'!$B$10,Paramètres!$A$1:$I$88,5,0)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135.19533066605396</v>
      </c>
      <c r="AO78" s="62">
        <f t="shared" si="90"/>
        <v>213.60182977243113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43.614351890009914</v>
      </c>
      <c r="AV78" s="23">
        <f>EXP(-LN(2)/25)*AV77+(1-EXP(-LN(2)/25))/(LN(2)/25)*Calculateur!AQ78*Calculateur!AS78*VLOOKUP('Données projet'!$B$10,Paramètres!$A$1:$I$88,3,0)*0.475*44/12</f>
        <v>12.782517122135944</v>
      </c>
      <c r="AW78" s="23">
        <f>EXP(-LN(2)/2)*AW77+(1-EXP(-LN(2)/2))/(LN(2)/2)*AQ78*AT78*VLOOKUP('Données projet'!$B$10,Paramètres!$A$1:$I$88,3,0)*0.475*44/12</f>
        <v>3.54351709448914E-3</v>
      </c>
      <c r="AX78" s="23">
        <f t="shared" si="60"/>
        <v>56.400412529240349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1.7053025658242404E-13</v>
      </c>
      <c r="BE78" s="14">
        <f>BD78*VLOOKUP('Données projet'!$B$11,Paramètres!$A$1:$I$88,3,0)*VLOOKUP('Données projet'!$B$11,Paramètres!$A$1:$I$88,5,0)</f>
        <v>1.0197709343628959E-13</v>
      </c>
      <c r="BF78" s="14">
        <f t="shared" si="91"/>
        <v>1.5284983994279675E-12</v>
      </c>
      <c r="BG78" s="22">
        <f t="shared" si="61"/>
        <v>2.839744816738581E-12</v>
      </c>
      <c r="BH78" s="62">
        <f t="shared" si="62"/>
        <v>293.33333333333616</v>
      </c>
      <c r="BI78" s="62">
        <f ca="1">AVERAGE(OFFSET($BH$3,0,0,'Données projet'!$E$11+1,1))-AVERAGE(OFFSET($H$3,0,0,'Données projet'!$E$11+1,1))</f>
        <v>258.1884172762135</v>
      </c>
      <c r="BJ78" s="62">
        <f t="shared" si="92"/>
        <v>356.36714671797864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81.720796730482618</v>
      </c>
      <c r="BQ78" s="23">
        <f>EXP(-LN(2)/25)*BQ77+(1-EXP(-LN(2)/25))/(LN(2)/25)*Calculateur!BL78*Calculateur!BN78*VLOOKUP('Données projet'!$B$11,Paramètres!$A$1:$I$88,3,0)*0.475*44/12</f>
        <v>21.512745086155004</v>
      </c>
      <c r="BR78" s="23">
        <f>EXP(-LN(2)/2)*BR77+(1-EXP(-LN(2)/2))/(LN(2)/2)*BL78*BO78*VLOOKUP('Données projet'!$B$11,Paramètres!$A$1:$I$88,3,0)*0.475*44/12</f>
        <v>4.5210723327543372E-3</v>
      </c>
      <c r="BS78" s="24">
        <f t="shared" si="63"/>
        <v>103.23806288897038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projet'!$B$12,Paramètres!$A$1:$I$88,3,0)*VLOOKUP('Données projet'!$B$12,Paramètres!$A$1:$I$88,5,0)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201.94015973767443</v>
      </c>
      <c r="CE78" s="62">
        <f t="shared" si="94"/>
        <v>287.12228849146032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60.858635719556837</v>
      </c>
      <c r="CL78" s="23">
        <f>EXP(-LN(2)/25)*CL77+(1-EXP(-LN(2)/25))/(LN(2)/25)*Calculateur!CG78*Calculateur!CI78*VLOOKUP('Données projet'!$B$12,Paramètres!$A$1:$I$88,3,0)*0.475*44/12</f>
        <v>14.995582365565781</v>
      </c>
      <c r="CM78" s="23">
        <f>EXP(-LN(2)/2)*CM77+(1-EXP(-LN(2)/2))/(LN(2)/2)*CG78*CJ78*VLOOKUP('Données projet'!$B$12,Paramètres!$A$1:$I$88,3,0)*0.475*44/12</f>
        <v>3.3795955889480813E-3</v>
      </c>
      <c r="CN78" s="24">
        <f t="shared" si="66"/>
        <v>75.857597680711578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projet'!$B$9,Paramètres!$A$1:$I$88,3,0)*VLOOKUP('Données projet'!$B$9,Paramètres!$A$1:$I$88,5,0)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201.94015973767443</v>
      </c>
      <c r="T79" s="62">
        <f t="shared" si="88"/>
        <v>287.12228849146032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59.665234993198808</v>
      </c>
      <c r="AA79" s="23">
        <f>EXP(-LN(2)/25)*AA78+(1-EXP(-LN(2)/25))/(LN(2)/25)*Calculateur!V79*Calculateur!X79*VLOOKUP('Données projet'!$B$9,Paramètres!$A$1:$I$88,3,0)*0.475*44/12</f>
        <v>14.58552737719598</v>
      </c>
      <c r="AB79" s="23">
        <f>EXP(-LN(2)/2)*AB78+(1-EXP(-LN(2)/2))/(LN(2)/2)*V79*Y79*VLOOKUP('Données projet'!$B$9,Paramètres!$A$1:$I$88,3,0)*0.475*44/12</f>
        <v>2.3897349586133321E-3</v>
      </c>
      <c r="AC79" s="24">
        <f t="shared" si="57"/>
        <v>74.253152105353408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projet'!$B$10,Paramètres!$A$1:$I$88,3,0)*VLOOKUP('Données projet'!$B$10,Paramètres!$A$1:$I$88,5,0)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135.19533066605396</v>
      </c>
      <c r="AO79" s="62">
        <f t="shared" si="90"/>
        <v>213.60182977243113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42.759101051574731</v>
      </c>
      <c r="AV79" s="23">
        <f>EXP(-LN(2)/25)*AV78+(1-EXP(-LN(2)/25))/(LN(2)/25)*Calculateur!AQ79*Calculateur!AS79*VLOOKUP('Données projet'!$B$10,Paramètres!$A$1:$I$88,3,0)*0.475*44/12</f>
        <v>12.432978519227776</v>
      </c>
      <c r="AW79" s="23">
        <f>EXP(-LN(2)/2)*AW78+(1-EXP(-LN(2)/2))/(LN(2)/2)*AQ79*AT79*VLOOKUP('Données projet'!$B$10,Paramètres!$A$1:$I$88,3,0)*0.475*44/12</f>
        <v>2.5056449667637229E-3</v>
      </c>
      <c r="AX79" s="23">
        <f t="shared" si="60"/>
        <v>55.194585215769266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1.7053025658242404E-13</v>
      </c>
      <c r="BE79" s="14">
        <f>BD79*VLOOKUP('Données projet'!$B$11,Paramètres!$A$1:$I$88,3,0)*VLOOKUP('Données projet'!$B$11,Paramètres!$A$1:$I$88,5,0)</f>
        <v>1.0197709343628959E-13</v>
      </c>
      <c r="BF79" s="14">
        <f t="shared" si="91"/>
        <v>1.5284983994279675E-12</v>
      </c>
      <c r="BG79" s="22">
        <f t="shared" si="61"/>
        <v>2.839744816738581E-12</v>
      </c>
      <c r="BH79" s="62">
        <f t="shared" si="62"/>
        <v>293.33333333333616</v>
      </c>
      <c r="BI79" s="62">
        <f ca="1">AVERAGE(OFFSET($BH$3,0,0,'Données projet'!$E$11+1,1))-AVERAGE(OFFSET($H$3,0,0,'Données projet'!$E$11+1,1))</f>
        <v>258.1884172762135</v>
      </c>
      <c r="BJ79" s="62">
        <f t="shared" si="92"/>
        <v>356.36714671797864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80.118301751362097</v>
      </c>
      <c r="BQ79" s="23">
        <f>EXP(-LN(2)/25)*BQ78+(1-EXP(-LN(2)/25))/(LN(2)/25)*Calculateur!BL79*Calculateur!BN79*VLOOKUP('Données projet'!$B$11,Paramètres!$A$1:$I$88,3,0)*0.475*44/12</f>
        <v>20.924477940467998</v>
      </c>
      <c r="BR79" s="23">
        <f>EXP(-LN(2)/2)*BR78+(1-EXP(-LN(2)/2))/(LN(2)/2)*BL79*BO79*VLOOKUP('Données projet'!$B$11,Paramètres!$A$1:$I$88,3,0)*0.475*44/12</f>
        <v>3.1968809047254751E-3</v>
      </c>
      <c r="BS79" s="24">
        <f t="shared" si="63"/>
        <v>101.04597657273482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projet'!$B$12,Paramètres!$A$1:$I$88,3,0)*VLOOKUP('Données projet'!$B$12,Paramètres!$A$1:$I$88,5,0)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201.94015973767443</v>
      </c>
      <c r="CE79" s="62">
        <f t="shared" si="94"/>
        <v>287.12228849146032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59.665234993198808</v>
      </c>
      <c r="CL79" s="23">
        <f>EXP(-LN(2)/25)*CL78+(1-EXP(-LN(2)/25))/(LN(2)/25)*Calculateur!CG79*Calculateur!CI79*VLOOKUP('Données projet'!$B$12,Paramètres!$A$1:$I$88,3,0)*0.475*44/12</f>
        <v>14.58552737719598</v>
      </c>
      <c r="CM79" s="23">
        <f>EXP(-LN(2)/2)*CM78+(1-EXP(-LN(2)/2))/(LN(2)/2)*CG79*CJ79*VLOOKUP('Données projet'!$B$12,Paramètres!$A$1:$I$88,3,0)*0.475*44/12</f>
        <v>2.3897349586133321E-3</v>
      </c>
      <c r="CN79" s="24">
        <f t="shared" si="66"/>
        <v>74.253152105353408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projet'!$B$9,Paramètres!$A$1:$I$88,3,0)*VLOOKUP('Données projet'!$B$9,Paramètres!$A$1:$I$88,5,0)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201.94015973767443</v>
      </c>
      <c r="T80" s="62">
        <f t="shared" si="88"/>
        <v>287.12228849146032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58.495236127182096</v>
      </c>
      <c r="AA80" s="23">
        <f>EXP(-LN(2)/25)*AA79+(1-EXP(-LN(2)/25))/(LN(2)/25)*Calculateur!V80*Calculateur!X80*VLOOKUP('Données projet'!$B$9,Paramètres!$A$1:$I$88,3,0)*0.475*44/12</f>
        <v>14.186685364047007</v>
      </c>
      <c r="AB80" s="23">
        <f>EXP(-LN(2)/2)*AB79+(1-EXP(-LN(2)/2))/(LN(2)/2)*V80*Y80*VLOOKUP('Données projet'!$B$9,Paramètres!$A$1:$I$88,3,0)*0.475*44/12</f>
        <v>1.6897977944740406E-3</v>
      </c>
      <c r="AC80" s="24">
        <f t="shared" si="57"/>
        <v>72.683611289023574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projet'!$B$10,Paramètres!$A$1:$I$88,3,0)*VLOOKUP('Données projet'!$B$10,Paramètres!$A$1:$I$88,5,0)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135.19533066605396</v>
      </c>
      <c r="AO80" s="62">
        <f t="shared" si="90"/>
        <v>213.60182977243113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41.920621160429761</v>
      </c>
      <c r="AV80" s="23">
        <f>EXP(-LN(2)/25)*AV79+(1-EXP(-LN(2)/25))/(LN(2)/25)*Calculateur!AQ80*Calculateur!AS80*VLOOKUP('Données projet'!$B$10,Paramètres!$A$1:$I$88,3,0)*0.475*44/12</f>
        <v>12.092998067797568</v>
      </c>
      <c r="AW80" s="23">
        <f>EXP(-LN(2)/2)*AW79+(1-EXP(-LN(2)/2))/(LN(2)/2)*AQ80*AT80*VLOOKUP('Données projet'!$B$10,Paramètres!$A$1:$I$88,3,0)*0.475*44/12</f>
        <v>1.77175854724457E-3</v>
      </c>
      <c r="AX80" s="23">
        <f t="shared" si="60"/>
        <v>54.01539098677457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1.7053025658242404E-13</v>
      </c>
      <c r="BE80" s="14">
        <f>BD80*VLOOKUP('Données projet'!$B$11,Paramètres!$A$1:$I$88,3,0)*VLOOKUP('Données projet'!$B$11,Paramètres!$A$1:$I$88,5,0)</f>
        <v>1.0197709343628959E-13</v>
      </c>
      <c r="BF80" s="14">
        <f t="shared" si="91"/>
        <v>1.5284983994279675E-12</v>
      </c>
      <c r="BG80" s="22">
        <f t="shared" si="61"/>
        <v>2.839744816738581E-12</v>
      </c>
      <c r="BH80" s="62">
        <f t="shared" si="62"/>
        <v>293.33333333333616</v>
      </c>
      <c r="BI80" s="62">
        <f ca="1">AVERAGE(OFFSET($BH$3,0,0,'Données projet'!$E$11+1,1))-AVERAGE(OFFSET($H$3,0,0,'Données projet'!$E$11+1,1))</f>
        <v>258.1884172762135</v>
      </c>
      <c r="BJ80" s="62">
        <f t="shared" si="92"/>
        <v>356.36714671797864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78.547230721356712</v>
      </c>
      <c r="BQ80" s="23">
        <f>EXP(-LN(2)/25)*BQ79+(1-EXP(-LN(2)/25))/(LN(2)/25)*Calculateur!BL80*Calculateur!BN80*VLOOKUP('Données projet'!$B$11,Paramètres!$A$1:$I$88,3,0)*0.475*44/12</f>
        <v>20.352296990815429</v>
      </c>
      <c r="BR80" s="23">
        <f>EXP(-LN(2)/2)*BR79+(1-EXP(-LN(2)/2))/(LN(2)/2)*BL80*BO80*VLOOKUP('Données projet'!$B$11,Paramètres!$A$1:$I$88,3,0)*0.475*44/12</f>
        <v>2.2605361663771686E-3</v>
      </c>
      <c r="BS80" s="24">
        <f t="shared" si="63"/>
        <v>98.901788248338519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projet'!$B$12,Paramètres!$A$1:$I$88,3,0)*VLOOKUP('Données projet'!$B$12,Paramètres!$A$1:$I$88,5,0)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201.94015973767443</v>
      </c>
      <c r="CE80" s="62">
        <f t="shared" si="94"/>
        <v>287.12228849146032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58.495236127182096</v>
      </c>
      <c r="CL80" s="23">
        <f>EXP(-LN(2)/25)*CL79+(1-EXP(-LN(2)/25))/(LN(2)/25)*Calculateur!CG80*Calculateur!CI80*VLOOKUP('Données projet'!$B$12,Paramètres!$A$1:$I$88,3,0)*0.475*44/12</f>
        <v>14.186685364047007</v>
      </c>
      <c r="CM80" s="23">
        <f>EXP(-LN(2)/2)*CM79+(1-EXP(-LN(2)/2))/(LN(2)/2)*CG80*CJ80*VLOOKUP('Données projet'!$B$12,Paramètres!$A$1:$I$88,3,0)*0.475*44/12</f>
        <v>1.6897977944740406E-3</v>
      </c>
      <c r="CN80" s="24">
        <f t="shared" si="66"/>
        <v>72.683611289023574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projet'!$B$9,Paramètres!$A$1:$I$88,3,0)*VLOOKUP('Données projet'!$B$9,Paramètres!$A$1:$I$88,5,0)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201.94015973767443</v>
      </c>
      <c r="T81" s="62">
        <f t="shared" si="88"/>
        <v>287.12228849146032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57.348180225299124</v>
      </c>
      <c r="AA81" s="23">
        <f>EXP(-LN(2)/25)*AA80+(1-EXP(-LN(2)/25))/(LN(2)/25)*Calculateur!V81*Calculateur!X81*VLOOKUP('Données projet'!$B$9,Paramètres!$A$1:$I$88,3,0)*0.475*44/12</f>
        <v>13.798749706721782</v>
      </c>
      <c r="AB81" s="23">
        <f>EXP(-LN(2)/2)*AB80+(1-EXP(-LN(2)/2))/(LN(2)/2)*V81*Y81*VLOOKUP('Données projet'!$B$9,Paramètres!$A$1:$I$88,3,0)*0.475*44/12</f>
        <v>1.194867479306666E-3</v>
      </c>
      <c r="AC81" s="24">
        <f t="shared" si="57"/>
        <v>71.148124799500224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projet'!$B$10,Paramètres!$A$1:$I$88,3,0)*VLOOKUP('Données projet'!$B$10,Paramètres!$A$1:$I$88,5,0)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135.19533066605396</v>
      </c>
      <c r="AO81" s="62">
        <f t="shared" si="90"/>
        <v>213.60182977243113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41.098583348527903</v>
      </c>
      <c r="AV81" s="23">
        <f>EXP(-LN(2)/25)*AV80+(1-EXP(-LN(2)/25))/(LN(2)/25)*Calculateur!AQ81*Calculateur!AS81*VLOOKUP('Données projet'!$B$10,Paramètres!$A$1:$I$88,3,0)*0.475*44/12</f>
        <v>11.762314399690514</v>
      </c>
      <c r="AW81" s="23">
        <f>EXP(-LN(2)/2)*AW80+(1-EXP(-LN(2)/2))/(LN(2)/2)*AQ81*AT81*VLOOKUP('Données projet'!$B$10,Paramètres!$A$1:$I$88,3,0)*0.475*44/12</f>
        <v>1.2528224833818615E-3</v>
      </c>
      <c r="AX81" s="23">
        <f t="shared" si="60"/>
        <v>52.8621505707018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1.7053025658242404E-13</v>
      </c>
      <c r="BE81" s="14">
        <f>BD81*VLOOKUP('Données projet'!$B$11,Paramètres!$A$1:$I$88,3,0)*VLOOKUP('Données projet'!$B$11,Paramètres!$A$1:$I$88,5,0)</f>
        <v>1.0197709343628959E-13</v>
      </c>
      <c r="BF81" s="14">
        <f t="shared" si="91"/>
        <v>1.5284983994279675E-12</v>
      </c>
      <c r="BG81" s="22">
        <f t="shared" si="61"/>
        <v>2.839744816738581E-12</v>
      </c>
      <c r="BH81" s="62">
        <f t="shared" si="62"/>
        <v>293.33333333333616</v>
      </c>
      <c r="BI81" s="62">
        <f ca="1">AVERAGE(OFFSET($BH$3,0,0,'Données projet'!$E$11+1,1))-AVERAGE(OFFSET($H$3,0,0,'Données projet'!$E$11+1,1))</f>
        <v>258.1884172762135</v>
      </c>
      <c r="BJ81" s="62">
        <f t="shared" si="92"/>
        <v>356.36714671797864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77.006967435991015</v>
      </c>
      <c r="BQ81" s="23">
        <f>EXP(-LN(2)/25)*BQ80+(1-EXP(-LN(2)/25))/(LN(2)/25)*Calculateur!BL81*Calculateur!BN81*VLOOKUP('Données projet'!$B$11,Paramètres!$A$1:$I$88,3,0)*0.475*44/12</f>
        <v>19.795762359320797</v>
      </c>
      <c r="BR81" s="23">
        <f>EXP(-LN(2)/2)*BR80+(1-EXP(-LN(2)/2))/(LN(2)/2)*BL81*BO81*VLOOKUP('Données projet'!$B$11,Paramètres!$A$1:$I$88,3,0)*0.475*44/12</f>
        <v>1.5984404523627376E-3</v>
      </c>
      <c r="BS81" s="24">
        <f t="shared" si="63"/>
        <v>96.804328235764189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projet'!$B$12,Paramètres!$A$1:$I$88,3,0)*VLOOKUP('Données projet'!$B$12,Paramètres!$A$1:$I$88,5,0)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201.94015973767443</v>
      </c>
      <c r="CE81" s="62">
        <f t="shared" si="94"/>
        <v>287.12228849146032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57.348180225299124</v>
      </c>
      <c r="CL81" s="23">
        <f>EXP(-LN(2)/25)*CL80+(1-EXP(-LN(2)/25))/(LN(2)/25)*Calculateur!CG81*Calculateur!CI81*VLOOKUP('Données projet'!$B$12,Paramètres!$A$1:$I$88,3,0)*0.475*44/12</f>
        <v>13.798749706721782</v>
      </c>
      <c r="CM81" s="23">
        <f>EXP(-LN(2)/2)*CM80+(1-EXP(-LN(2)/2))/(LN(2)/2)*CG81*CJ81*VLOOKUP('Données projet'!$B$12,Paramètres!$A$1:$I$88,3,0)*0.475*44/12</f>
        <v>1.194867479306666E-3</v>
      </c>
      <c r="CN81" s="24">
        <f t="shared" si="66"/>
        <v>71.148124799500224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projet'!$B$9,Paramètres!$A$1:$I$88,3,0)*VLOOKUP('Données projet'!$B$9,Paramètres!$A$1:$I$88,5,0)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201.94015973767443</v>
      </c>
      <c r="T82" s="62">
        <f t="shared" si="88"/>
        <v>287.12228849146032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56.223617390017061</v>
      </c>
      <c r="AA82" s="23">
        <f>EXP(-LN(2)/25)*AA81+(1-EXP(-LN(2)/25))/(LN(2)/25)*Calculateur!V82*Calculateur!X82*VLOOKUP('Données projet'!$B$9,Paramètres!$A$1:$I$88,3,0)*0.475*44/12</f>
        <v>13.421422170346766</v>
      </c>
      <c r="AB82" s="23">
        <f>EXP(-LN(2)/2)*AB81+(1-EXP(-LN(2)/2))/(LN(2)/2)*V82*Y82*VLOOKUP('Données projet'!$B$9,Paramètres!$A$1:$I$88,3,0)*0.475*44/12</f>
        <v>8.4489889723702032E-4</v>
      </c>
      <c r="AC82" s="24">
        <f t="shared" si="57"/>
        <v>69.645884459261069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projet'!$B$10,Paramètres!$A$1:$I$88,3,0)*VLOOKUP('Données projet'!$B$10,Paramètres!$A$1:$I$88,5,0)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135.19533066605396</v>
      </c>
      <c r="AO82" s="62">
        <f t="shared" si="90"/>
        <v>213.60182977243113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40.292665196723888</v>
      </c>
      <c r="AV82" s="23">
        <f>EXP(-LN(2)/25)*AV81+(1-EXP(-LN(2)/25))/(LN(2)/25)*Calculateur!AQ82*Calculateur!AS82*VLOOKUP('Données projet'!$B$10,Paramètres!$A$1:$I$88,3,0)*0.475*44/12</f>
        <v>11.440673293877746</v>
      </c>
      <c r="AW82" s="23">
        <f>EXP(-LN(2)/2)*AW81+(1-EXP(-LN(2)/2))/(LN(2)/2)*AQ82*AT82*VLOOKUP('Données projet'!$B$10,Paramètres!$A$1:$I$88,3,0)*0.475*44/12</f>
        <v>8.8587927362228499E-4</v>
      </c>
      <c r="AX82" s="23">
        <f t="shared" si="60"/>
        <v>51.734224369875257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1.7053025658242404E-13</v>
      </c>
      <c r="BE82" s="14">
        <f>BD82*VLOOKUP('Données projet'!$B$11,Paramètres!$A$1:$I$88,3,0)*VLOOKUP('Données projet'!$B$11,Paramètres!$A$1:$I$88,5,0)</f>
        <v>1.0197709343628959E-13</v>
      </c>
      <c r="BF82" s="14">
        <f t="shared" si="91"/>
        <v>1.5284983994279675E-12</v>
      </c>
      <c r="BG82" s="22">
        <f t="shared" si="61"/>
        <v>2.839744816738581E-12</v>
      </c>
      <c r="BH82" s="62">
        <f t="shared" si="62"/>
        <v>293.33333333333616</v>
      </c>
      <c r="BI82" s="62">
        <f ca="1">AVERAGE(OFFSET($BH$3,0,0,'Données projet'!$E$11+1,1))-AVERAGE(OFFSET($H$3,0,0,'Données projet'!$E$11+1,1))</f>
        <v>258.1884172762135</v>
      </c>
      <c r="BJ82" s="62">
        <f t="shared" si="92"/>
        <v>356.36714671797864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75.496907774183498</v>
      </c>
      <c r="BQ82" s="23">
        <f>EXP(-LN(2)/25)*BQ81+(1-EXP(-LN(2)/25))/(LN(2)/25)*Calculateur!BL82*Calculateur!BN82*VLOOKUP('Données projet'!$B$11,Paramètres!$A$1:$I$88,3,0)*0.475*44/12</f>
        <v>19.254446196591271</v>
      </c>
      <c r="BR82" s="23">
        <f>EXP(-LN(2)/2)*BR81+(1-EXP(-LN(2)/2))/(LN(2)/2)*BL82*BO82*VLOOKUP('Données projet'!$B$11,Paramètres!$A$1:$I$88,3,0)*0.475*44/12</f>
        <v>1.1302680831885843E-3</v>
      </c>
      <c r="BS82" s="24">
        <f t="shared" si="63"/>
        <v>94.75248423885796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projet'!$B$12,Paramètres!$A$1:$I$88,3,0)*VLOOKUP('Données projet'!$B$12,Paramètres!$A$1:$I$88,5,0)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201.94015973767443</v>
      </c>
      <c r="CE82" s="62">
        <f t="shared" si="94"/>
        <v>287.12228849146032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56.223617390017061</v>
      </c>
      <c r="CL82" s="23">
        <f>EXP(-LN(2)/25)*CL81+(1-EXP(-LN(2)/25))/(LN(2)/25)*Calculateur!CG82*Calculateur!CI82*VLOOKUP('Données projet'!$B$12,Paramètres!$A$1:$I$88,3,0)*0.475*44/12</f>
        <v>13.421422170346766</v>
      </c>
      <c r="CM82" s="23">
        <f>EXP(-LN(2)/2)*CM81+(1-EXP(-LN(2)/2))/(LN(2)/2)*CG82*CJ82*VLOOKUP('Données projet'!$B$12,Paramètres!$A$1:$I$88,3,0)*0.475*44/12</f>
        <v>8.4489889723702032E-4</v>
      </c>
      <c r="CN82" s="24">
        <f t="shared" si="66"/>
        <v>69.645884459261069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projet'!$B$9,Paramètres!$A$1:$I$88,3,0)*VLOOKUP('Données projet'!$B$9,Paramètres!$A$1:$I$88,5,0)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201.94015973767443</v>
      </c>
      <c r="T83" s="62">
        <f t="shared" si="88"/>
        <v>287.12228849146032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55.121106546019277</v>
      </c>
      <c r="AA83" s="23">
        <f>EXP(-LN(2)/25)*AA82+(1-EXP(-LN(2)/25))/(LN(2)/25)*Calculateur!V83*Calculateur!X83*VLOOKUP('Données projet'!$B$9,Paramètres!$A$1:$I$88,3,0)*0.475*44/12</f>
        <v>13.054412675296717</v>
      </c>
      <c r="AB83" s="23">
        <f>EXP(-LN(2)/2)*AB82+(1-EXP(-LN(2)/2))/(LN(2)/2)*V83*Y83*VLOOKUP('Données projet'!$B$9,Paramètres!$A$1:$I$88,3,0)*0.475*44/12</f>
        <v>5.9743373965333302E-4</v>
      </c>
      <c r="AC83" s="24">
        <f t="shared" si="57"/>
        <v>68.176116655055651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projet'!$B$10,Paramètres!$A$1:$I$88,3,0)*VLOOKUP('Données projet'!$B$10,Paramètres!$A$1:$I$88,5,0)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135.19533066605396</v>
      </c>
      <c r="AO83" s="62">
        <f t="shared" si="90"/>
        <v>213.60182977243113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39.502550608315218</v>
      </c>
      <c r="AV83" s="23">
        <f>EXP(-LN(2)/25)*AV82+(1-EXP(-LN(2)/25))/(LN(2)/25)*Calculateur!AQ83*Calculateur!AS83*VLOOKUP('Données projet'!$B$10,Paramètres!$A$1:$I$88,3,0)*0.475*44/12</f>
        <v>11.127827481017798</v>
      </c>
      <c r="AW83" s="23">
        <f>EXP(-LN(2)/2)*AW82+(1-EXP(-LN(2)/2))/(LN(2)/2)*AQ83*AT83*VLOOKUP('Données projet'!$B$10,Paramètres!$A$1:$I$88,3,0)*0.475*44/12</f>
        <v>6.2641124169093073E-4</v>
      </c>
      <c r="AX83" s="23">
        <f t="shared" si="60"/>
        <v>50.631004500574704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1.7053025658242404E-13</v>
      </c>
      <c r="BE83" s="14">
        <f>BD83*VLOOKUP('Données projet'!$B$11,Paramètres!$A$1:$I$88,3,0)*VLOOKUP('Données projet'!$B$11,Paramètres!$A$1:$I$88,5,0)</f>
        <v>1.0197709343628959E-13</v>
      </c>
      <c r="BF83" s="14">
        <f t="shared" si="91"/>
        <v>1.5284983994279675E-12</v>
      </c>
      <c r="BG83" s="22">
        <f t="shared" si="61"/>
        <v>2.839744816738581E-12</v>
      </c>
      <c r="BH83" s="62">
        <f t="shared" si="62"/>
        <v>293.33333333333616</v>
      </c>
      <c r="BI83" s="62">
        <f ca="1">AVERAGE(OFFSET($BH$3,0,0,'Données projet'!$E$11+1,1))-AVERAGE(OFFSET($H$3,0,0,'Données projet'!$E$11+1,1))</f>
        <v>258.1884172762135</v>
      </c>
      <c r="BJ83" s="62">
        <f t="shared" si="92"/>
        <v>356.36714671797864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74.016459461298581</v>
      </c>
      <c r="BQ83" s="23">
        <f>EXP(-LN(2)/25)*BQ82+(1-EXP(-LN(2)/25))/(LN(2)/25)*Calculateur!BL83*Calculateur!BN83*VLOOKUP('Données projet'!$B$11,Paramètres!$A$1:$I$88,3,0)*0.475*44/12</f>
        <v>18.727932352798163</v>
      </c>
      <c r="BR83" s="23">
        <f>EXP(-LN(2)/2)*BR82+(1-EXP(-LN(2)/2))/(LN(2)/2)*BL83*BO83*VLOOKUP('Données projet'!$B$11,Paramètres!$A$1:$I$88,3,0)*0.475*44/12</f>
        <v>7.9922022618136878E-4</v>
      </c>
      <c r="BS83" s="24">
        <f t="shared" si="63"/>
        <v>92.745191034322929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projet'!$B$12,Paramètres!$A$1:$I$88,3,0)*VLOOKUP('Données projet'!$B$12,Paramètres!$A$1:$I$88,5,0)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201.94015973767443</v>
      </c>
      <c r="CE83" s="62">
        <f t="shared" si="94"/>
        <v>287.12228849146032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55.121106546019277</v>
      </c>
      <c r="CL83" s="23">
        <f>EXP(-LN(2)/25)*CL82+(1-EXP(-LN(2)/25))/(LN(2)/25)*Calculateur!CG83*Calculateur!CI83*VLOOKUP('Données projet'!$B$12,Paramètres!$A$1:$I$88,3,0)*0.475*44/12</f>
        <v>13.054412675296717</v>
      </c>
      <c r="CM83" s="23">
        <f>EXP(-LN(2)/2)*CM82+(1-EXP(-LN(2)/2))/(LN(2)/2)*CG83*CJ83*VLOOKUP('Données projet'!$B$12,Paramètres!$A$1:$I$88,3,0)*0.475*44/12</f>
        <v>5.9743373965333302E-4</v>
      </c>
      <c r="CN83" s="24">
        <f t="shared" si="66"/>
        <v>68.176116655055651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projet'!$B$9,Paramètres!$A$1:$I$88,3,0)*VLOOKUP('Données projet'!$B$9,Paramètres!$A$1:$I$88,5,0)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201.94015973767443</v>
      </c>
      <c r="T84" s="62">
        <f t="shared" si="88"/>
        <v>287.12228849146032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54.040215267207081</v>
      </c>
      <c r="AA84" s="23">
        <f>EXP(-LN(2)/25)*AA83+(1-EXP(-LN(2)/25))/(LN(2)/25)*Calculateur!V84*Calculateur!X84*VLOOKUP('Données projet'!$B$9,Paramètres!$A$1:$I$88,3,0)*0.475*44/12</f>
        <v>12.697439074189003</v>
      </c>
      <c r="AB84" s="23">
        <f>EXP(-LN(2)/2)*AB83+(1-EXP(-LN(2)/2))/(LN(2)/2)*V84*Y84*VLOOKUP('Données projet'!$B$9,Paramètres!$A$1:$I$88,3,0)*0.475*44/12</f>
        <v>4.2244944861851016E-4</v>
      </c>
      <c r="AC84" s="24">
        <f t="shared" si="57"/>
        <v>66.738076790844701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projet'!$B$10,Paramètres!$A$1:$I$88,3,0)*VLOOKUP('Données projet'!$B$10,Paramètres!$A$1:$I$88,5,0)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135.19533066605396</v>
      </c>
      <c r="AO84" s="62">
        <f t="shared" si="90"/>
        <v>213.60182977243113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38.727929685062925</v>
      </c>
      <c r="AV84" s="23">
        <f>EXP(-LN(2)/25)*AV83+(1-EXP(-LN(2)/25))/(LN(2)/25)*Calculateur!AQ84*Calculateur!AS84*VLOOKUP('Données projet'!$B$10,Paramètres!$A$1:$I$88,3,0)*0.475*44/12</f>
        <v>10.823536453362353</v>
      </c>
      <c r="AW84" s="23">
        <f>EXP(-LN(2)/2)*AW83+(1-EXP(-LN(2)/2))/(LN(2)/2)*AQ84*AT84*VLOOKUP('Données projet'!$B$10,Paramètres!$A$1:$I$88,3,0)*0.475*44/12</f>
        <v>4.429396368111425E-4</v>
      </c>
      <c r="AX84" s="23">
        <f t="shared" si="60"/>
        <v>49.551909078062089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1.7053025658242404E-13</v>
      </c>
      <c r="BE84" s="14">
        <f>BD84*VLOOKUP('Données projet'!$B$11,Paramètres!$A$1:$I$88,3,0)*VLOOKUP('Données projet'!$B$11,Paramètres!$A$1:$I$88,5,0)</f>
        <v>1.0197709343628959E-13</v>
      </c>
      <c r="BF84" s="14">
        <f t="shared" si="91"/>
        <v>1.5284983994279675E-12</v>
      </c>
      <c r="BG84" s="22">
        <f t="shared" si="61"/>
        <v>2.839744816738581E-12</v>
      </c>
      <c r="BH84" s="62">
        <f t="shared" si="62"/>
        <v>293.33333333333616</v>
      </c>
      <c r="BI84" s="62">
        <f ca="1">AVERAGE(OFFSET($BH$3,0,0,'Données projet'!$E$11+1,1))-AVERAGE(OFFSET($H$3,0,0,'Données projet'!$E$11+1,1))</f>
        <v>258.1884172762135</v>
      </c>
      <c r="BJ84" s="62">
        <f t="shared" si="92"/>
        <v>356.36714671797864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72.565041836845026</v>
      </c>
      <c r="BQ84" s="23">
        <f>EXP(-LN(2)/25)*BQ83+(1-EXP(-LN(2)/25))/(LN(2)/25)*Calculateur!BL84*Calculateur!BN84*VLOOKUP('Données projet'!$B$11,Paramètres!$A$1:$I$88,3,0)*0.475*44/12</f>
        <v>18.215816057751738</v>
      </c>
      <c r="BR84" s="23">
        <f>EXP(-LN(2)/2)*BR83+(1-EXP(-LN(2)/2))/(LN(2)/2)*BL84*BO84*VLOOKUP('Données projet'!$B$11,Paramètres!$A$1:$I$88,3,0)*0.475*44/12</f>
        <v>5.6513404159429215E-4</v>
      </c>
      <c r="BS84" s="24">
        <f t="shared" si="63"/>
        <v>90.781423028638358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projet'!$B$12,Paramètres!$A$1:$I$88,3,0)*VLOOKUP('Données projet'!$B$12,Paramètres!$A$1:$I$88,5,0)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201.94015973767443</v>
      </c>
      <c r="CE84" s="62">
        <f t="shared" si="94"/>
        <v>287.12228849146032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54.040215267207081</v>
      </c>
      <c r="CL84" s="23">
        <f>EXP(-LN(2)/25)*CL83+(1-EXP(-LN(2)/25))/(LN(2)/25)*Calculateur!CG84*Calculateur!CI84*VLOOKUP('Données projet'!$B$12,Paramètres!$A$1:$I$88,3,0)*0.475*44/12</f>
        <v>12.697439074189003</v>
      </c>
      <c r="CM84" s="23">
        <f>EXP(-LN(2)/2)*CM83+(1-EXP(-LN(2)/2))/(LN(2)/2)*CG84*CJ84*VLOOKUP('Données projet'!$B$12,Paramètres!$A$1:$I$88,3,0)*0.475*44/12</f>
        <v>4.2244944861851016E-4</v>
      </c>
      <c r="CN84" s="24">
        <f t="shared" si="66"/>
        <v>66.738076790844701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projet'!$B$9,Paramètres!$A$1:$I$88,3,0)*VLOOKUP('Données projet'!$B$9,Paramètres!$A$1:$I$88,5,0)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201.94015973767443</v>
      </c>
      <c r="T85" s="62">
        <f t="shared" si="88"/>
        <v>287.12228849146032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52.980519607093811</v>
      </c>
      <c r="AA85" s="23">
        <f>EXP(-LN(2)/25)*AA84+(1-EXP(-LN(2)/25))/(LN(2)/25)*Calculateur!V85*Calculateur!X85*VLOOKUP('Données projet'!$B$9,Paramètres!$A$1:$I$88,3,0)*0.475*44/12</f>
        <v>12.350226934976003</v>
      </c>
      <c r="AB85" s="23">
        <f>EXP(-LN(2)/2)*AB84+(1-EXP(-LN(2)/2))/(LN(2)/2)*V85*Y85*VLOOKUP('Données projet'!$B$9,Paramètres!$A$1:$I$88,3,0)*0.475*44/12</f>
        <v>2.9871686982666651E-4</v>
      </c>
      <c r="AC85" s="24">
        <f t="shared" si="57"/>
        <v>65.331045258939639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projet'!$B$10,Paramètres!$A$1:$I$88,3,0)*VLOOKUP('Données projet'!$B$10,Paramètres!$A$1:$I$88,5,0)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135.19533066605396</v>
      </c>
      <c r="AO85" s="62">
        <f t="shared" si="90"/>
        <v>213.60182977243113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37.968498605643497</v>
      </c>
      <c r="AV85" s="23">
        <f>EXP(-LN(2)/25)*AV84+(1-EXP(-LN(2)/25))/(LN(2)/25)*Calculateur!AQ85*Calculateur!AS85*VLOOKUP('Données projet'!$B$10,Paramètres!$A$1:$I$88,3,0)*0.475*44/12</f>
        <v>10.527566279860114</v>
      </c>
      <c r="AW85" s="23">
        <f>EXP(-LN(2)/2)*AW84+(1-EXP(-LN(2)/2))/(LN(2)/2)*AQ85*AT85*VLOOKUP('Données projet'!$B$10,Paramètres!$A$1:$I$88,3,0)*0.475*44/12</f>
        <v>3.1320562084546536E-4</v>
      </c>
      <c r="AX85" s="23">
        <f t="shared" si="60"/>
        <v>48.496378091124463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1.7053025658242404E-13</v>
      </c>
      <c r="BE85" s="14">
        <f>BD85*VLOOKUP('Données projet'!$B$11,Paramètres!$A$1:$I$88,3,0)*VLOOKUP('Données projet'!$B$11,Paramètres!$A$1:$I$88,5,0)</f>
        <v>1.0197709343628959E-13</v>
      </c>
      <c r="BF85" s="14">
        <f t="shared" si="91"/>
        <v>1.5284983994279675E-12</v>
      </c>
      <c r="BG85" s="22">
        <f t="shared" si="61"/>
        <v>2.839744816738581E-12</v>
      </c>
      <c r="BH85" s="62">
        <f t="shared" si="62"/>
        <v>293.33333333333616</v>
      </c>
      <c r="BI85" s="62">
        <f ca="1">AVERAGE(OFFSET($BH$3,0,0,'Données projet'!$E$11+1,1))-AVERAGE(OFFSET($H$3,0,0,'Données projet'!$E$11+1,1))</f>
        <v>258.1884172762135</v>
      </c>
      <c r="BJ85" s="62">
        <f t="shared" si="92"/>
        <v>356.36714671797864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71.142085626729667</v>
      </c>
      <c r="BQ85" s="23">
        <f>EXP(-LN(2)/25)*BQ84+(1-EXP(-LN(2)/25))/(LN(2)/25)*Calculateur!BL85*Calculateur!BN85*VLOOKUP('Données projet'!$B$11,Paramètres!$A$1:$I$88,3,0)*0.475*44/12</f>
        <v>17.717703609724381</v>
      </c>
      <c r="BR85" s="23">
        <f>EXP(-LN(2)/2)*BR84+(1-EXP(-LN(2)/2))/(LN(2)/2)*BL85*BO85*VLOOKUP('Données projet'!$B$11,Paramètres!$A$1:$I$88,3,0)*0.475*44/12</f>
        <v>3.9961011309068439E-4</v>
      </c>
      <c r="BS85" s="24">
        <f t="shared" si="63"/>
        <v>88.860188846567141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projet'!$B$12,Paramètres!$A$1:$I$88,3,0)*VLOOKUP('Données projet'!$B$12,Paramètres!$A$1:$I$88,5,0)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201.94015973767443</v>
      </c>
      <c r="CE85" s="62">
        <f t="shared" si="94"/>
        <v>287.12228849146032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52.980519607093811</v>
      </c>
      <c r="CL85" s="23">
        <f>EXP(-LN(2)/25)*CL84+(1-EXP(-LN(2)/25))/(LN(2)/25)*Calculateur!CG85*Calculateur!CI85*VLOOKUP('Données projet'!$B$12,Paramètres!$A$1:$I$88,3,0)*0.475*44/12</f>
        <v>12.350226934976003</v>
      </c>
      <c r="CM85" s="23">
        <f>EXP(-LN(2)/2)*CM84+(1-EXP(-LN(2)/2))/(LN(2)/2)*CG85*CJ85*VLOOKUP('Données projet'!$B$12,Paramètres!$A$1:$I$88,3,0)*0.475*44/12</f>
        <v>2.9871686982666651E-4</v>
      </c>
      <c r="CN85" s="24">
        <f t="shared" si="66"/>
        <v>65.331045258939639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projet'!$B$9,Paramètres!$A$1:$I$88,3,0)*VLOOKUP('Données projet'!$B$9,Paramètres!$A$1:$I$88,5,0)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201.94015973767443</v>
      </c>
      <c r="T86" s="62">
        <f t="shared" si="88"/>
        <v>287.12228849146032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51.941603932524828</v>
      </c>
      <c r="AA86" s="23">
        <f>EXP(-LN(2)/25)*AA85+(1-EXP(-LN(2)/25))/(LN(2)/25)*Calculateur!V86*Calculateur!X86*VLOOKUP('Données projet'!$B$9,Paramètres!$A$1:$I$88,3,0)*0.475*44/12</f>
        <v>12.012509329968877</v>
      </c>
      <c r="AB86" s="23">
        <f>EXP(-LN(2)/2)*AB85+(1-EXP(-LN(2)/2))/(LN(2)/2)*V86*Y86*VLOOKUP('Données projet'!$B$9,Paramètres!$A$1:$I$88,3,0)*0.475*44/12</f>
        <v>2.1122472430925508E-4</v>
      </c>
      <c r="AC86" s="24">
        <f t="shared" si="57"/>
        <v>63.954324487218017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projet'!$B$10,Paramètres!$A$1:$I$88,3,0)*VLOOKUP('Données projet'!$B$10,Paramètres!$A$1:$I$88,5,0)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135.19533066605396</v>
      </c>
      <c r="AO86" s="62">
        <f t="shared" si="90"/>
        <v>213.60182977243113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37.223959506484263</v>
      </c>
      <c r="AV86" s="23">
        <f>EXP(-LN(2)/25)*AV85+(1-EXP(-LN(2)/25))/(LN(2)/25)*Calculateur!AQ86*Calculateur!AS86*VLOOKUP('Données projet'!$B$10,Paramètres!$A$1:$I$88,3,0)*0.475*44/12</f>
        <v>10.239689426316689</v>
      </c>
      <c r="AW86" s="23">
        <f>EXP(-LN(2)/2)*AW85+(1-EXP(-LN(2)/2))/(LN(2)/2)*AQ86*AT86*VLOOKUP('Données projet'!$B$10,Paramètres!$A$1:$I$88,3,0)*0.475*44/12</f>
        <v>2.2146981840557125E-4</v>
      </c>
      <c r="AX86" s="23">
        <f t="shared" si="60"/>
        <v>47.463870402619357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1.7053025658242404E-13</v>
      </c>
      <c r="BE86" s="14">
        <f>BD86*VLOOKUP('Données projet'!$B$11,Paramètres!$A$1:$I$88,3,0)*VLOOKUP('Données projet'!$B$11,Paramètres!$A$1:$I$88,5,0)</f>
        <v>1.0197709343628959E-13</v>
      </c>
      <c r="BF86" s="14">
        <f t="shared" si="91"/>
        <v>1.5284983994279675E-12</v>
      </c>
      <c r="BG86" s="22">
        <f t="shared" si="61"/>
        <v>2.839744816738581E-12</v>
      </c>
      <c r="BH86" s="62">
        <f t="shared" si="62"/>
        <v>293.33333333333616</v>
      </c>
      <c r="BI86" s="62">
        <f ca="1">AVERAGE(OFFSET($BH$3,0,0,'Données projet'!$E$11+1,1))-AVERAGE(OFFSET($H$3,0,0,'Données projet'!$E$11+1,1))</f>
        <v>258.1884172762135</v>
      </c>
      <c r="BJ86" s="62">
        <f t="shared" si="92"/>
        <v>356.36714671797864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69.747032719977085</v>
      </c>
      <c r="BQ86" s="23">
        <f>EXP(-LN(2)/25)*BQ85+(1-EXP(-LN(2)/25))/(LN(2)/25)*Calculateur!BL86*Calculateur!BN86*VLOOKUP('Données projet'!$B$11,Paramètres!$A$1:$I$88,3,0)*0.475*44/12</f>
        <v>17.23321207278293</v>
      </c>
      <c r="BR86" s="23">
        <f>EXP(-LN(2)/2)*BR85+(1-EXP(-LN(2)/2))/(LN(2)/2)*BL86*BO86*VLOOKUP('Données projet'!$B$11,Paramètres!$A$1:$I$88,3,0)*0.475*44/12</f>
        <v>2.8256702079714608E-4</v>
      </c>
      <c r="BS86" s="24">
        <f t="shared" si="63"/>
        <v>86.980527359780822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projet'!$B$12,Paramètres!$A$1:$I$88,3,0)*VLOOKUP('Données projet'!$B$12,Paramètres!$A$1:$I$88,5,0)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201.94015973767443</v>
      </c>
      <c r="CE86" s="62">
        <f t="shared" si="94"/>
        <v>287.12228849146032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51.941603932524828</v>
      </c>
      <c r="CL86" s="23">
        <f>EXP(-LN(2)/25)*CL85+(1-EXP(-LN(2)/25))/(LN(2)/25)*Calculateur!CG86*Calculateur!CI86*VLOOKUP('Données projet'!$B$12,Paramètres!$A$1:$I$88,3,0)*0.475*44/12</f>
        <v>12.012509329968877</v>
      </c>
      <c r="CM86" s="23">
        <f>EXP(-LN(2)/2)*CM85+(1-EXP(-LN(2)/2))/(LN(2)/2)*CG86*CJ86*VLOOKUP('Données projet'!$B$12,Paramètres!$A$1:$I$88,3,0)*0.475*44/12</f>
        <v>2.1122472430925508E-4</v>
      </c>
      <c r="CN86" s="24">
        <f t="shared" si="66"/>
        <v>63.954324487218017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projet'!$B$9,Paramètres!$A$1:$I$88,3,0)*VLOOKUP('Données projet'!$B$9,Paramètres!$A$1:$I$88,5,0)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201.94015973767443</v>
      </c>
      <c r="T87" s="62">
        <f t="shared" si="88"/>
        <v>287.12228849146032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50.923060760658153</v>
      </c>
      <c r="AA87" s="23">
        <f>EXP(-LN(2)/25)*AA86+(1-EXP(-LN(2)/25))/(LN(2)/25)*Calculateur!V87*Calculateur!X87*VLOOKUP('Données projet'!$B$9,Paramètres!$A$1:$I$88,3,0)*0.475*44/12</f>
        <v>11.684026630630466</v>
      </c>
      <c r="AB87" s="23">
        <f>EXP(-LN(2)/2)*AB86+(1-EXP(-LN(2)/2))/(LN(2)/2)*V87*Y87*VLOOKUP('Données projet'!$B$9,Paramètres!$A$1:$I$88,3,0)*0.475*44/12</f>
        <v>1.4935843491333325E-4</v>
      </c>
      <c r="AC87" s="24">
        <f t="shared" si="57"/>
        <v>62.607236749723526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projet'!$B$10,Paramètres!$A$1:$I$88,3,0)*VLOOKUP('Données projet'!$B$10,Paramètres!$A$1:$I$88,5,0)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135.19533066605396</v>
      </c>
      <c r="AO87" s="62">
        <f t="shared" si="90"/>
        <v>213.60182977243113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36.494020364935537</v>
      </c>
      <c r="AV87" s="23">
        <f>EXP(-LN(2)/25)*AV86+(1-EXP(-LN(2)/25))/(LN(2)/25)*Calculateur!AQ87*Calculateur!AS87*VLOOKUP('Données projet'!$B$10,Paramètres!$A$1:$I$88,3,0)*0.475*44/12</f>
        <v>9.9596845804721958</v>
      </c>
      <c r="AW87" s="23">
        <f>EXP(-LN(2)/2)*AW86+(1-EXP(-LN(2)/2))/(LN(2)/2)*AQ87*AT87*VLOOKUP('Données projet'!$B$10,Paramètres!$A$1:$I$88,3,0)*0.475*44/12</f>
        <v>1.5660281042273268E-4</v>
      </c>
      <c r="AX87" s="23">
        <f t="shared" si="60"/>
        <v>46.453861548218157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1.7053025658242404E-13</v>
      </c>
      <c r="BE87" s="14">
        <f>BD87*VLOOKUP('Données projet'!$B$11,Paramètres!$A$1:$I$88,3,0)*VLOOKUP('Données projet'!$B$11,Paramètres!$A$1:$I$88,5,0)</f>
        <v>1.0197709343628959E-13</v>
      </c>
      <c r="BF87" s="14">
        <f t="shared" si="91"/>
        <v>1.5284983994279675E-12</v>
      </c>
      <c r="BG87" s="22">
        <f t="shared" si="61"/>
        <v>2.839744816738581E-12</v>
      </c>
      <c r="BH87" s="62">
        <f t="shared" si="62"/>
        <v>293.33333333333616</v>
      </c>
      <c r="BI87" s="62">
        <f ca="1">AVERAGE(OFFSET($BH$3,0,0,'Données projet'!$E$11+1,1))-AVERAGE(OFFSET($H$3,0,0,'Données projet'!$E$11+1,1))</f>
        <v>258.1884172762135</v>
      </c>
      <c r="BJ87" s="62">
        <f t="shared" si="92"/>
        <v>356.36714671797864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68.379335949827677</v>
      </c>
      <c r="BQ87" s="23">
        <f>EXP(-LN(2)/25)*BQ86+(1-EXP(-LN(2)/25))/(LN(2)/25)*Calculateur!BL87*Calculateur!BN87*VLOOKUP('Données projet'!$B$11,Paramètres!$A$1:$I$88,3,0)*0.475*44/12</f>
        <v>16.761968982397445</v>
      </c>
      <c r="BR87" s="23">
        <f>EXP(-LN(2)/2)*BR86+(1-EXP(-LN(2)/2))/(LN(2)/2)*BL87*BO87*VLOOKUP('Données projet'!$B$11,Paramètres!$A$1:$I$88,3,0)*0.475*44/12</f>
        <v>1.998050565453422E-4</v>
      </c>
      <c r="BS87" s="24">
        <f t="shared" si="63"/>
        <v>85.141504737281664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projet'!$B$12,Paramètres!$A$1:$I$88,3,0)*VLOOKUP('Données projet'!$B$12,Paramètres!$A$1:$I$88,5,0)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201.94015973767443</v>
      </c>
      <c r="CE87" s="62">
        <f t="shared" si="94"/>
        <v>287.12228849146032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50.923060760658153</v>
      </c>
      <c r="CL87" s="23">
        <f>EXP(-LN(2)/25)*CL86+(1-EXP(-LN(2)/25))/(LN(2)/25)*Calculateur!CG87*Calculateur!CI87*VLOOKUP('Données projet'!$B$12,Paramètres!$A$1:$I$88,3,0)*0.475*44/12</f>
        <v>11.684026630630466</v>
      </c>
      <c r="CM87" s="23">
        <f>EXP(-LN(2)/2)*CM86+(1-EXP(-LN(2)/2))/(LN(2)/2)*CG87*CJ87*VLOOKUP('Données projet'!$B$12,Paramètres!$A$1:$I$88,3,0)*0.475*44/12</f>
        <v>1.4935843491333325E-4</v>
      </c>
      <c r="CN87" s="24">
        <f t="shared" si="66"/>
        <v>62.607236749723526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projet'!$B$9,Paramètres!$A$1:$I$88,3,0)*VLOOKUP('Données projet'!$B$9,Paramètres!$A$1:$I$88,5,0)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201.94015973767443</v>
      </c>
      <c r="T88" s="62">
        <f t="shared" si="88"/>
        <v>287.12228849146032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49.924490599141791</v>
      </c>
      <c r="AA88" s="23">
        <f>EXP(-LN(2)/25)*AA87+(1-EXP(-LN(2)/25))/(LN(2)/25)*Calculateur!V88*Calculateur!X88*VLOOKUP('Données projet'!$B$9,Paramètres!$A$1:$I$88,3,0)*0.475*44/12</f>
        <v>11.36452630797962</v>
      </c>
      <c r="AB88" s="23">
        <f>EXP(-LN(2)/2)*AB87+(1-EXP(-LN(2)/2))/(LN(2)/2)*V88*Y88*VLOOKUP('Données projet'!$B$9,Paramètres!$A$1:$I$88,3,0)*0.475*44/12</f>
        <v>1.0561236215462754E-4</v>
      </c>
      <c r="AC88" s="24">
        <f t="shared" si="57"/>
        <v>61.289122519483563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projet'!$B$10,Paramètres!$A$1:$I$88,3,0)*VLOOKUP('Données projet'!$B$10,Paramètres!$A$1:$I$88,5,0)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135.19533066605396</v>
      </c>
      <c r="AO88" s="62">
        <f t="shared" si="90"/>
        <v>213.60182977243113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35.778394884733665</v>
      </c>
      <c r="AV88" s="23">
        <f>EXP(-LN(2)/25)*AV87+(1-EXP(-LN(2)/25))/(LN(2)/25)*Calculateur!AQ88*Calculateur!AS88*VLOOKUP('Données projet'!$B$10,Paramètres!$A$1:$I$88,3,0)*0.475*44/12</f>
        <v>9.6873364818621344</v>
      </c>
      <c r="AW88" s="23">
        <f>EXP(-LN(2)/2)*AW87+(1-EXP(-LN(2)/2))/(LN(2)/2)*AQ88*AT88*VLOOKUP('Données projet'!$B$10,Paramètres!$A$1:$I$88,3,0)*0.475*44/12</f>
        <v>1.1073490920278562E-4</v>
      </c>
      <c r="AX88" s="23">
        <f t="shared" si="60"/>
        <v>45.465842101504997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1.7053025658242404E-13</v>
      </c>
      <c r="BE88" s="14">
        <f>BD88*VLOOKUP('Données projet'!$B$11,Paramètres!$A$1:$I$88,3,0)*VLOOKUP('Données projet'!$B$11,Paramètres!$A$1:$I$88,5,0)</f>
        <v>1.0197709343628959E-13</v>
      </c>
      <c r="BF88" s="14">
        <f t="shared" si="91"/>
        <v>1.5284983994279675E-12</v>
      </c>
      <c r="BG88" s="22">
        <f t="shared" si="61"/>
        <v>2.839744816738581E-12</v>
      </c>
      <c r="BH88" s="62">
        <f t="shared" si="62"/>
        <v>293.33333333333616</v>
      </c>
      <c r="BI88" s="62">
        <f ca="1">AVERAGE(OFFSET($BH$3,0,0,'Données projet'!$E$11+1,1))-AVERAGE(OFFSET($H$3,0,0,'Données projet'!$E$11+1,1))</f>
        <v>258.1884172762135</v>
      </c>
      <c r="BJ88" s="62">
        <f t="shared" si="92"/>
        <v>356.36714671797864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67.038458879128228</v>
      </c>
      <c r="BQ88" s="23">
        <f>EXP(-LN(2)/25)*BQ87+(1-EXP(-LN(2)/25))/(LN(2)/25)*Calculateur!BL88*Calculateur!BN88*VLOOKUP('Données projet'!$B$11,Paramètres!$A$1:$I$88,3,0)*0.475*44/12</f>
        <v>16.303612059100146</v>
      </c>
      <c r="BR88" s="23">
        <f>EXP(-LN(2)/2)*BR87+(1-EXP(-LN(2)/2))/(LN(2)/2)*BL88*BO88*VLOOKUP('Données projet'!$B$11,Paramètres!$A$1:$I$88,3,0)*0.475*44/12</f>
        <v>1.4128351039857304E-4</v>
      </c>
      <c r="BS88" s="24">
        <f t="shared" si="63"/>
        <v>83.342212221738777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projet'!$B$12,Paramètres!$A$1:$I$88,3,0)*VLOOKUP('Données projet'!$B$12,Paramètres!$A$1:$I$88,5,0)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201.94015973767443</v>
      </c>
      <c r="CE88" s="62">
        <f t="shared" si="94"/>
        <v>287.12228849146032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49.924490599141791</v>
      </c>
      <c r="CL88" s="23">
        <f>EXP(-LN(2)/25)*CL87+(1-EXP(-LN(2)/25))/(LN(2)/25)*Calculateur!CG88*Calculateur!CI88*VLOOKUP('Données projet'!$B$12,Paramètres!$A$1:$I$88,3,0)*0.475*44/12</f>
        <v>11.36452630797962</v>
      </c>
      <c r="CM88" s="23">
        <f>EXP(-LN(2)/2)*CM87+(1-EXP(-LN(2)/2))/(LN(2)/2)*CG88*CJ88*VLOOKUP('Données projet'!$B$12,Paramètres!$A$1:$I$88,3,0)*0.475*44/12</f>
        <v>1.0561236215462754E-4</v>
      </c>
      <c r="CN88" s="24">
        <f t="shared" si="66"/>
        <v>61.289122519483563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projet'!$B$9,Paramètres!$A$1:$I$88,3,0)*VLOOKUP('Données projet'!$B$9,Paramètres!$A$1:$I$88,5,0)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201.94015973767443</v>
      </c>
      <c r="T89" s="62">
        <f t="shared" si="88"/>
        <v>287.12228849146032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48.945501789425109</v>
      </c>
      <c r="AA89" s="23">
        <f>EXP(-LN(2)/25)*AA88+(1-EXP(-LN(2)/25))/(LN(2)/25)*Calculateur!V89*Calculateur!X89*VLOOKUP('Données projet'!$B$9,Paramètres!$A$1:$I$88,3,0)*0.475*44/12</f>
        <v>11.053762738453452</v>
      </c>
      <c r="AB89" s="23">
        <f>EXP(-LN(2)/2)*AB88+(1-EXP(-LN(2)/2))/(LN(2)/2)*V89*Y89*VLOOKUP('Données projet'!$B$9,Paramètres!$A$1:$I$88,3,0)*0.475*44/12</f>
        <v>7.4679217456666627E-5</v>
      </c>
      <c r="AC89" s="24">
        <f t="shared" si="57"/>
        <v>59.999339207096014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projet'!$B$10,Paramètres!$A$1:$I$88,3,0)*VLOOKUP('Données projet'!$B$10,Paramètres!$A$1:$I$88,5,0)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135.19533066605396</v>
      </c>
      <c r="AO89" s="62">
        <f t="shared" si="90"/>
        <v>213.60182977243113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35.07680238371011</v>
      </c>
      <c r="AV89" s="23">
        <f>EXP(-LN(2)/25)*AV88+(1-EXP(-LN(2)/25))/(LN(2)/25)*Calculateur!AQ89*Calculateur!AS89*VLOOKUP('Données projet'!$B$10,Paramètres!$A$1:$I$88,3,0)*0.475*44/12</f>
        <v>9.4224357563307297</v>
      </c>
      <c r="AW89" s="23">
        <f>EXP(-LN(2)/2)*AW88+(1-EXP(-LN(2)/2))/(LN(2)/2)*AQ89*AT89*VLOOKUP('Données projet'!$B$10,Paramètres!$A$1:$I$88,3,0)*0.475*44/12</f>
        <v>7.8301405211366341E-5</v>
      </c>
      <c r="AX89" s="23">
        <f t="shared" si="60"/>
        <v>44.499316441446048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1.7053025658242404E-13</v>
      </c>
      <c r="BE89" s="14">
        <f>BD89*VLOOKUP('Données projet'!$B$11,Paramètres!$A$1:$I$88,3,0)*VLOOKUP('Données projet'!$B$11,Paramètres!$A$1:$I$88,5,0)</f>
        <v>1.0197709343628959E-13</v>
      </c>
      <c r="BF89" s="14">
        <f t="shared" si="91"/>
        <v>1.5284983994279675E-12</v>
      </c>
      <c r="BG89" s="22">
        <f t="shared" si="61"/>
        <v>2.839744816738581E-12</v>
      </c>
      <c r="BH89" s="62">
        <f t="shared" si="62"/>
        <v>293.33333333333616</v>
      </c>
      <c r="BI89" s="62">
        <f ca="1">AVERAGE(OFFSET($BH$3,0,0,'Données projet'!$E$11+1,1))-AVERAGE(OFFSET($H$3,0,0,'Données projet'!$E$11+1,1))</f>
        <v>258.1884172762135</v>
      </c>
      <c r="BJ89" s="62">
        <f t="shared" si="92"/>
        <v>356.36714671797864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65.723875589930941</v>
      </c>
      <c r="BQ89" s="23">
        <f>EXP(-LN(2)/25)*BQ88+(1-EXP(-LN(2)/25))/(LN(2)/25)*Calculateur!BL89*Calculateur!BN89*VLOOKUP('Données projet'!$B$11,Paramètres!$A$1:$I$88,3,0)*0.475*44/12</f>
        <v>15.857788929974356</v>
      </c>
      <c r="BR89" s="23">
        <f>EXP(-LN(2)/2)*BR88+(1-EXP(-LN(2)/2))/(LN(2)/2)*BL89*BO89*VLOOKUP('Données projet'!$B$11,Paramètres!$A$1:$I$88,3,0)*0.475*44/12</f>
        <v>9.9902528272671098E-5</v>
      </c>
      <c r="BS89" s="24">
        <f t="shared" si="63"/>
        <v>81.581764422433579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projet'!$B$12,Paramètres!$A$1:$I$88,3,0)*VLOOKUP('Données projet'!$B$12,Paramètres!$A$1:$I$88,5,0)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201.94015973767443</v>
      </c>
      <c r="CE89" s="62">
        <f t="shared" si="94"/>
        <v>287.12228849146032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48.945501789425109</v>
      </c>
      <c r="CL89" s="23">
        <f>EXP(-LN(2)/25)*CL88+(1-EXP(-LN(2)/25))/(LN(2)/25)*Calculateur!CG89*Calculateur!CI89*VLOOKUP('Données projet'!$B$12,Paramètres!$A$1:$I$88,3,0)*0.475*44/12</f>
        <v>11.053762738453452</v>
      </c>
      <c r="CM89" s="23">
        <f>EXP(-LN(2)/2)*CM88+(1-EXP(-LN(2)/2))/(LN(2)/2)*CG89*CJ89*VLOOKUP('Données projet'!$B$12,Paramètres!$A$1:$I$88,3,0)*0.475*44/12</f>
        <v>7.4679217456666627E-5</v>
      </c>
      <c r="CN89" s="24">
        <f t="shared" si="66"/>
        <v>59.999339207096014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projet'!$B$9,Paramètres!$A$1:$I$88,3,0)*VLOOKUP('Données projet'!$B$9,Paramètres!$A$1:$I$88,5,0)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201.94015973767443</v>
      </c>
      <c r="T90" s="62">
        <f t="shared" si="88"/>
        <v>287.12228849146032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47.985710353142757</v>
      </c>
      <c r="AA90" s="23">
        <f>EXP(-LN(2)/25)*AA89+(1-EXP(-LN(2)/25))/(LN(2)/25)*Calculateur!V90*Calculateur!X90*VLOOKUP('Données projet'!$B$9,Paramètres!$A$1:$I$88,3,0)*0.475*44/12</f>
        <v>10.751497015078323</v>
      </c>
      <c r="AB90" s="23">
        <f>EXP(-LN(2)/2)*AB89+(1-EXP(-LN(2)/2))/(LN(2)/2)*V90*Y90*VLOOKUP('Données projet'!$B$9,Paramètres!$A$1:$I$88,3,0)*0.475*44/12</f>
        <v>5.280618107731377E-5</v>
      </c>
      <c r="AC90" s="24">
        <f t="shared" si="57"/>
        <v>58.737260174402152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projet'!$B$10,Paramètres!$A$1:$I$88,3,0)*VLOOKUP('Données projet'!$B$10,Paramètres!$A$1:$I$88,5,0)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135.19533066605396</v>
      </c>
      <c r="AO90" s="62">
        <f t="shared" si="90"/>
        <v>213.60182977243113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34.388967683702454</v>
      </c>
      <c r="AV90" s="23">
        <f>EXP(-LN(2)/25)*AV89+(1-EXP(-LN(2)/25))/(LN(2)/25)*Calculateur!AQ90*Calculateur!AS90*VLOOKUP('Données projet'!$B$10,Paramètres!$A$1:$I$88,3,0)*0.475*44/12</f>
        <v>9.1647787550695039</v>
      </c>
      <c r="AW90" s="23">
        <f>EXP(-LN(2)/2)*AW89+(1-EXP(-LN(2)/2))/(LN(2)/2)*AQ90*AT90*VLOOKUP('Données projet'!$B$10,Paramètres!$A$1:$I$88,3,0)*0.475*44/12</f>
        <v>5.5367454601392812E-5</v>
      </c>
      <c r="AX90" s="23">
        <f t="shared" si="60"/>
        <v>43.553801806226559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1.7053025658242404E-13</v>
      </c>
      <c r="BE90" s="14">
        <f>BD90*VLOOKUP('Données projet'!$B$11,Paramètres!$A$1:$I$88,3,0)*VLOOKUP('Données projet'!$B$11,Paramètres!$A$1:$I$88,5,0)</f>
        <v>1.0197709343628959E-13</v>
      </c>
      <c r="BF90" s="14">
        <f t="shared" si="91"/>
        <v>1.5284983994279675E-12</v>
      </c>
      <c r="BG90" s="22">
        <f t="shared" si="61"/>
        <v>2.839744816738581E-12</v>
      </c>
      <c r="BH90" s="62">
        <f t="shared" si="62"/>
        <v>293.33333333333616</v>
      </c>
      <c r="BI90" s="62">
        <f ca="1">AVERAGE(OFFSET($BH$3,0,0,'Données projet'!$E$11+1,1))-AVERAGE(OFFSET($H$3,0,0,'Données projet'!$E$11+1,1))</f>
        <v>258.1884172762135</v>
      </c>
      <c r="BJ90" s="62">
        <f t="shared" si="92"/>
        <v>356.36714671797864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64.43507047721819</v>
      </c>
      <c r="BQ90" s="23">
        <f>EXP(-LN(2)/25)*BQ89+(1-EXP(-LN(2)/25))/(LN(2)/25)*Calculateur!BL90*Calculateur!BN90*VLOOKUP('Données projet'!$B$11,Paramètres!$A$1:$I$88,3,0)*0.475*44/12</f>
        <v>15.424156857759332</v>
      </c>
      <c r="BR90" s="23">
        <f>EXP(-LN(2)/2)*BR89+(1-EXP(-LN(2)/2))/(LN(2)/2)*BL90*BO90*VLOOKUP('Données projet'!$B$11,Paramètres!$A$1:$I$88,3,0)*0.475*44/12</f>
        <v>7.0641755199286519E-5</v>
      </c>
      <c r="BS90" s="24">
        <f t="shared" si="63"/>
        <v>79.859297976732719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projet'!$B$12,Paramètres!$A$1:$I$88,3,0)*VLOOKUP('Données projet'!$B$12,Paramètres!$A$1:$I$88,5,0)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201.94015973767443</v>
      </c>
      <c r="CE90" s="62">
        <f t="shared" si="94"/>
        <v>287.12228849146032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47.985710353142757</v>
      </c>
      <c r="CL90" s="23">
        <f>EXP(-LN(2)/25)*CL89+(1-EXP(-LN(2)/25))/(LN(2)/25)*Calculateur!CG90*Calculateur!CI90*VLOOKUP('Données projet'!$B$12,Paramètres!$A$1:$I$88,3,0)*0.475*44/12</f>
        <v>10.751497015078323</v>
      </c>
      <c r="CM90" s="23">
        <f>EXP(-LN(2)/2)*CM89+(1-EXP(-LN(2)/2))/(LN(2)/2)*CG90*CJ90*VLOOKUP('Données projet'!$B$12,Paramètres!$A$1:$I$88,3,0)*0.475*44/12</f>
        <v>5.280618107731377E-5</v>
      </c>
      <c r="CN90" s="24">
        <f t="shared" si="66"/>
        <v>58.737260174402152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projet'!$B$9,Paramètres!$A$1:$I$88,3,0)*VLOOKUP('Données projet'!$B$9,Paramètres!$A$1:$I$88,5,0)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201.94015973767443</v>
      </c>
      <c r="T91" s="62">
        <f t="shared" si="88"/>
        <v>287.12228849146032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47.044739841510932</v>
      </c>
      <c r="AA91" s="23">
        <f>EXP(-LN(2)/25)*AA90+(1-EXP(-LN(2)/25))/(LN(2)/25)*Calculateur!V91*Calculateur!X91*VLOOKUP('Données projet'!$B$9,Paramètres!$A$1:$I$88,3,0)*0.475*44/12</f>
        <v>10.457496763804352</v>
      </c>
      <c r="AB91" s="23">
        <f>EXP(-LN(2)/2)*AB90+(1-EXP(-LN(2)/2))/(LN(2)/2)*V91*Y91*VLOOKUP('Données projet'!$B$9,Paramètres!$A$1:$I$88,3,0)*0.475*44/12</f>
        <v>3.7339608728333314E-5</v>
      </c>
      <c r="AC91" s="24">
        <f t="shared" si="57"/>
        <v>57.502273944924013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projet'!$B$10,Paramètres!$A$1:$I$88,3,0)*VLOOKUP('Données projet'!$B$10,Paramètres!$A$1:$I$88,5,0)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135.19533066605396</v>
      </c>
      <c r="AO91" s="62">
        <f t="shared" si="90"/>
        <v>213.60182977243113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33.714621002624206</v>
      </c>
      <c r="AV91" s="23">
        <f>EXP(-LN(2)/25)*AV90+(1-EXP(-LN(2)/25))/(LN(2)/25)*Calculateur!AQ91*Calculateur!AS91*VLOOKUP('Données projet'!$B$10,Paramètres!$A$1:$I$88,3,0)*0.475*44/12</f>
        <v>8.9141673980573604</v>
      </c>
      <c r="AW91" s="23">
        <f>EXP(-LN(2)/2)*AW90+(1-EXP(-LN(2)/2))/(LN(2)/2)*AQ91*AT91*VLOOKUP('Données projet'!$B$10,Paramètres!$A$1:$I$88,3,0)*0.475*44/12</f>
        <v>3.915070260568317E-5</v>
      </c>
      <c r="AX91" s="23">
        <f t="shared" si="60"/>
        <v>42.62882755138417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1.7053025658242404E-13</v>
      </c>
      <c r="BE91" s="14">
        <f>BD91*VLOOKUP('Données projet'!$B$11,Paramètres!$A$1:$I$88,3,0)*VLOOKUP('Données projet'!$B$11,Paramètres!$A$1:$I$88,5,0)</f>
        <v>1.0197709343628959E-13</v>
      </c>
      <c r="BF91" s="14">
        <f t="shared" si="91"/>
        <v>1.5284983994279675E-12</v>
      </c>
      <c r="BG91" s="22">
        <f t="shared" si="61"/>
        <v>2.839744816738581E-12</v>
      </c>
      <c r="BH91" s="62">
        <f t="shared" si="62"/>
        <v>293.33333333333616</v>
      </c>
      <c r="BI91" s="62">
        <f ca="1">AVERAGE(OFFSET($BH$3,0,0,'Données projet'!$E$11+1,1))-AVERAGE(OFFSET($H$3,0,0,'Données projet'!$E$11+1,1))</f>
        <v>258.1884172762135</v>
      </c>
      <c r="BJ91" s="62">
        <f t="shared" si="92"/>
        <v>356.36714671797864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63.171538046672232</v>
      </c>
      <c r="BQ91" s="23">
        <f>EXP(-LN(2)/25)*BQ90+(1-EXP(-LN(2)/25))/(LN(2)/25)*Calculateur!BL91*Calculateur!BN91*VLOOKUP('Données projet'!$B$11,Paramètres!$A$1:$I$88,3,0)*0.475*44/12</f>
        <v>15.002382477362746</v>
      </c>
      <c r="BR91" s="23">
        <f>EXP(-LN(2)/2)*BR90+(1-EXP(-LN(2)/2))/(LN(2)/2)*BL91*BO91*VLOOKUP('Données projet'!$B$11,Paramètres!$A$1:$I$88,3,0)*0.475*44/12</f>
        <v>4.9951264136335549E-5</v>
      </c>
      <c r="BS91" s="24">
        <f t="shared" si="63"/>
        <v>78.173970475299114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projet'!$B$12,Paramètres!$A$1:$I$88,3,0)*VLOOKUP('Données projet'!$B$12,Paramètres!$A$1:$I$88,5,0)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201.94015973767443</v>
      </c>
      <c r="CE91" s="62">
        <f t="shared" si="94"/>
        <v>287.12228849146032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47.044739841510932</v>
      </c>
      <c r="CL91" s="23">
        <f>EXP(-LN(2)/25)*CL90+(1-EXP(-LN(2)/25))/(LN(2)/25)*Calculateur!CG91*Calculateur!CI91*VLOOKUP('Données projet'!$B$12,Paramètres!$A$1:$I$88,3,0)*0.475*44/12</f>
        <v>10.457496763804352</v>
      </c>
      <c r="CM91" s="23">
        <f>EXP(-LN(2)/2)*CM90+(1-EXP(-LN(2)/2))/(LN(2)/2)*CG91*CJ91*VLOOKUP('Données projet'!$B$12,Paramètres!$A$1:$I$88,3,0)*0.475*44/12</f>
        <v>3.7339608728333314E-5</v>
      </c>
      <c r="CN91" s="24">
        <f t="shared" si="66"/>
        <v>57.502273944924013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projet'!$B$9,Paramètres!$A$1:$I$88,3,0)*VLOOKUP('Données projet'!$B$9,Paramètres!$A$1:$I$88,5,0)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201.94015973767443</v>
      </c>
      <c r="T92" s="62">
        <f t="shared" si="88"/>
        <v>287.12228849146032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46.122221187676864</v>
      </c>
      <c r="AA92" s="23">
        <f>EXP(-LN(2)/25)*AA91+(1-EXP(-LN(2)/25))/(LN(2)/25)*Calculateur!V92*Calculateur!X92*VLOOKUP('Données projet'!$B$9,Paramètres!$A$1:$I$88,3,0)*0.475*44/12</f>
        <v>10.171535964862269</v>
      </c>
      <c r="AB92" s="23">
        <f>EXP(-LN(2)/2)*AB91+(1-EXP(-LN(2)/2))/(LN(2)/2)*V92*Y92*VLOOKUP('Données projet'!$B$9,Paramètres!$A$1:$I$88,3,0)*0.475*44/12</f>
        <v>2.6403090538656885E-5</v>
      </c>
      <c r="AC92" s="24">
        <f t="shared" si="57"/>
        <v>56.293783555629666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projet'!$B$10,Paramètres!$A$1:$I$88,3,0)*VLOOKUP('Données projet'!$B$10,Paramètres!$A$1:$I$88,5,0)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135.19533066605396</v>
      </c>
      <c r="AO92" s="62">
        <f t="shared" si="90"/>
        <v>213.60182977243113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33.053497848651041</v>
      </c>
      <c r="AV92" s="23">
        <f>EXP(-LN(2)/25)*AV91+(1-EXP(-LN(2)/25))/(LN(2)/25)*Calculateur!AQ92*Calculateur!AS92*VLOOKUP('Données projet'!$B$10,Paramètres!$A$1:$I$88,3,0)*0.475*44/12</f>
        <v>8.6704090217817917</v>
      </c>
      <c r="AW92" s="23">
        <f>EXP(-LN(2)/2)*AW91+(1-EXP(-LN(2)/2))/(LN(2)/2)*AQ92*AT92*VLOOKUP('Données projet'!$B$10,Paramètres!$A$1:$I$88,3,0)*0.475*44/12</f>
        <v>2.7683727300696406E-5</v>
      </c>
      <c r="AX92" s="23">
        <f t="shared" si="60"/>
        <v>41.723934554160138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1.7053025658242404E-13</v>
      </c>
      <c r="BE92" s="14">
        <f>BD92*VLOOKUP('Données projet'!$B$11,Paramètres!$A$1:$I$88,3,0)*VLOOKUP('Données projet'!$B$11,Paramètres!$A$1:$I$88,5,0)</f>
        <v>1.0197709343628959E-13</v>
      </c>
      <c r="BF92" s="14">
        <f t="shared" si="91"/>
        <v>1.5284983994279675E-12</v>
      </c>
      <c r="BG92" s="22">
        <f t="shared" si="61"/>
        <v>2.839744816738581E-12</v>
      </c>
      <c r="BH92" s="62">
        <f t="shared" si="62"/>
        <v>293.33333333333616</v>
      </c>
      <c r="BI92" s="62">
        <f ca="1">AVERAGE(OFFSET($BH$3,0,0,'Données projet'!$E$11+1,1))-AVERAGE(OFFSET($H$3,0,0,'Données projet'!$E$11+1,1))</f>
        <v>258.1884172762135</v>
      </c>
      <c r="BJ92" s="62">
        <f t="shared" si="92"/>
        <v>356.36714671797864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61.932782716410593</v>
      </c>
      <c r="BQ92" s="23">
        <f>EXP(-LN(2)/25)*BQ91+(1-EXP(-LN(2)/25))/(LN(2)/25)*Calculateur!BL92*Calculateur!BN92*VLOOKUP('Données projet'!$B$11,Paramètres!$A$1:$I$88,3,0)*0.475*44/12</f>
        <v>14.592141539578256</v>
      </c>
      <c r="BR92" s="23">
        <f>EXP(-LN(2)/2)*BR91+(1-EXP(-LN(2)/2))/(LN(2)/2)*BL92*BO92*VLOOKUP('Données projet'!$B$11,Paramètres!$A$1:$I$88,3,0)*0.475*44/12</f>
        <v>3.532087759964326E-5</v>
      </c>
      <c r="BS92" s="24">
        <f t="shared" si="63"/>
        <v>76.524959576866451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projet'!$B$12,Paramètres!$A$1:$I$88,3,0)*VLOOKUP('Données projet'!$B$12,Paramètres!$A$1:$I$88,5,0)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201.94015973767443</v>
      </c>
      <c r="CE92" s="62">
        <f t="shared" si="94"/>
        <v>287.12228849146032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46.122221187676864</v>
      </c>
      <c r="CL92" s="23">
        <f>EXP(-LN(2)/25)*CL91+(1-EXP(-LN(2)/25))/(LN(2)/25)*Calculateur!CG92*Calculateur!CI92*VLOOKUP('Données projet'!$B$12,Paramètres!$A$1:$I$88,3,0)*0.475*44/12</f>
        <v>10.171535964862269</v>
      </c>
      <c r="CM92" s="23">
        <f>EXP(-LN(2)/2)*CM91+(1-EXP(-LN(2)/2))/(LN(2)/2)*CG92*CJ92*VLOOKUP('Données projet'!$B$12,Paramètres!$A$1:$I$88,3,0)*0.475*44/12</f>
        <v>2.6403090538656885E-5</v>
      </c>
      <c r="CN92" s="24">
        <f t="shared" si="66"/>
        <v>56.293783555629666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projet'!$B$9,Paramètres!$A$1:$I$88,3,0)*VLOOKUP('Données projet'!$B$9,Paramètres!$A$1:$I$88,5,0)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201.94015973767443</v>
      </c>
      <c r="T93" s="62">
        <f t="shared" si="88"/>
        <v>287.12228849146032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45.217792561963662</v>
      </c>
      <c r="AA93" s="23">
        <f>EXP(-LN(2)/25)*AA92+(1-EXP(-LN(2)/25))/(LN(2)/25)*Calculateur!V93*Calculateur!X93*VLOOKUP('Données projet'!$B$9,Paramètres!$A$1:$I$88,3,0)*0.475*44/12</f>
        <v>9.8933947790052805</v>
      </c>
      <c r="AB93" s="23">
        <f>EXP(-LN(2)/2)*AB92+(1-EXP(-LN(2)/2))/(LN(2)/2)*V93*Y93*VLOOKUP('Données projet'!$B$9,Paramètres!$A$1:$I$88,3,0)*0.475*44/12</f>
        <v>1.8669804364166657E-5</v>
      </c>
      <c r="AC93" s="24">
        <f t="shared" si="57"/>
        <v>55.111206010773302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projet'!$B$10,Paramètres!$A$1:$I$88,3,0)*VLOOKUP('Données projet'!$B$10,Paramètres!$A$1:$I$88,5,0)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135.19533066605396</v>
      </c>
      <c r="AO93" s="62">
        <f t="shared" si="90"/>
        <v>213.60182977243113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32.405338916481981</v>
      </c>
      <c r="AV93" s="23">
        <f>EXP(-LN(2)/25)*AV92+(1-EXP(-LN(2)/25))/(LN(2)/25)*Calculateur!AQ93*Calculateur!AS93*VLOOKUP('Données projet'!$B$10,Paramètres!$A$1:$I$88,3,0)*0.475*44/12</f>
        <v>8.4333162311241754</v>
      </c>
      <c r="AW93" s="23">
        <f>EXP(-LN(2)/2)*AW92+(1-EXP(-LN(2)/2))/(LN(2)/2)*AQ93*AT93*VLOOKUP('Données projet'!$B$10,Paramètres!$A$1:$I$88,3,0)*0.475*44/12</f>
        <v>1.9575351302841585E-5</v>
      </c>
      <c r="AX93" s="23">
        <f t="shared" si="60"/>
        <v>40.838674722957457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1.7053025658242404E-13</v>
      </c>
      <c r="BE93" s="14">
        <f>BD93*VLOOKUP('Données projet'!$B$11,Paramètres!$A$1:$I$88,3,0)*VLOOKUP('Données projet'!$B$11,Paramètres!$A$1:$I$88,5,0)</f>
        <v>1.0197709343628959E-13</v>
      </c>
      <c r="BF93" s="14">
        <f t="shared" si="91"/>
        <v>1.5284983994279675E-12</v>
      </c>
      <c r="BG93" s="22">
        <f t="shared" si="61"/>
        <v>2.839744816738581E-12</v>
      </c>
      <c r="BH93" s="62">
        <f t="shared" si="62"/>
        <v>293.33333333333616</v>
      </c>
      <c r="BI93" s="62">
        <f ca="1">AVERAGE(OFFSET($BH$3,0,0,'Données projet'!$E$11+1,1))-AVERAGE(OFFSET($H$3,0,0,'Données projet'!$E$11+1,1))</f>
        <v>258.1884172762135</v>
      </c>
      <c r="BJ93" s="62">
        <f t="shared" si="92"/>
        <v>356.36714671797864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60.718318622609239</v>
      </c>
      <c r="BQ93" s="23">
        <f>EXP(-LN(2)/25)*BQ92+(1-EXP(-LN(2)/25))/(LN(2)/25)*Calculateur!BL93*Calculateur!BN93*VLOOKUP('Données projet'!$B$11,Paramètres!$A$1:$I$88,3,0)*0.475*44/12</f>
        <v>14.193118661811116</v>
      </c>
      <c r="BR93" s="23">
        <f>EXP(-LN(2)/2)*BR92+(1-EXP(-LN(2)/2))/(LN(2)/2)*BL93*BO93*VLOOKUP('Données projet'!$B$11,Paramètres!$A$1:$I$88,3,0)*0.475*44/12</f>
        <v>2.4975632068167774E-5</v>
      </c>
      <c r="BS93" s="24">
        <f t="shared" si="63"/>
        <v>74.911462260052431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projet'!$B$12,Paramètres!$A$1:$I$88,3,0)*VLOOKUP('Données projet'!$B$12,Paramètres!$A$1:$I$88,5,0)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201.94015973767443</v>
      </c>
      <c r="CE93" s="62">
        <f t="shared" si="94"/>
        <v>287.12228849146032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45.217792561963662</v>
      </c>
      <c r="CL93" s="23">
        <f>EXP(-LN(2)/25)*CL92+(1-EXP(-LN(2)/25))/(LN(2)/25)*Calculateur!CG93*Calculateur!CI93*VLOOKUP('Données projet'!$B$12,Paramètres!$A$1:$I$88,3,0)*0.475*44/12</f>
        <v>9.8933947790052805</v>
      </c>
      <c r="CM93" s="23">
        <f>EXP(-LN(2)/2)*CM92+(1-EXP(-LN(2)/2))/(LN(2)/2)*CG93*CJ93*VLOOKUP('Données projet'!$B$12,Paramètres!$A$1:$I$88,3,0)*0.475*44/12</f>
        <v>1.8669804364166657E-5</v>
      </c>
      <c r="CN93" s="24">
        <f t="shared" si="66"/>
        <v>55.111206010773302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projet'!$B$9,Paramètres!$A$1:$I$88,3,0)*VLOOKUP('Données projet'!$B$9,Paramètres!$A$1:$I$88,5,0)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201.94015973767443</v>
      </c>
      <c r="T94" s="62">
        <f t="shared" si="88"/>
        <v>287.12228849146032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44.331099229953708</v>
      </c>
      <c r="AA94" s="23">
        <f>EXP(-LN(2)/25)*AA93+(1-EXP(-LN(2)/25))/(LN(2)/25)*Calculateur!V94*Calculateur!X94*VLOOKUP('Données projet'!$B$9,Paramètres!$A$1:$I$88,3,0)*0.475*44/12</f>
        <v>9.6228593785023619</v>
      </c>
      <c r="AB94" s="23">
        <f>EXP(-LN(2)/2)*AB93+(1-EXP(-LN(2)/2))/(LN(2)/2)*V94*Y94*VLOOKUP('Données projet'!$B$9,Paramètres!$A$1:$I$88,3,0)*0.475*44/12</f>
        <v>1.3201545269328442E-5</v>
      </c>
      <c r="AC94" s="24">
        <f t="shared" si="57"/>
        <v>53.953971810001342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projet'!$B$10,Paramètres!$A$1:$I$88,3,0)*VLOOKUP('Données projet'!$B$10,Paramètres!$A$1:$I$88,5,0)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135.19533066605396</v>
      </c>
      <c r="AO94" s="62">
        <f t="shared" si="90"/>
        <v>213.60182977243113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31.769889985634848</v>
      </c>
      <c r="AV94" s="23">
        <f>EXP(-LN(2)/25)*AV93+(1-EXP(-LN(2)/25))/(LN(2)/25)*Calculateur!AQ94*Calculateur!AS94*VLOOKUP('Données projet'!$B$10,Paramètres!$A$1:$I$88,3,0)*0.475*44/12</f>
        <v>8.2027067552952584</v>
      </c>
      <c r="AW94" s="23">
        <f>EXP(-LN(2)/2)*AW93+(1-EXP(-LN(2)/2))/(LN(2)/2)*AQ94*AT94*VLOOKUP('Données projet'!$B$10,Paramètres!$A$1:$I$88,3,0)*0.475*44/12</f>
        <v>1.3841863650348203E-5</v>
      </c>
      <c r="AX94" s="23">
        <f t="shared" si="60"/>
        <v>39.972610582793756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1.7053025658242404E-13</v>
      </c>
      <c r="BE94" s="14">
        <f>BD94*VLOOKUP('Données projet'!$B$11,Paramètres!$A$1:$I$88,3,0)*VLOOKUP('Données projet'!$B$11,Paramètres!$A$1:$I$88,5,0)</f>
        <v>1.0197709343628959E-13</v>
      </c>
      <c r="BF94" s="14">
        <f t="shared" si="91"/>
        <v>1.5284983994279675E-12</v>
      </c>
      <c r="BG94" s="22">
        <f t="shared" si="61"/>
        <v>2.839744816738581E-12</v>
      </c>
      <c r="BH94" s="62">
        <f t="shared" si="62"/>
        <v>293.33333333333616</v>
      </c>
      <c r="BI94" s="62">
        <f ca="1">AVERAGE(OFFSET($BH$3,0,0,'Données projet'!$E$11+1,1))-AVERAGE(OFFSET($H$3,0,0,'Données projet'!$E$11+1,1))</f>
        <v>258.1884172762135</v>
      </c>
      <c r="BJ94" s="62">
        <f t="shared" si="92"/>
        <v>356.36714671797864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59.527669428937379</v>
      </c>
      <c r="BQ94" s="23">
        <f>EXP(-LN(2)/25)*BQ93+(1-EXP(-LN(2)/25))/(LN(2)/25)*Calculateur!BL94*Calculateur!BN94*VLOOKUP('Données projet'!$B$11,Paramètres!$A$1:$I$88,3,0)*0.475*44/12</f>
        <v>13.80500708562022</v>
      </c>
      <c r="BR94" s="23">
        <f>EXP(-LN(2)/2)*BR93+(1-EXP(-LN(2)/2))/(LN(2)/2)*BL94*BO94*VLOOKUP('Données projet'!$B$11,Paramètres!$A$1:$I$88,3,0)*0.475*44/12</f>
        <v>1.766043879982163E-5</v>
      </c>
      <c r="BS94" s="24">
        <f t="shared" si="63"/>
        <v>73.332694174996405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projet'!$B$12,Paramètres!$A$1:$I$88,3,0)*VLOOKUP('Données projet'!$B$12,Paramètres!$A$1:$I$88,5,0)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201.94015973767443</v>
      </c>
      <c r="CE94" s="62">
        <f t="shared" si="94"/>
        <v>287.12228849146032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44.331099229953708</v>
      </c>
      <c r="CL94" s="23">
        <f>EXP(-LN(2)/25)*CL93+(1-EXP(-LN(2)/25))/(LN(2)/25)*Calculateur!CG94*Calculateur!CI94*VLOOKUP('Données projet'!$B$12,Paramètres!$A$1:$I$88,3,0)*0.475*44/12</f>
        <v>9.6228593785023619</v>
      </c>
      <c r="CM94" s="23">
        <f>EXP(-LN(2)/2)*CM93+(1-EXP(-LN(2)/2))/(LN(2)/2)*CG94*CJ94*VLOOKUP('Données projet'!$B$12,Paramètres!$A$1:$I$88,3,0)*0.475*44/12</f>
        <v>1.3201545269328442E-5</v>
      </c>
      <c r="CN94" s="24">
        <f t="shared" si="66"/>
        <v>53.953971810001342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projet'!$B$9,Paramètres!$A$1:$I$88,3,0)*VLOOKUP('Données projet'!$B$9,Paramètres!$A$1:$I$88,5,0)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201.94015973767443</v>
      </c>
      <c r="T95" s="62">
        <f t="shared" si="88"/>
        <v>287.12228849146032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43.46179341335494</v>
      </c>
      <c r="AA95" s="23">
        <f>EXP(-LN(2)/25)*AA94+(1-EXP(-LN(2)/25))/(LN(2)/25)*Calculateur!V95*Calculateur!X95*VLOOKUP('Données projet'!$B$9,Paramètres!$A$1:$I$88,3,0)*0.475*44/12</f>
        <v>9.3597217827530343</v>
      </c>
      <c r="AB95" s="23">
        <f>EXP(-LN(2)/2)*AB94+(1-EXP(-LN(2)/2))/(LN(2)/2)*V95*Y95*VLOOKUP('Données projet'!$B$9,Paramètres!$A$1:$I$88,3,0)*0.475*44/12</f>
        <v>9.3349021820833284E-6</v>
      </c>
      <c r="AC95" s="24">
        <f t="shared" si="57"/>
        <v>52.821524531010155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projet'!$B$10,Paramètres!$A$1:$I$88,3,0)*VLOOKUP('Données projet'!$B$10,Paramètres!$A$1:$I$88,5,0)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135.19533066605396</v>
      </c>
      <c r="AO95" s="62">
        <f t="shared" si="90"/>
        <v>213.60182977243113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31.146901820736048</v>
      </c>
      <c r="AV95" s="23">
        <f>EXP(-LN(2)/25)*AV94+(1-EXP(-LN(2)/25))/(LN(2)/25)*Calculateur!AQ95*Calculateur!AS95*VLOOKUP('Données projet'!$B$10,Paramètres!$A$1:$I$88,3,0)*0.475*44/12</f>
        <v>7.9784033077101091</v>
      </c>
      <c r="AW95" s="23">
        <f>EXP(-LN(2)/2)*AW94+(1-EXP(-LN(2)/2))/(LN(2)/2)*AQ95*AT95*VLOOKUP('Données projet'!$B$10,Paramètres!$A$1:$I$88,3,0)*0.475*44/12</f>
        <v>9.7876756514207926E-6</v>
      </c>
      <c r="AX95" s="23">
        <f t="shared" si="60"/>
        <v>39.125314916121809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1.7053025658242404E-13</v>
      </c>
      <c r="BE95" s="14">
        <f>BD95*VLOOKUP('Données projet'!$B$11,Paramètres!$A$1:$I$88,3,0)*VLOOKUP('Données projet'!$B$11,Paramètres!$A$1:$I$88,5,0)</f>
        <v>1.0197709343628959E-13</v>
      </c>
      <c r="BF95" s="14">
        <f t="shared" si="91"/>
        <v>1.5284983994279675E-12</v>
      </c>
      <c r="BG95" s="22">
        <f t="shared" si="61"/>
        <v>2.839744816738581E-12</v>
      </c>
      <c r="BH95" s="62">
        <f t="shared" si="62"/>
        <v>293.33333333333616</v>
      </c>
      <c r="BI95" s="62">
        <f ca="1">AVERAGE(OFFSET($BH$3,0,0,'Données projet'!$E$11+1,1))-AVERAGE(OFFSET($H$3,0,0,'Données projet'!$E$11+1,1))</f>
        <v>258.1884172762135</v>
      </c>
      <c r="BJ95" s="62">
        <f t="shared" si="92"/>
        <v>356.36714671797864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58.360368139729125</v>
      </c>
      <c r="BQ95" s="23">
        <f>EXP(-LN(2)/25)*BQ94+(1-EXP(-LN(2)/25))/(LN(2)/25)*Calculateur!BL95*Calculateur!BN95*VLOOKUP('Données projet'!$B$11,Paramètres!$A$1:$I$88,3,0)*0.475*44/12</f>
        <v>13.427508440890165</v>
      </c>
      <c r="BR95" s="23">
        <f>EXP(-LN(2)/2)*BR94+(1-EXP(-LN(2)/2))/(LN(2)/2)*BL95*BO95*VLOOKUP('Données projet'!$B$11,Paramètres!$A$1:$I$88,3,0)*0.475*44/12</f>
        <v>1.2487816034083887E-5</v>
      </c>
      <c r="BS95" s="24">
        <f t="shared" si="63"/>
        <v>71.787889068435334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projet'!$B$12,Paramètres!$A$1:$I$88,3,0)*VLOOKUP('Données projet'!$B$12,Paramètres!$A$1:$I$88,5,0)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201.94015973767443</v>
      </c>
      <c r="CE95" s="62">
        <f t="shared" si="94"/>
        <v>287.12228849146032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43.46179341335494</v>
      </c>
      <c r="CL95" s="23">
        <f>EXP(-LN(2)/25)*CL94+(1-EXP(-LN(2)/25))/(LN(2)/25)*Calculateur!CG95*Calculateur!CI95*VLOOKUP('Données projet'!$B$12,Paramètres!$A$1:$I$88,3,0)*0.475*44/12</f>
        <v>9.3597217827530343</v>
      </c>
      <c r="CM95" s="23">
        <f>EXP(-LN(2)/2)*CM94+(1-EXP(-LN(2)/2))/(LN(2)/2)*CG95*CJ95*VLOOKUP('Données projet'!$B$12,Paramètres!$A$1:$I$88,3,0)*0.475*44/12</f>
        <v>9.3349021820833284E-6</v>
      </c>
      <c r="CN95" s="24">
        <f t="shared" si="66"/>
        <v>52.821524531010155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projet'!$B$9,Paramètres!$A$1:$I$88,3,0)*VLOOKUP('Données projet'!$B$9,Paramètres!$A$1:$I$88,5,0)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201.94015973767443</v>
      </c>
      <c r="T96" s="62">
        <f t="shared" si="88"/>
        <v>287.12228849146032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42.609534153595476</v>
      </c>
      <c r="AA96" s="23">
        <f>EXP(-LN(2)/25)*AA95+(1-EXP(-LN(2)/25))/(LN(2)/25)*Calculateur!V96*Calculateur!X96*VLOOKUP('Données projet'!$B$9,Paramètres!$A$1:$I$88,3,0)*0.475*44/12</f>
        <v>9.1037796983972754</v>
      </c>
      <c r="AB96" s="23">
        <f>EXP(-LN(2)/2)*AB95+(1-EXP(-LN(2)/2))/(LN(2)/2)*V96*Y96*VLOOKUP('Données projet'!$B$9,Paramètres!$A$1:$I$88,3,0)*0.475*44/12</f>
        <v>6.6007726346642212E-6</v>
      </c>
      <c r="AC96" s="24">
        <f t="shared" si="57"/>
        <v>51.713320452765387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projet'!$B$10,Paramètres!$A$1:$I$88,3,0)*VLOOKUP('Données projet'!$B$10,Paramètres!$A$1:$I$88,5,0)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135.19533066605396</v>
      </c>
      <c r="AO96" s="62">
        <f t="shared" si="90"/>
        <v>213.60182977243113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30.536130073765655</v>
      </c>
      <c r="AV96" s="23">
        <f>EXP(-LN(2)/25)*AV95+(1-EXP(-LN(2)/25))/(LN(2)/25)*Calculateur!AQ96*Calculateur!AS96*VLOOKUP('Données projet'!$B$10,Paramètres!$A$1:$I$88,3,0)*0.475*44/12</f>
        <v>7.7602334496947813</v>
      </c>
      <c r="AW96" s="23">
        <f>EXP(-LN(2)/2)*AW95+(1-EXP(-LN(2)/2))/(LN(2)/2)*AQ96*AT96*VLOOKUP('Données projet'!$B$10,Paramètres!$A$1:$I$88,3,0)*0.475*44/12</f>
        <v>6.9209318251741015E-6</v>
      </c>
      <c r="AX96" s="23">
        <f t="shared" si="60"/>
        <v>38.296370444392259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1.7053025658242404E-13</v>
      </c>
      <c r="BE96" s="14">
        <f>BD96*VLOOKUP('Données projet'!$B$11,Paramètres!$A$1:$I$88,3,0)*VLOOKUP('Données projet'!$B$11,Paramètres!$A$1:$I$88,5,0)</f>
        <v>1.0197709343628959E-13</v>
      </c>
      <c r="BF96" s="14">
        <f t="shared" si="91"/>
        <v>1.5284983994279675E-12</v>
      </c>
      <c r="BG96" s="22">
        <f t="shared" si="61"/>
        <v>2.839744816738581E-12</v>
      </c>
      <c r="BH96" s="62">
        <f t="shared" si="62"/>
        <v>293.33333333333616</v>
      </c>
      <c r="BI96" s="62">
        <f ca="1">AVERAGE(OFFSET($BH$3,0,0,'Données projet'!$E$11+1,1))-AVERAGE(OFFSET($H$3,0,0,'Données projet'!$E$11+1,1))</f>
        <v>258.1884172762135</v>
      </c>
      <c r="BJ96" s="62">
        <f t="shared" si="92"/>
        <v>356.36714671797864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57.215956916818762</v>
      </c>
      <c r="BQ96" s="23">
        <f>EXP(-LN(2)/25)*BQ95+(1-EXP(-LN(2)/25))/(LN(2)/25)*Calculateur!BL96*Calculateur!BN96*VLOOKUP('Données projet'!$B$11,Paramètres!$A$1:$I$88,3,0)*0.475*44/12</f>
        <v>13.060332516452043</v>
      </c>
      <c r="BR96" s="23">
        <f>EXP(-LN(2)/2)*BR95+(1-EXP(-LN(2)/2))/(LN(2)/2)*BL96*BO96*VLOOKUP('Données projet'!$B$11,Paramètres!$A$1:$I$88,3,0)*0.475*44/12</f>
        <v>8.8302193999108149E-6</v>
      </c>
      <c r="BS96" s="24">
        <f t="shared" si="63"/>
        <v>70.276298263490204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projet'!$B$12,Paramètres!$A$1:$I$88,3,0)*VLOOKUP('Données projet'!$B$12,Paramètres!$A$1:$I$88,5,0)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201.94015973767443</v>
      </c>
      <c r="CE96" s="62">
        <f t="shared" si="94"/>
        <v>287.12228849146032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42.609534153595476</v>
      </c>
      <c r="CL96" s="23">
        <f>EXP(-LN(2)/25)*CL95+(1-EXP(-LN(2)/25))/(LN(2)/25)*Calculateur!CG96*Calculateur!CI96*VLOOKUP('Données projet'!$B$12,Paramètres!$A$1:$I$88,3,0)*0.475*44/12</f>
        <v>9.1037796983972754</v>
      </c>
      <c r="CM96" s="23">
        <f>EXP(-LN(2)/2)*CM95+(1-EXP(-LN(2)/2))/(LN(2)/2)*CG96*CJ96*VLOOKUP('Données projet'!$B$12,Paramètres!$A$1:$I$88,3,0)*0.475*44/12</f>
        <v>6.6007726346642212E-6</v>
      </c>
      <c r="CN96" s="24">
        <f t="shared" si="66"/>
        <v>51.713320452765387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projet'!$B$9,Paramètres!$A$1:$I$88,3,0)*VLOOKUP('Données projet'!$B$9,Paramètres!$A$1:$I$88,5,0)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201.94015973767443</v>
      </c>
      <c r="T97" s="62">
        <f t="shared" si="88"/>
        <v>287.12228849146032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41.77398717809308</v>
      </c>
      <c r="AA97" s="23">
        <f>EXP(-LN(2)/25)*AA96+(1-EXP(-LN(2)/25))/(LN(2)/25)*Calculateur!V97*Calculateur!X97*VLOOKUP('Données projet'!$B$9,Paramètres!$A$1:$I$88,3,0)*0.475*44/12</f>
        <v>8.8548363637976344</v>
      </c>
      <c r="AB97" s="23">
        <f>EXP(-LN(2)/2)*AB96+(1-EXP(-LN(2)/2))/(LN(2)/2)*V97*Y97*VLOOKUP('Données projet'!$B$9,Paramètres!$A$1:$I$88,3,0)*0.475*44/12</f>
        <v>4.6674510910416642E-6</v>
      </c>
      <c r="AC97" s="24">
        <f t="shared" si="57"/>
        <v>50.628828209341805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projet'!$B$10,Paramètres!$A$1:$I$88,3,0)*VLOOKUP('Données projet'!$B$10,Paramètres!$A$1:$I$88,5,0)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135.19533066605396</v>
      </c>
      <c r="AO97" s="62">
        <f t="shared" si="90"/>
        <v>213.60182977243113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29.937335188219368</v>
      </c>
      <c r="AV97" s="23">
        <f>EXP(-LN(2)/25)*AV96+(1-EXP(-LN(2)/25))/(LN(2)/25)*Calculateur!AQ97*Calculateur!AS97*VLOOKUP('Données projet'!$B$10,Paramètres!$A$1:$I$88,3,0)*0.475*44/12</f>
        <v>7.5480294579199363</v>
      </c>
      <c r="AW97" s="23">
        <f>EXP(-LN(2)/2)*AW96+(1-EXP(-LN(2)/2))/(LN(2)/2)*AQ97*AT97*VLOOKUP('Données projet'!$B$10,Paramètres!$A$1:$I$88,3,0)*0.475*44/12</f>
        <v>4.8938378257103963E-6</v>
      </c>
      <c r="AX97" s="23">
        <f t="shared" si="60"/>
        <v>37.485369539977128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1.7053025658242404E-13</v>
      </c>
      <c r="BE97" s="14">
        <f>BD97*VLOOKUP('Données projet'!$B$11,Paramètres!$A$1:$I$88,3,0)*VLOOKUP('Données projet'!$B$11,Paramètres!$A$1:$I$88,5,0)</f>
        <v>1.0197709343628959E-13</v>
      </c>
      <c r="BF97" s="14">
        <f t="shared" si="91"/>
        <v>1.5284983994279675E-12</v>
      </c>
      <c r="BG97" s="22">
        <f t="shared" si="61"/>
        <v>2.839744816738581E-12</v>
      </c>
      <c r="BH97" s="62">
        <f t="shared" si="62"/>
        <v>293.33333333333616</v>
      </c>
      <c r="BI97" s="62">
        <f ca="1">AVERAGE(OFFSET($BH$3,0,0,'Données projet'!$E$11+1,1))-AVERAGE(OFFSET($H$3,0,0,'Données projet'!$E$11+1,1))</f>
        <v>258.1884172762135</v>
      </c>
      <c r="BJ97" s="62">
        <f t="shared" si="92"/>
        <v>356.36714671797864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56.093986899967746</v>
      </c>
      <c r="BQ97" s="23">
        <f>EXP(-LN(2)/25)*BQ96+(1-EXP(-LN(2)/25))/(LN(2)/25)*Calculateur!BL97*Calculateur!BN97*VLOOKUP('Données projet'!$B$11,Paramètres!$A$1:$I$88,3,0)*0.475*44/12</f>
        <v>12.703197036976624</v>
      </c>
      <c r="BR97" s="23">
        <f>EXP(-LN(2)/2)*BR96+(1-EXP(-LN(2)/2))/(LN(2)/2)*BL97*BO97*VLOOKUP('Données projet'!$B$11,Paramètres!$A$1:$I$88,3,0)*0.475*44/12</f>
        <v>6.2439080170419436E-6</v>
      </c>
      <c r="BS97" s="24">
        <f t="shared" si="63"/>
        <v>68.797190180852382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projet'!$B$12,Paramètres!$A$1:$I$88,3,0)*VLOOKUP('Données projet'!$B$12,Paramètres!$A$1:$I$88,5,0)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201.94015973767443</v>
      </c>
      <c r="CE97" s="62">
        <f t="shared" si="94"/>
        <v>287.12228849146032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41.77398717809308</v>
      </c>
      <c r="CL97" s="23">
        <f>EXP(-LN(2)/25)*CL96+(1-EXP(-LN(2)/25))/(LN(2)/25)*Calculateur!CG97*Calculateur!CI97*VLOOKUP('Données projet'!$B$12,Paramètres!$A$1:$I$88,3,0)*0.475*44/12</f>
        <v>8.8548363637976344</v>
      </c>
      <c r="CM97" s="23">
        <f>EXP(-LN(2)/2)*CM96+(1-EXP(-LN(2)/2))/(LN(2)/2)*CG97*CJ97*VLOOKUP('Données projet'!$B$12,Paramètres!$A$1:$I$88,3,0)*0.475*44/12</f>
        <v>4.6674510910416642E-6</v>
      </c>
      <c r="CN97" s="24">
        <f t="shared" si="66"/>
        <v>50.628828209341805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projet'!$B$9,Paramètres!$A$1:$I$88,3,0)*VLOOKUP('Données projet'!$B$9,Paramètres!$A$1:$I$88,5,0)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201.94015973767443</v>
      </c>
      <c r="T98" s="62">
        <f t="shared" si="88"/>
        <v>287.12228849146032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40.954824769146953</v>
      </c>
      <c r="AA98" s="23">
        <f>EXP(-LN(2)/25)*AA97+(1-EXP(-LN(2)/25))/(LN(2)/25)*Calculateur!V98*Calculateur!X98*VLOOKUP('Données projet'!$B$9,Paramètres!$A$1:$I$88,3,0)*0.475*44/12</f>
        <v>8.6127003977739811</v>
      </c>
      <c r="AB98" s="23">
        <f>EXP(-LN(2)/2)*AB97+(1-EXP(-LN(2)/2))/(LN(2)/2)*V98*Y98*VLOOKUP('Données projet'!$B$9,Paramètres!$A$1:$I$88,3,0)*0.475*44/12</f>
        <v>3.3003863173321106E-6</v>
      </c>
      <c r="AC98" s="24">
        <f t="shared" si="57"/>
        <v>49.567528467307248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projet'!$B$10,Paramètres!$A$1:$I$88,3,0)*VLOOKUP('Données projet'!$B$10,Paramètres!$A$1:$I$88,5,0)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135.19533066605396</v>
      </c>
      <c r="AO98" s="62">
        <f t="shared" si="90"/>
        <v>213.60182977243113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29.350282305149829</v>
      </c>
      <c r="AV98" s="23">
        <f>EXP(-LN(2)/25)*AV97+(1-EXP(-LN(2)/25))/(LN(2)/25)*Calculateur!AQ98*Calculateur!AS98*VLOOKUP('Données projet'!$B$10,Paramètres!$A$1:$I$88,3,0)*0.475*44/12</f>
        <v>7.3416281954594975</v>
      </c>
      <c r="AW98" s="23">
        <f>EXP(-LN(2)/2)*AW97+(1-EXP(-LN(2)/2))/(LN(2)/2)*AQ98*AT98*VLOOKUP('Données projet'!$B$10,Paramètres!$A$1:$I$88,3,0)*0.475*44/12</f>
        <v>3.4604659125870508E-6</v>
      </c>
      <c r="AX98" s="23">
        <f t="shared" si="60"/>
        <v>36.691913961075237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1.7053025658242404E-13</v>
      </c>
      <c r="BE98" s="14">
        <f>BD98*VLOOKUP('Données projet'!$B$11,Paramètres!$A$1:$I$88,3,0)*VLOOKUP('Données projet'!$B$11,Paramètres!$A$1:$I$88,5,0)</f>
        <v>1.0197709343628959E-13</v>
      </c>
      <c r="BF98" s="14">
        <f t="shared" si="91"/>
        <v>1.5284983994279675E-12</v>
      </c>
      <c r="BG98" s="22">
        <f t="shared" si="61"/>
        <v>2.839744816738581E-12</v>
      </c>
      <c r="BH98" s="62">
        <f t="shared" si="62"/>
        <v>293.33333333333616</v>
      </c>
      <c r="BI98" s="62">
        <f ca="1">AVERAGE(OFFSET($BH$3,0,0,'Données projet'!$E$11+1,1))-AVERAGE(OFFSET($H$3,0,0,'Données projet'!$E$11+1,1))</f>
        <v>258.1884172762135</v>
      </c>
      <c r="BJ98" s="62">
        <f t="shared" si="92"/>
        <v>356.36714671797864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54.994018030813038</v>
      </c>
      <c r="BQ98" s="23">
        <f>EXP(-LN(2)/25)*BQ97+(1-EXP(-LN(2)/25))/(LN(2)/25)*Calculateur!BL98*Calculateur!BN98*VLOOKUP('Données projet'!$B$11,Paramètres!$A$1:$I$88,3,0)*0.475*44/12</f>
        <v>12.3558274459684</v>
      </c>
      <c r="BR98" s="23">
        <f>EXP(-LN(2)/2)*BR97+(1-EXP(-LN(2)/2))/(LN(2)/2)*BL98*BO98*VLOOKUP('Données projet'!$B$11,Paramètres!$A$1:$I$88,3,0)*0.475*44/12</f>
        <v>4.4151096999554074E-6</v>
      </c>
      <c r="BS98" s="24">
        <f t="shared" si="63"/>
        <v>67.349849891891139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projet'!$B$12,Paramètres!$A$1:$I$88,3,0)*VLOOKUP('Données projet'!$B$12,Paramètres!$A$1:$I$88,5,0)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201.94015973767443</v>
      </c>
      <c r="CE98" s="62">
        <f t="shared" si="94"/>
        <v>287.12228849146032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40.954824769146953</v>
      </c>
      <c r="CL98" s="23">
        <f>EXP(-LN(2)/25)*CL97+(1-EXP(-LN(2)/25))/(LN(2)/25)*Calculateur!CG98*Calculateur!CI98*VLOOKUP('Données projet'!$B$12,Paramètres!$A$1:$I$88,3,0)*0.475*44/12</f>
        <v>8.6127003977739811</v>
      </c>
      <c r="CM98" s="23">
        <f>EXP(-LN(2)/2)*CM97+(1-EXP(-LN(2)/2))/(LN(2)/2)*CG98*CJ98*VLOOKUP('Données projet'!$B$12,Paramètres!$A$1:$I$88,3,0)*0.475*44/12</f>
        <v>3.3003863173321106E-6</v>
      </c>
      <c r="CN98" s="24">
        <f t="shared" si="66"/>
        <v>49.567528467307248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projet'!$B$9,Paramètres!$A$1:$I$88,3,0)*VLOOKUP('Données projet'!$B$9,Paramètres!$A$1:$I$88,5,0)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201.94015973767443</v>
      </c>
      <c r="T99" s="62">
        <f t="shared" si="88"/>
        <v>287.12228849146032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40.151725635400524</v>
      </c>
      <c r="AA99" s="23">
        <f>EXP(-LN(2)/25)*AA98+(1-EXP(-LN(2)/25))/(LN(2)/25)*Calculateur!V99*Calculateur!X99*VLOOKUP('Données projet'!$B$9,Paramètres!$A$1:$I$88,3,0)*0.475*44/12</f>
        <v>8.3771856524746227</v>
      </c>
      <c r="AB99" s="23">
        <f>EXP(-LN(2)/2)*AB98+(1-EXP(-LN(2)/2))/(LN(2)/2)*V99*Y99*VLOOKUP('Données projet'!$B$9,Paramètres!$A$1:$I$88,3,0)*0.475*44/12</f>
        <v>2.3337255455208321E-6</v>
      </c>
      <c r="AC99" s="24">
        <f t="shared" si="57"/>
        <v>48.528913621600694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projet'!$B$10,Paramètres!$A$1:$I$88,3,0)*VLOOKUP('Données projet'!$B$10,Paramètres!$A$1:$I$88,5,0)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135.19533066605396</v>
      </c>
      <c r="AO99" s="62">
        <f t="shared" si="90"/>
        <v>213.60182977243113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28.77474117105038</v>
      </c>
      <c r="AV99" s="23">
        <f>EXP(-LN(2)/25)*AV98+(1-EXP(-LN(2)/25))/(LN(2)/25)*Calculateur!AQ99*Calculateur!AS99*VLOOKUP('Données projet'!$B$10,Paramètres!$A$1:$I$88,3,0)*0.475*44/12</f>
        <v>7.1408709863752104</v>
      </c>
      <c r="AW99" s="23">
        <f>EXP(-LN(2)/2)*AW98+(1-EXP(-LN(2)/2))/(LN(2)/2)*AQ99*AT99*VLOOKUP('Données projet'!$B$10,Paramètres!$A$1:$I$88,3,0)*0.475*44/12</f>
        <v>2.4469189128551982E-6</v>
      </c>
      <c r="AX99" s="23">
        <f t="shared" si="60"/>
        <v>35.915614604344505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1.7053025658242404E-13</v>
      </c>
      <c r="BE99" s="14">
        <f>BD99*VLOOKUP('Données projet'!$B$11,Paramètres!$A$1:$I$88,3,0)*VLOOKUP('Données projet'!$B$11,Paramètres!$A$1:$I$88,5,0)</f>
        <v>1.0197709343628959E-13</v>
      </c>
      <c r="BF99" s="14">
        <f t="shared" si="91"/>
        <v>1.5284983994279675E-12</v>
      </c>
      <c r="BG99" s="22">
        <f t="shared" si="61"/>
        <v>2.839744816738581E-12</v>
      </c>
      <c r="BH99" s="62">
        <f t="shared" si="62"/>
        <v>293.33333333333616</v>
      </c>
      <c r="BI99" s="62">
        <f ca="1">AVERAGE(OFFSET($BH$3,0,0,'Données projet'!$E$11+1,1))-AVERAGE(OFFSET($H$3,0,0,'Données projet'!$E$11+1,1))</f>
        <v>258.1884172762135</v>
      </c>
      <c r="BJ99" s="62">
        <f t="shared" si="92"/>
        <v>356.36714671797864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53.915618880267694</v>
      </c>
      <c r="BQ99" s="23">
        <f>EXP(-LN(2)/25)*BQ98+(1-EXP(-LN(2)/25))/(LN(2)/25)*Calculateur!BL99*Calculateur!BN99*VLOOKUP('Données projet'!$B$11,Paramètres!$A$1:$I$88,3,0)*0.475*44/12</f>
        <v>12.017956694693668</v>
      </c>
      <c r="BR99" s="23">
        <f>EXP(-LN(2)/2)*BR98+(1-EXP(-LN(2)/2))/(LN(2)/2)*BL99*BO99*VLOOKUP('Données projet'!$B$11,Paramètres!$A$1:$I$88,3,0)*0.475*44/12</f>
        <v>3.1219540085209718E-6</v>
      </c>
      <c r="BS99" s="24">
        <f t="shared" si="63"/>
        <v>65.933578696915376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projet'!$B$12,Paramètres!$A$1:$I$88,3,0)*VLOOKUP('Données projet'!$B$12,Paramètres!$A$1:$I$88,5,0)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201.94015973767443</v>
      </c>
      <c r="CE99" s="62">
        <f t="shared" si="94"/>
        <v>287.12228849146032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40.151725635400524</v>
      </c>
      <c r="CL99" s="23">
        <f>EXP(-LN(2)/25)*CL98+(1-EXP(-LN(2)/25))/(LN(2)/25)*Calculateur!CG99*Calculateur!CI99*VLOOKUP('Données projet'!$B$12,Paramètres!$A$1:$I$88,3,0)*0.475*44/12</f>
        <v>8.3771856524746227</v>
      </c>
      <c r="CM99" s="23">
        <f>EXP(-LN(2)/2)*CM98+(1-EXP(-LN(2)/2))/(LN(2)/2)*CG99*CJ99*VLOOKUP('Données projet'!$B$12,Paramètres!$A$1:$I$88,3,0)*0.475*44/12</f>
        <v>2.3337255455208321E-6</v>
      </c>
      <c r="CN99" s="24">
        <f t="shared" si="66"/>
        <v>48.528913621600694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projet'!$B$9,Paramètres!$A$1:$I$88,3,0)*VLOOKUP('Données projet'!$B$9,Paramètres!$A$1:$I$88,5,0)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201.94015973767443</v>
      </c>
      <c r="T100" s="62">
        <f t="shared" si="88"/>
        <v>287.12228849146032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39.364374785824758</v>
      </c>
      <c r="AA100" s="23">
        <f>EXP(-LN(2)/25)*AA99+(1-EXP(-LN(2)/25))/(LN(2)/25)*Calculateur!V100*Calculateur!X100*VLOOKUP('Données projet'!$B$9,Paramètres!$A$1:$I$88,3,0)*0.475*44/12</f>
        <v>8.148111070270657</v>
      </c>
      <c r="AB100" s="23">
        <f>EXP(-LN(2)/2)*AB99+(1-EXP(-LN(2)/2))/(LN(2)/2)*V100*Y100*VLOOKUP('Données projet'!$B$9,Paramètres!$A$1:$I$88,3,0)*0.475*44/12</f>
        <v>1.6501931586660553E-6</v>
      </c>
      <c r="AC100" s="24">
        <f t="shared" si="57"/>
        <v>47.512487506288572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projet'!$B$10,Paramètres!$A$1:$I$88,3,0)*VLOOKUP('Données projet'!$B$10,Paramètres!$A$1:$I$88,5,0)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135.19533066605396</v>
      </c>
      <c r="AO100" s="62">
        <f t="shared" si="90"/>
        <v>213.60182977243113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28.210486047545192</v>
      </c>
      <c r="AV100" s="23">
        <f>EXP(-LN(2)/25)*AV99+(1-EXP(-LN(2)/25))/(LN(2)/25)*Calculateur!AQ100*Calculateur!AS100*VLOOKUP('Données projet'!$B$10,Paramètres!$A$1:$I$88,3,0)*0.475*44/12</f>
        <v>6.9456034937306956</v>
      </c>
      <c r="AW100" s="23">
        <f>EXP(-LN(2)/2)*AW99+(1-EXP(-LN(2)/2))/(LN(2)/2)*AQ100*AT100*VLOOKUP('Données projet'!$B$10,Paramètres!$A$1:$I$88,3,0)*0.475*44/12</f>
        <v>1.7302329562935254E-6</v>
      </c>
      <c r="AX100" s="23">
        <f t="shared" si="60"/>
        <v>35.156091271508849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1.7053025658242404E-13</v>
      </c>
      <c r="BE100" s="14">
        <f>BD100*VLOOKUP('Données projet'!$B$11,Paramètres!$A$1:$I$88,3,0)*VLOOKUP('Données projet'!$B$11,Paramètres!$A$1:$I$88,5,0)</f>
        <v>1.0197709343628959E-13</v>
      </c>
      <c r="BF100" s="14">
        <f t="shared" si="91"/>
        <v>1.5284983994279675E-12</v>
      </c>
      <c r="BG100" s="22">
        <f t="shared" si="61"/>
        <v>2.839744816738581E-12</v>
      </c>
      <c r="BH100" s="62">
        <f t="shared" si="62"/>
        <v>293.33333333333616</v>
      </c>
      <c r="BI100" s="62">
        <f ca="1">AVERAGE(OFFSET($BH$3,0,0,'Données projet'!$E$11+1,1))-AVERAGE(OFFSET($H$3,0,0,'Données projet'!$E$11+1,1))</f>
        <v>258.1884172762135</v>
      </c>
      <c r="BJ100" s="62">
        <f t="shared" si="92"/>
        <v>356.36714671797864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52.858366479306007</v>
      </c>
      <c r="BQ100" s="23">
        <f>EXP(-LN(2)/25)*BQ99+(1-EXP(-LN(2)/25))/(LN(2)/25)*Calculateur!BL100*Calculateur!BN100*VLOOKUP('Données projet'!$B$11,Paramètres!$A$1:$I$88,3,0)*0.475*44/12</f>
        <v>11.689325036880394</v>
      </c>
      <c r="BR100" s="23">
        <f>EXP(-LN(2)/2)*BR99+(1-EXP(-LN(2)/2))/(LN(2)/2)*BL100*BO100*VLOOKUP('Données projet'!$B$11,Paramètres!$A$1:$I$88,3,0)*0.475*44/12</f>
        <v>2.2075548499777037E-6</v>
      </c>
      <c r="BS100" s="24">
        <f t="shared" si="63"/>
        <v>64.547693723741247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projet'!$B$12,Paramètres!$A$1:$I$88,3,0)*VLOOKUP('Données projet'!$B$12,Paramètres!$A$1:$I$88,5,0)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201.94015973767443</v>
      </c>
      <c r="CE100" s="62">
        <f t="shared" si="94"/>
        <v>287.12228849146032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39.364374785824758</v>
      </c>
      <c r="CL100" s="23">
        <f>EXP(-LN(2)/25)*CL99+(1-EXP(-LN(2)/25))/(LN(2)/25)*Calculateur!CG100*Calculateur!CI100*VLOOKUP('Données projet'!$B$12,Paramètres!$A$1:$I$88,3,0)*0.475*44/12</f>
        <v>8.148111070270657</v>
      </c>
      <c r="CM100" s="23">
        <f>EXP(-LN(2)/2)*CM99+(1-EXP(-LN(2)/2))/(LN(2)/2)*CG100*CJ100*VLOOKUP('Données projet'!$B$12,Paramètres!$A$1:$I$88,3,0)*0.475*44/12</f>
        <v>1.6501931586660553E-6</v>
      </c>
      <c r="CN100" s="24">
        <f t="shared" si="66"/>
        <v>47.512487506288572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projet'!$B$9,Paramètres!$A$1:$I$88,3,0)*VLOOKUP('Données projet'!$B$9,Paramètres!$A$1:$I$88,5,0)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201.94015973767443</v>
      </c>
      <c r="T101" s="62">
        <f t="shared" si="88"/>
        <v>287.12228849146032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38.59246340617257</v>
      </c>
      <c r="AA101" s="23">
        <f>EXP(-LN(2)/25)*AA100+(1-EXP(-LN(2)/25))/(LN(2)/25)*Calculateur!V101*Calculateur!X101*VLOOKUP('Données projet'!$B$9,Paramètres!$A$1:$I$88,3,0)*0.475*44/12</f>
        <v>7.9253005445635676</v>
      </c>
      <c r="AB101" s="23">
        <f>EXP(-LN(2)/2)*AB100+(1-EXP(-LN(2)/2))/(LN(2)/2)*V101*Y101*VLOOKUP('Données projet'!$B$9,Paramètres!$A$1:$I$88,3,0)*0.475*44/12</f>
        <v>1.1668627727604161E-6</v>
      </c>
      <c r="AC101" s="24">
        <f t="shared" si="57"/>
        <v>46.517765117598913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projet'!$B$10,Paramètres!$A$1:$I$88,3,0)*VLOOKUP('Données projet'!$B$10,Paramètres!$A$1:$I$88,5,0)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135.19533066605396</v>
      </c>
      <c r="AO101" s="62">
        <f t="shared" si="90"/>
        <v>213.60182977243113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27.657295622850299</v>
      </c>
      <c r="AV101" s="23">
        <f>EXP(-LN(2)/25)*AV100+(1-EXP(-LN(2)/25))/(LN(2)/25)*Calculateur!AQ101*Calculateur!AS101*VLOOKUP('Données projet'!$B$10,Paramètres!$A$1:$I$88,3,0)*0.475*44/12</f>
        <v>6.755675600941216</v>
      </c>
      <c r="AW101" s="23">
        <f>EXP(-LN(2)/2)*AW100+(1-EXP(-LN(2)/2))/(LN(2)/2)*AQ101*AT101*VLOOKUP('Données projet'!$B$10,Paramètres!$A$1:$I$88,3,0)*0.475*44/12</f>
        <v>1.2234594564275991E-6</v>
      </c>
      <c r="AX101" s="23">
        <f t="shared" si="60"/>
        <v>34.412972447250972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1.7053025658242404E-13</v>
      </c>
      <c r="BE101" s="14">
        <f>BD101*VLOOKUP('Données projet'!$B$11,Paramètres!$A$1:$I$88,3,0)*VLOOKUP('Données projet'!$B$11,Paramètres!$A$1:$I$88,5,0)</f>
        <v>1.0197709343628959E-13</v>
      </c>
      <c r="BF101" s="14">
        <f t="shared" si="91"/>
        <v>1.5284983994279675E-12</v>
      </c>
      <c r="BG101" s="22">
        <f t="shared" si="61"/>
        <v>2.839744816738581E-12</v>
      </c>
      <c r="BH101" s="62">
        <f t="shared" si="62"/>
        <v>293.33333333333616</v>
      </c>
      <c r="BI101" s="62">
        <f ca="1">AVERAGE(OFFSET($BH$3,0,0,'Données projet'!$E$11+1,1))-AVERAGE(OFFSET($H$3,0,0,'Données projet'!$E$11+1,1))</f>
        <v>258.1884172762135</v>
      </c>
      <c r="BJ101" s="62">
        <f t="shared" si="92"/>
        <v>356.36714671797864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51.821846153066893</v>
      </c>
      <c r="BQ101" s="23">
        <f>EXP(-LN(2)/25)*BQ100+(1-EXP(-LN(2)/25))/(LN(2)/25)*Calculateur!BL101*Calculateur!BN101*VLOOKUP('Données projet'!$B$11,Paramètres!$A$1:$I$88,3,0)*0.475*44/12</f>
        <v>11.369679829032012</v>
      </c>
      <c r="BR101" s="23">
        <f>EXP(-LN(2)/2)*BR100+(1-EXP(-LN(2)/2))/(LN(2)/2)*BL101*BO101*VLOOKUP('Données projet'!$B$11,Paramètres!$A$1:$I$88,3,0)*0.475*44/12</f>
        <v>1.5609770042604859E-6</v>
      </c>
      <c r="BS101" s="24">
        <f t="shared" si="63"/>
        <v>63.191527543075914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projet'!$B$12,Paramètres!$A$1:$I$88,3,0)*VLOOKUP('Données projet'!$B$12,Paramètres!$A$1:$I$88,5,0)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201.94015973767443</v>
      </c>
      <c r="CE101" s="62">
        <f t="shared" si="94"/>
        <v>287.12228849146032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38.59246340617257</v>
      </c>
      <c r="CL101" s="23">
        <f>EXP(-LN(2)/25)*CL100+(1-EXP(-LN(2)/25))/(LN(2)/25)*Calculateur!CG101*Calculateur!CI101*VLOOKUP('Données projet'!$B$12,Paramètres!$A$1:$I$88,3,0)*0.475*44/12</f>
        <v>7.9253005445635676</v>
      </c>
      <c r="CM101" s="23">
        <f>EXP(-LN(2)/2)*CM100+(1-EXP(-LN(2)/2))/(LN(2)/2)*CG101*CJ101*VLOOKUP('Données projet'!$B$12,Paramètres!$A$1:$I$88,3,0)*0.475*44/12</f>
        <v>1.1668627727604161E-6</v>
      </c>
      <c r="CN101" s="24">
        <f t="shared" si="66"/>
        <v>46.517765117598913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projet'!$B$9,Paramètres!$A$1:$I$88,3,0)*VLOOKUP('Données projet'!$B$9,Paramètres!$A$1:$I$88,5,0)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201.94015973767443</v>
      </c>
      <c r="T102" s="62">
        <f t="shared" si="88"/>
        <v>287.12228849146032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37.835688737855911</v>
      </c>
      <c r="AA102" s="23">
        <f>EXP(-LN(2)/25)*AA101+(1-EXP(-LN(2)/25))/(LN(2)/25)*Calculateur!V102*Calculateur!X102*VLOOKUP('Données projet'!$B$9,Paramètres!$A$1:$I$88,3,0)*0.475*44/12</f>
        <v>7.7085827843990344</v>
      </c>
      <c r="AB102" s="23">
        <f>EXP(-LN(2)/2)*AB101+(1-EXP(-LN(2)/2))/(LN(2)/2)*V102*Y102*VLOOKUP('Données projet'!$B$9,Paramètres!$A$1:$I$88,3,0)*0.475*44/12</f>
        <v>8.2509657933302765E-7</v>
      </c>
      <c r="AC102" s="24">
        <f t="shared" si="57"/>
        <v>45.544272347351523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projet'!$B$10,Paramètres!$A$1:$I$88,3,0)*VLOOKUP('Données projet'!$B$10,Paramètres!$A$1:$I$88,5,0)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135.19533066605396</v>
      </c>
      <c r="AO102" s="62">
        <f t="shared" si="90"/>
        <v>213.60182977243113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27.114952924970829</v>
      </c>
      <c r="AV102" s="23">
        <f>EXP(-LN(2)/25)*AV101+(1-EXP(-LN(2)/25))/(LN(2)/25)*Calculateur!AQ102*Calculateur!AS102*VLOOKUP('Données projet'!$B$10,Paramètres!$A$1:$I$88,3,0)*0.475*44/12</f>
        <v>6.5709412963679386</v>
      </c>
      <c r="AW102" s="23">
        <f>EXP(-LN(2)/2)*AW101+(1-EXP(-LN(2)/2))/(LN(2)/2)*AQ102*AT102*VLOOKUP('Données projet'!$B$10,Paramètres!$A$1:$I$88,3,0)*0.475*44/12</f>
        <v>8.6511647814676269E-7</v>
      </c>
      <c r="AX102" s="23">
        <f t="shared" si="60"/>
        <v>33.685895086455247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1.7053025658242404E-13</v>
      </c>
      <c r="BE102" s="14">
        <f>BD102*VLOOKUP('Données projet'!$B$11,Paramètres!$A$1:$I$88,3,0)*VLOOKUP('Données projet'!$B$11,Paramètres!$A$1:$I$88,5,0)</f>
        <v>1.0197709343628959E-13</v>
      </c>
      <c r="BF102" s="14">
        <f t="shared" si="91"/>
        <v>1.5284983994279675E-12</v>
      </c>
      <c r="BG102" s="22">
        <f t="shared" si="61"/>
        <v>2.839744816738581E-12</v>
      </c>
      <c r="BH102" s="62">
        <f t="shared" si="62"/>
        <v>293.33333333333616</v>
      </c>
      <c r="BI102" s="62">
        <f ca="1">AVERAGE(OFFSET($BH$3,0,0,'Données projet'!$E$11+1,1))-AVERAGE(OFFSET($H$3,0,0,'Données projet'!$E$11+1,1))</f>
        <v>258.1884172762135</v>
      </c>
      <c r="BJ102" s="62">
        <f t="shared" si="92"/>
        <v>356.36714671797864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50.805651358210355</v>
      </c>
      <c r="BQ102" s="23">
        <f>EXP(-LN(2)/25)*BQ101+(1-EXP(-LN(2)/25))/(LN(2)/25)*Calculateur!BL102*Calculateur!BN102*VLOOKUP('Données projet'!$B$11,Paramètres!$A$1:$I$88,3,0)*0.475*44/12</f>
        <v>11.058775336201656</v>
      </c>
      <c r="BR102" s="23">
        <f>EXP(-LN(2)/2)*BR101+(1-EXP(-LN(2)/2))/(LN(2)/2)*BL102*BO102*VLOOKUP('Données projet'!$B$11,Paramètres!$A$1:$I$88,3,0)*0.475*44/12</f>
        <v>1.1037774249888519E-6</v>
      </c>
      <c r="BS102" s="24">
        <f t="shared" si="63"/>
        <v>61.864427798189432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projet'!$B$12,Paramètres!$A$1:$I$88,3,0)*VLOOKUP('Données projet'!$B$12,Paramètres!$A$1:$I$88,5,0)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201.94015973767443</v>
      </c>
      <c r="CE102" s="62">
        <f t="shared" si="94"/>
        <v>287.12228849146032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37.835688737855911</v>
      </c>
      <c r="CL102" s="23">
        <f>EXP(-LN(2)/25)*CL101+(1-EXP(-LN(2)/25))/(LN(2)/25)*Calculateur!CG102*Calculateur!CI102*VLOOKUP('Données projet'!$B$12,Paramètres!$A$1:$I$88,3,0)*0.475*44/12</f>
        <v>7.7085827843990344</v>
      </c>
      <c r="CM102" s="23">
        <f>EXP(-LN(2)/2)*CM101+(1-EXP(-LN(2)/2))/(LN(2)/2)*CG102*CJ102*VLOOKUP('Données projet'!$B$12,Paramètres!$A$1:$I$88,3,0)*0.475*44/12</f>
        <v>8.2509657933302765E-7</v>
      </c>
      <c r="CN102" s="24">
        <f t="shared" si="66"/>
        <v>45.544272347351523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projet'!$B$9,Paramètres!$A$1:$I$88,3,0)*VLOOKUP('Données projet'!$B$9,Paramètres!$A$1:$I$88,5,0)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201.94015973767443</v>
      </c>
      <c r="T103" s="62">
        <f t="shared" si="88"/>
        <v>287.12228849146032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37.093753959197976</v>
      </c>
      <c r="AA103" s="23">
        <f>EXP(-LN(2)/25)*AA102+(1-EXP(-LN(2)/25))/(LN(2)/25)*Calculateur!V103*Calculateur!X103*VLOOKUP('Données projet'!$B$9,Paramètres!$A$1:$I$88,3,0)*0.475*44/12</f>
        <v>7.4977911827828922</v>
      </c>
      <c r="AB103" s="23">
        <f>EXP(-LN(2)/2)*AB102+(1-EXP(-LN(2)/2))/(LN(2)/2)*V103*Y103*VLOOKUP('Données projet'!$B$9,Paramètres!$A$1:$I$88,3,0)*0.475*44/12</f>
        <v>5.8343138638020803E-7</v>
      </c>
      <c r="AC103" s="24">
        <f t="shared" si="57"/>
        <v>44.591545725412253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projet'!$B$10,Paramètres!$A$1:$I$88,3,0)*VLOOKUP('Données projet'!$B$10,Paramètres!$A$1:$I$88,5,0)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135.19533066605396</v>
      </c>
      <c r="AO103" s="62">
        <f t="shared" si="90"/>
        <v>213.60182977243113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26.583245236600394</v>
      </c>
      <c r="AV103" s="23">
        <f>EXP(-LN(2)/25)*AV102+(1-EXP(-LN(2)/25))/(LN(2)/25)*Calculateur!AQ103*Calculateur!AS103*VLOOKUP('Données projet'!$B$10,Paramètres!$A$1:$I$88,3,0)*0.475*44/12</f>
        <v>6.3912585610679722</v>
      </c>
      <c r="AW103" s="23">
        <f>EXP(-LN(2)/2)*AW102+(1-EXP(-LN(2)/2))/(LN(2)/2)*AQ103*AT103*VLOOKUP('Données projet'!$B$10,Paramètres!$A$1:$I$88,3,0)*0.475*44/12</f>
        <v>6.1172972821379954E-7</v>
      </c>
      <c r="AX103" s="23">
        <f t="shared" si="60"/>
        <v>32.974504409398101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1.7053025658242404E-13</v>
      </c>
      <c r="BE103" s="14">
        <f>BD103*VLOOKUP('Données projet'!$B$11,Paramètres!$A$1:$I$88,3,0)*VLOOKUP('Données projet'!$B$11,Paramètres!$A$1:$I$88,5,0)</f>
        <v>1.0197709343628959E-13</v>
      </c>
      <c r="BF103" s="14">
        <f t="shared" si="91"/>
        <v>1.5284983994279675E-12</v>
      </c>
      <c r="BG103" s="22">
        <f t="shared" si="61"/>
        <v>2.839744816738581E-12</v>
      </c>
      <c r="BH103" s="62">
        <f t="shared" si="62"/>
        <v>293.33333333333616</v>
      </c>
      <c r="BI103" s="62">
        <f ca="1">AVERAGE(OFFSET($BH$3,0,0,'Données projet'!$E$11+1,1))-AVERAGE(OFFSET($H$3,0,0,'Données projet'!$E$11+1,1))</f>
        <v>258.1884172762135</v>
      </c>
      <c r="BJ103" s="62">
        <f t="shared" si="92"/>
        <v>356.36714671797864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49.809383523463332</v>
      </c>
      <c r="BQ103" s="23">
        <f>EXP(-LN(2)/25)*BQ102+(1-EXP(-LN(2)/25))/(LN(2)/25)*Calculateur!BL103*Calculateur!BN103*VLOOKUP('Données projet'!$B$11,Paramètres!$A$1:$I$88,3,0)*0.475*44/12</f>
        <v>10.756372543077502</v>
      </c>
      <c r="BR103" s="23">
        <f>EXP(-LN(2)/2)*BR102+(1-EXP(-LN(2)/2))/(LN(2)/2)*BL103*BO103*VLOOKUP('Données projet'!$B$11,Paramètres!$A$1:$I$88,3,0)*0.475*44/12</f>
        <v>7.8048850213024295E-7</v>
      </c>
      <c r="BS103" s="24">
        <f t="shared" si="63"/>
        <v>60.565756847029334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projet'!$B$12,Paramètres!$A$1:$I$88,3,0)*VLOOKUP('Données projet'!$B$12,Paramètres!$A$1:$I$88,5,0)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201.94015973767443</v>
      </c>
      <c r="CE103" s="62">
        <f t="shared" si="94"/>
        <v>287.12228849146032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37.093753959197976</v>
      </c>
      <c r="CL103" s="23">
        <f>EXP(-LN(2)/25)*CL102+(1-EXP(-LN(2)/25))/(LN(2)/25)*Calculateur!CG103*Calculateur!CI103*VLOOKUP('Données projet'!$B$12,Paramètres!$A$1:$I$88,3,0)*0.475*44/12</f>
        <v>7.4977911827828922</v>
      </c>
      <c r="CM103" s="23">
        <f>EXP(-LN(2)/2)*CM102+(1-EXP(-LN(2)/2))/(LN(2)/2)*CG103*CJ103*VLOOKUP('Données projet'!$B$12,Paramètres!$A$1:$I$88,3,0)*0.475*44/12</f>
        <v>5.8343138638020803E-7</v>
      </c>
      <c r="CN103" s="24">
        <f t="shared" si="66"/>
        <v>44.591545725412253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projet'!$B$9,Paramètres!$A$1:$I$88,3,0)*VLOOKUP('Données projet'!$B$9,Paramètres!$A$1:$I$88,5,0)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201.94015973767443</v>
      </c>
      <c r="T104" s="62">
        <f t="shared" si="88"/>
        <v>287.12228849146032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36.366368069013987</v>
      </c>
      <c r="AA104" s="23">
        <f>EXP(-LN(2)/25)*AA103+(1-EXP(-LN(2)/25))/(LN(2)/25)*Calculateur!V104*Calculateur!X104*VLOOKUP('Données projet'!$B$9,Paramètres!$A$1:$I$88,3,0)*0.475*44/12</f>
        <v>7.2927636885979918</v>
      </c>
      <c r="AB104" s="23">
        <f>EXP(-LN(2)/2)*AB103+(1-EXP(-LN(2)/2))/(LN(2)/2)*V104*Y104*VLOOKUP('Données projet'!$B$9,Paramètres!$A$1:$I$88,3,0)*0.475*44/12</f>
        <v>4.1254828966651383E-7</v>
      </c>
      <c r="AC104" s="24">
        <f t="shared" si="57"/>
        <v>43.659132170160269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projet'!$B$10,Paramètres!$A$1:$I$88,3,0)*VLOOKUP('Données projet'!$B$10,Paramètres!$A$1:$I$88,5,0)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135.19533066605396</v>
      </c>
      <c r="AO104" s="62">
        <f t="shared" si="90"/>
        <v>213.60182977243113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26.061964011689238</v>
      </c>
      <c r="AV104" s="23">
        <f>EXP(-LN(2)/25)*AV103+(1-EXP(-LN(2)/25))/(LN(2)/25)*Calculateur!AQ104*Calculateur!AS104*VLOOKUP('Données projet'!$B$10,Paramètres!$A$1:$I$88,3,0)*0.475*44/12</f>
        <v>6.2164892596138879</v>
      </c>
      <c r="AW104" s="23">
        <f>EXP(-LN(2)/2)*AW103+(1-EXP(-LN(2)/2))/(LN(2)/2)*AQ104*AT104*VLOOKUP('Données projet'!$B$10,Paramètres!$A$1:$I$88,3,0)*0.475*44/12</f>
        <v>4.3255823907338134E-7</v>
      </c>
      <c r="AX104" s="23">
        <f t="shared" si="60"/>
        <v>32.278453703861366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1.7053025658242404E-13</v>
      </c>
      <c r="BE104" s="14">
        <f>BD104*VLOOKUP('Données projet'!$B$11,Paramètres!$A$1:$I$88,3,0)*VLOOKUP('Données projet'!$B$11,Paramètres!$A$1:$I$88,5,0)</f>
        <v>1.0197709343628959E-13</v>
      </c>
      <c r="BF104" s="14">
        <f t="shared" si="91"/>
        <v>1.5284983994279675E-12</v>
      </c>
      <c r="BG104" s="22">
        <f t="shared" si="61"/>
        <v>2.839744816738581E-12</v>
      </c>
      <c r="BH104" s="62">
        <f t="shared" si="62"/>
        <v>293.33333333333616</v>
      </c>
      <c r="BI104" s="62">
        <f ca="1">AVERAGE(OFFSET($BH$3,0,0,'Données projet'!$E$11+1,1))-AVERAGE(OFFSET($H$3,0,0,'Données projet'!$E$11+1,1))</f>
        <v>258.1884172762135</v>
      </c>
      <c r="BJ104" s="62">
        <f t="shared" si="92"/>
        <v>356.36714671797864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48.832651893292315</v>
      </c>
      <c r="BQ104" s="23">
        <f>EXP(-LN(2)/25)*BQ103+(1-EXP(-LN(2)/25))/(LN(2)/25)*Calculateur!BL104*Calculateur!BN104*VLOOKUP('Données projet'!$B$11,Paramètres!$A$1:$I$88,3,0)*0.475*44/12</f>
        <v>10.462238970233999</v>
      </c>
      <c r="BR104" s="23">
        <f>EXP(-LN(2)/2)*BR103+(1-EXP(-LN(2)/2))/(LN(2)/2)*BL104*BO104*VLOOKUP('Données projet'!$B$11,Paramètres!$A$1:$I$88,3,0)*0.475*44/12</f>
        <v>5.5188871249442593E-7</v>
      </c>
      <c r="BS104" s="24">
        <f t="shared" si="63"/>
        <v>59.294891415415023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projet'!$B$12,Paramètres!$A$1:$I$88,3,0)*VLOOKUP('Données projet'!$B$12,Paramètres!$A$1:$I$88,5,0)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201.94015973767443</v>
      </c>
      <c r="CE104" s="62">
        <f t="shared" si="94"/>
        <v>287.12228849146032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36.366368069013987</v>
      </c>
      <c r="CL104" s="23">
        <f>EXP(-LN(2)/25)*CL103+(1-EXP(-LN(2)/25))/(LN(2)/25)*Calculateur!CG104*Calculateur!CI104*VLOOKUP('Données projet'!$B$12,Paramètres!$A$1:$I$88,3,0)*0.475*44/12</f>
        <v>7.2927636885979918</v>
      </c>
      <c r="CM104" s="23">
        <f>EXP(-LN(2)/2)*CM103+(1-EXP(-LN(2)/2))/(LN(2)/2)*CG104*CJ104*VLOOKUP('Données projet'!$B$12,Paramètres!$A$1:$I$88,3,0)*0.475*44/12</f>
        <v>4.1254828966651383E-7</v>
      </c>
      <c r="CN104" s="24">
        <f t="shared" si="66"/>
        <v>43.659132170160269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projet'!$B$9,Paramètres!$A$1:$I$88,3,0)*VLOOKUP('Données projet'!$B$9,Paramètres!$A$1:$I$88,5,0)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201.94015973767443</v>
      </c>
      <c r="T105" s="62">
        <f t="shared" si="88"/>
        <v>287.12228849146032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35.653245772474925</v>
      </c>
      <c r="AA105" s="23">
        <f>EXP(-LN(2)/25)*AA104+(1-EXP(-LN(2)/25))/(LN(2)/25)*Calculateur!V105*Calculateur!X105*VLOOKUP('Données projet'!$B$9,Paramètres!$A$1:$I$88,3,0)*0.475*44/12</f>
        <v>7.093342682023505</v>
      </c>
      <c r="AB105" s="23">
        <f>EXP(-LN(2)/2)*AB104+(1-EXP(-LN(2)/2))/(LN(2)/2)*V105*Y105*VLOOKUP('Données projet'!$B$9,Paramètres!$A$1:$I$88,3,0)*0.475*44/12</f>
        <v>2.9171569319010401E-7</v>
      </c>
      <c r="AC105" s="24">
        <f t="shared" si="57"/>
        <v>42.746588746214123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projet'!$B$10,Paramètres!$A$1:$I$88,3,0)*VLOOKUP('Données projet'!$B$10,Paramètres!$A$1:$I$88,5,0)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135.19533066605396</v>
      </c>
      <c r="AO105" s="62">
        <f t="shared" si="90"/>
        <v>213.60182977243113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25.550904793648435</v>
      </c>
      <c r="AV105" s="23">
        <f>EXP(-LN(2)/25)*AV104+(1-EXP(-LN(2)/25))/(LN(2)/25)*Calculateur!AQ105*Calculateur!AS105*VLOOKUP('Données projet'!$B$10,Paramètres!$A$1:$I$88,3,0)*0.475*44/12</f>
        <v>6.0464990338987841</v>
      </c>
      <c r="AW105" s="23">
        <f>EXP(-LN(2)/2)*AW104+(1-EXP(-LN(2)/2))/(LN(2)/2)*AQ105*AT105*VLOOKUP('Données projet'!$B$10,Paramètres!$A$1:$I$88,3,0)*0.475*44/12</f>
        <v>3.0586486410689977E-7</v>
      </c>
      <c r="AX105" s="23">
        <f t="shared" si="60"/>
        <v>31.597404133412084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1.7053025658242404E-13</v>
      </c>
      <c r="BE105" s="14">
        <f>BD105*VLOOKUP('Données projet'!$B$11,Paramètres!$A$1:$I$88,3,0)*VLOOKUP('Données projet'!$B$11,Paramètres!$A$1:$I$88,5,0)</f>
        <v>1.0197709343628959E-13</v>
      </c>
      <c r="BF105" s="14">
        <f t="shared" si="91"/>
        <v>1.5284983994279675E-12</v>
      </c>
      <c r="BG105" s="22">
        <f t="shared" si="61"/>
        <v>2.839744816738581E-12</v>
      </c>
      <c r="BH105" s="62">
        <f t="shared" si="62"/>
        <v>293.33333333333616</v>
      </c>
      <c r="BI105" s="62">
        <f ca="1">AVERAGE(OFFSET($BH$3,0,0,'Données projet'!$E$11+1,1))-AVERAGE(OFFSET($H$3,0,0,'Données projet'!$E$11+1,1))</f>
        <v>258.1884172762135</v>
      </c>
      <c r="BJ105" s="62">
        <f t="shared" si="92"/>
        <v>356.36714671797864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47.875073374641488</v>
      </c>
      <c r="BQ105" s="23">
        <f>EXP(-LN(2)/25)*BQ104+(1-EXP(-LN(2)/25))/(LN(2)/25)*Calculateur!BL105*Calculateur!BN105*VLOOKUP('Données projet'!$B$11,Paramètres!$A$1:$I$88,3,0)*0.475*44/12</f>
        <v>10.176148495407714</v>
      </c>
      <c r="BR105" s="23">
        <f>EXP(-LN(2)/2)*BR104+(1-EXP(-LN(2)/2))/(LN(2)/2)*BL105*BO105*VLOOKUP('Données projet'!$B$11,Paramètres!$A$1:$I$88,3,0)*0.475*44/12</f>
        <v>3.9024425106512148E-7</v>
      </c>
      <c r="BS105" s="24">
        <f t="shared" si="63"/>
        <v>58.051222260293457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projet'!$B$12,Paramètres!$A$1:$I$88,3,0)*VLOOKUP('Données projet'!$B$12,Paramètres!$A$1:$I$88,5,0)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201.94015973767443</v>
      </c>
      <c r="CE105" s="62">
        <f t="shared" si="94"/>
        <v>287.12228849146032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35.653245772474925</v>
      </c>
      <c r="CL105" s="23">
        <f>EXP(-LN(2)/25)*CL104+(1-EXP(-LN(2)/25))/(LN(2)/25)*Calculateur!CG105*Calculateur!CI105*VLOOKUP('Données projet'!$B$12,Paramètres!$A$1:$I$88,3,0)*0.475*44/12</f>
        <v>7.093342682023505</v>
      </c>
      <c r="CM105" s="23">
        <f>EXP(-LN(2)/2)*CM104+(1-EXP(-LN(2)/2))/(LN(2)/2)*CG105*CJ105*VLOOKUP('Données projet'!$B$12,Paramètres!$A$1:$I$88,3,0)*0.475*44/12</f>
        <v>2.9171569319010401E-7</v>
      </c>
      <c r="CN105" s="24">
        <f t="shared" si="66"/>
        <v>42.746588746214123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projet'!$B$9,Paramètres!$A$1:$I$88,3,0)*VLOOKUP('Données projet'!$B$9,Paramètres!$A$1:$I$88,5,0)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201.94015973767443</v>
      </c>
      <c r="T106" s="62">
        <f t="shared" si="88"/>
        <v>287.12228849146032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34.954107369209339</v>
      </c>
      <c r="AA106" s="23">
        <f>EXP(-LN(2)/25)*AA105+(1-EXP(-LN(2)/25))/(LN(2)/25)*Calculateur!V106*Calculateur!X106*VLOOKUP('Données projet'!$B$9,Paramètres!$A$1:$I$88,3,0)*0.475*44/12</f>
        <v>6.899374853360893</v>
      </c>
      <c r="AB106" s="23">
        <f>EXP(-LN(2)/2)*AB105+(1-EXP(-LN(2)/2))/(LN(2)/2)*V106*Y106*VLOOKUP('Données projet'!$B$9,Paramètres!$A$1:$I$88,3,0)*0.475*44/12</f>
        <v>2.0627414483325691E-7</v>
      </c>
      <c r="AC106" s="24">
        <f t="shared" si="57"/>
        <v>41.85348242884438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projet'!$B$10,Paramètres!$A$1:$I$88,3,0)*VLOOKUP('Données projet'!$B$10,Paramètres!$A$1:$I$88,5,0)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135.19533066605396</v>
      </c>
      <c r="AO106" s="62">
        <f t="shared" si="90"/>
        <v>213.60182977243113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25.04986713515807</v>
      </c>
      <c r="AV106" s="23">
        <f>EXP(-LN(2)/25)*AV105+(1-EXP(-LN(2)/25))/(LN(2)/25)*Calculateur!AQ106*Calculateur!AS106*VLOOKUP('Données projet'!$B$10,Paramètres!$A$1:$I$88,3,0)*0.475*44/12</f>
        <v>5.8811571998452568</v>
      </c>
      <c r="AW106" s="23">
        <f>EXP(-LN(2)/2)*AW105+(1-EXP(-LN(2)/2))/(LN(2)/2)*AQ106*AT106*VLOOKUP('Données projet'!$B$10,Paramètres!$A$1:$I$88,3,0)*0.475*44/12</f>
        <v>2.1627911953669067E-7</v>
      </c>
      <c r="AX106" s="23">
        <f t="shared" si="60"/>
        <v>30.931024551282448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1.7053025658242404E-13</v>
      </c>
      <c r="BE106" s="14">
        <f>BD106*VLOOKUP('Données projet'!$B$11,Paramètres!$A$1:$I$88,3,0)*VLOOKUP('Données projet'!$B$11,Paramètres!$A$1:$I$88,5,0)</f>
        <v>1.0197709343628959E-13</v>
      </c>
      <c r="BF106" s="14">
        <f t="shared" si="91"/>
        <v>1.5284983994279675E-12</v>
      </c>
      <c r="BG106" s="22">
        <f t="shared" si="61"/>
        <v>2.839744816738581E-12</v>
      </c>
      <c r="BH106" s="62">
        <f t="shared" si="62"/>
        <v>293.33333333333616</v>
      </c>
      <c r="BI106" s="62">
        <f ca="1">AVERAGE(OFFSET($BH$3,0,0,'Données projet'!$E$11+1,1))-AVERAGE(OFFSET($H$3,0,0,'Données projet'!$E$11+1,1))</f>
        <v>258.1884172762135</v>
      </c>
      <c r="BJ106" s="62">
        <f t="shared" si="92"/>
        <v>356.36714671797864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46.93627238667618</v>
      </c>
      <c r="BQ106" s="23">
        <f>EXP(-LN(2)/25)*BQ105+(1-EXP(-LN(2)/25))/(LN(2)/25)*Calculateur!BL106*Calculateur!BN106*VLOOKUP('Données projet'!$B$11,Paramètres!$A$1:$I$88,3,0)*0.475*44/12</f>
        <v>9.8978811796603985</v>
      </c>
      <c r="BR106" s="23">
        <f>EXP(-LN(2)/2)*BR105+(1-EXP(-LN(2)/2))/(LN(2)/2)*BL106*BO106*VLOOKUP('Données projet'!$B$11,Paramètres!$A$1:$I$88,3,0)*0.475*44/12</f>
        <v>2.7594435624721296E-7</v>
      </c>
      <c r="BS106" s="24">
        <f t="shared" si="63"/>
        <v>56.834153842280941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projet'!$B$12,Paramètres!$A$1:$I$88,3,0)*VLOOKUP('Données projet'!$B$12,Paramètres!$A$1:$I$88,5,0)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201.94015973767443</v>
      </c>
      <c r="CE106" s="62">
        <f t="shared" si="94"/>
        <v>287.12228849146032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34.954107369209339</v>
      </c>
      <c r="CL106" s="23">
        <f>EXP(-LN(2)/25)*CL105+(1-EXP(-LN(2)/25))/(LN(2)/25)*Calculateur!CG106*Calculateur!CI106*VLOOKUP('Données projet'!$B$12,Paramètres!$A$1:$I$88,3,0)*0.475*44/12</f>
        <v>6.899374853360893</v>
      </c>
      <c r="CM106" s="23">
        <f>EXP(-LN(2)/2)*CM105+(1-EXP(-LN(2)/2))/(LN(2)/2)*CG106*CJ106*VLOOKUP('Données projet'!$B$12,Paramètres!$A$1:$I$88,3,0)*0.475*44/12</f>
        <v>2.0627414483325691E-7</v>
      </c>
      <c r="CN106" s="24">
        <f t="shared" si="66"/>
        <v>41.85348242884438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projet'!$B$9,Paramètres!$A$1:$I$88,3,0)*VLOOKUP('Données projet'!$B$9,Paramètres!$A$1:$I$88,5,0)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201.94015973767443</v>
      </c>
      <c r="T107" s="62">
        <f t="shared" si="88"/>
        <v>287.12228849146032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34.268678643599472</v>
      </c>
      <c r="AA107" s="23">
        <f>EXP(-LN(2)/25)*AA106+(1-EXP(-LN(2)/25))/(LN(2)/25)*Calculateur!V107*Calculateur!X107*VLOOKUP('Données projet'!$B$9,Paramètres!$A$1:$I$88,3,0)*0.475*44/12</f>
        <v>6.7107110851733847</v>
      </c>
      <c r="AB107" s="23">
        <f>EXP(-LN(2)/2)*AB106+(1-EXP(-LN(2)/2))/(LN(2)/2)*V107*Y107*VLOOKUP('Données projet'!$B$9,Paramètres!$A$1:$I$88,3,0)*0.475*44/12</f>
        <v>1.4585784659505201E-7</v>
      </c>
      <c r="AC107" s="24">
        <f t="shared" si="57"/>
        <v>40.979389874630705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projet'!$B$10,Paramètres!$A$1:$I$88,3,0)*VLOOKUP('Données projet'!$B$10,Paramètres!$A$1:$I$88,5,0)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135.19533066605396</v>
      </c>
      <c r="AO107" s="62">
        <f t="shared" si="90"/>
        <v>213.60182977243113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24.558654519547908</v>
      </c>
      <c r="AV107" s="23">
        <f>EXP(-LN(2)/25)*AV106+(1-EXP(-LN(2)/25))/(LN(2)/25)*Calculateur!AQ107*Calculateur!AS107*VLOOKUP('Données projet'!$B$10,Paramètres!$A$1:$I$88,3,0)*0.475*44/12</f>
        <v>5.7203366469388728</v>
      </c>
      <c r="AW107" s="23">
        <f>EXP(-LN(2)/2)*AW106+(1-EXP(-LN(2)/2))/(LN(2)/2)*AQ107*AT107*VLOOKUP('Données projet'!$B$10,Paramètres!$A$1:$I$88,3,0)*0.475*44/12</f>
        <v>1.5293243205344988E-7</v>
      </c>
      <c r="AX107" s="23">
        <f t="shared" si="60"/>
        <v>30.278991319419212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1.7053025658242404E-13</v>
      </c>
      <c r="BE107" s="14">
        <f>BD107*VLOOKUP('Données projet'!$B$11,Paramètres!$A$1:$I$88,3,0)*VLOOKUP('Données projet'!$B$11,Paramètres!$A$1:$I$88,5,0)</f>
        <v>1.0197709343628959E-13</v>
      </c>
      <c r="BF107" s="14">
        <f t="shared" si="91"/>
        <v>1.5284983994279675E-12</v>
      </c>
      <c r="BG107" s="22">
        <f t="shared" si="61"/>
        <v>2.839744816738581E-12</v>
      </c>
      <c r="BH107" s="62">
        <f t="shared" si="62"/>
        <v>293.33333333333616</v>
      </c>
      <c r="BI107" s="62">
        <f ca="1">AVERAGE(OFFSET($BH$3,0,0,'Données projet'!$E$11+1,1))-AVERAGE(OFFSET($H$3,0,0,'Données projet'!$E$11+1,1))</f>
        <v>258.1884172762135</v>
      </c>
      <c r="BJ107" s="62">
        <f t="shared" si="92"/>
        <v>356.36714671797864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46.015880713472804</v>
      </c>
      <c r="BQ107" s="23">
        <f>EXP(-LN(2)/25)*BQ106+(1-EXP(-LN(2)/25))/(LN(2)/25)*Calculateur!BL107*Calculateur!BN107*VLOOKUP('Données projet'!$B$11,Paramètres!$A$1:$I$88,3,0)*0.475*44/12</f>
        <v>9.6272230982956355</v>
      </c>
      <c r="BR107" s="23">
        <f>EXP(-LN(2)/2)*BR106+(1-EXP(-LN(2)/2))/(LN(2)/2)*BL107*BO107*VLOOKUP('Données projet'!$B$11,Paramètres!$A$1:$I$88,3,0)*0.475*44/12</f>
        <v>1.9512212553256074E-7</v>
      </c>
      <c r="BS107" s="24">
        <f t="shared" si="63"/>
        <v>55.643104006890567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projet'!$B$12,Paramètres!$A$1:$I$88,3,0)*VLOOKUP('Données projet'!$B$12,Paramètres!$A$1:$I$88,5,0)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201.94015973767443</v>
      </c>
      <c r="CE107" s="62">
        <f t="shared" si="94"/>
        <v>287.12228849146032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34.268678643599472</v>
      </c>
      <c r="CL107" s="23">
        <f>EXP(-LN(2)/25)*CL106+(1-EXP(-LN(2)/25))/(LN(2)/25)*Calculateur!CG107*Calculateur!CI107*VLOOKUP('Données projet'!$B$12,Paramètres!$A$1:$I$88,3,0)*0.475*44/12</f>
        <v>6.7107110851733847</v>
      </c>
      <c r="CM107" s="23">
        <f>EXP(-LN(2)/2)*CM106+(1-EXP(-LN(2)/2))/(LN(2)/2)*CG107*CJ107*VLOOKUP('Données projet'!$B$12,Paramètres!$A$1:$I$88,3,0)*0.475*44/12</f>
        <v>1.4585784659505201E-7</v>
      </c>
      <c r="CN107" s="24">
        <f t="shared" si="66"/>
        <v>40.979389874630705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projet'!$B$9,Paramètres!$A$1:$I$88,3,0)*VLOOKUP('Données projet'!$B$9,Paramètres!$A$1:$I$88,5,0)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201.94015973767443</v>
      </c>
      <c r="T108" s="62">
        <f t="shared" si="88"/>
        <v>287.12228849146032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33.596690757228572</v>
      </c>
      <c r="AA108" s="23">
        <f>EXP(-LN(2)/25)*AA107+(1-EXP(-LN(2)/25))/(LN(2)/25)*Calculateur!V108*Calculateur!X108*VLOOKUP('Données projet'!$B$9,Paramètres!$A$1:$I$88,3,0)*0.475*44/12</f>
        <v>6.5272063376483604</v>
      </c>
      <c r="AB108" s="23">
        <f>EXP(-LN(2)/2)*AB107+(1-EXP(-LN(2)/2))/(LN(2)/2)*V108*Y108*VLOOKUP('Données projet'!$B$9,Paramètres!$A$1:$I$88,3,0)*0.475*44/12</f>
        <v>1.0313707241662846E-7</v>
      </c>
      <c r="AC108" s="24">
        <f t="shared" si="57"/>
        <v>40.123897198014006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projet'!$B$10,Paramètres!$A$1:$I$88,3,0)*VLOOKUP('Données projet'!$B$10,Paramètres!$A$1:$I$88,5,0)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135.19533066605396</v>
      </c>
      <c r="AO108" s="62">
        <f t="shared" si="90"/>
        <v>213.60182977243113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24.077074283719746</v>
      </c>
      <c r="AV108" s="23">
        <f>EXP(-LN(2)/25)*AV107+(1-EXP(-LN(2)/25))/(LN(2)/25)*Calculateur!AQ108*Calculateur!AS108*VLOOKUP('Données projet'!$B$10,Paramètres!$A$1:$I$88,3,0)*0.475*44/12</f>
        <v>5.563913740508899</v>
      </c>
      <c r="AW108" s="23">
        <f>EXP(-LN(2)/2)*AW107+(1-EXP(-LN(2)/2))/(LN(2)/2)*AQ108*AT108*VLOOKUP('Données projet'!$B$10,Paramètres!$A$1:$I$88,3,0)*0.475*44/12</f>
        <v>1.0813955976834534E-7</v>
      </c>
      <c r="AX108" s="23">
        <f t="shared" si="60"/>
        <v>29.640988132368204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1.7053025658242404E-13</v>
      </c>
      <c r="BE108" s="14">
        <f>BD108*VLOOKUP('Données projet'!$B$11,Paramètres!$A$1:$I$88,3,0)*VLOOKUP('Données projet'!$B$11,Paramètres!$A$1:$I$88,5,0)</f>
        <v>1.0197709343628959E-13</v>
      </c>
      <c r="BF108" s="14">
        <f t="shared" si="91"/>
        <v>1.5284983994279675E-12</v>
      </c>
      <c r="BG108" s="22">
        <f t="shared" si="61"/>
        <v>2.839744816738581E-12</v>
      </c>
      <c r="BH108" s="62">
        <f t="shared" si="62"/>
        <v>293.33333333333616</v>
      </c>
      <c r="BI108" s="62">
        <f ca="1">AVERAGE(OFFSET($BH$3,0,0,'Données projet'!$E$11+1,1))-AVERAGE(OFFSET($H$3,0,0,'Données projet'!$E$11+1,1))</f>
        <v>258.1884172762135</v>
      </c>
      <c r="BJ108" s="62">
        <f t="shared" si="92"/>
        <v>356.36714671797864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45.113537359597458</v>
      </c>
      <c r="BQ108" s="23">
        <f>EXP(-LN(2)/25)*BQ107+(1-EXP(-LN(2)/25))/(LN(2)/25)*Calculateur!BL108*Calculateur!BN108*VLOOKUP('Données projet'!$B$11,Paramètres!$A$1:$I$88,3,0)*0.475*44/12</f>
        <v>9.3639661763990816</v>
      </c>
      <c r="BR108" s="23">
        <f>EXP(-LN(2)/2)*BR107+(1-EXP(-LN(2)/2))/(LN(2)/2)*BL108*BO108*VLOOKUP('Données projet'!$B$11,Paramètres!$A$1:$I$88,3,0)*0.475*44/12</f>
        <v>1.3797217812360648E-7</v>
      </c>
      <c r="BS108" s="24">
        <f t="shared" si="63"/>
        <v>54.47750367396872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projet'!$B$12,Paramètres!$A$1:$I$88,3,0)*VLOOKUP('Données projet'!$B$12,Paramètres!$A$1:$I$88,5,0)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201.94015973767443</v>
      </c>
      <c r="CE108" s="62">
        <f t="shared" si="94"/>
        <v>287.12228849146032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33.596690757228572</v>
      </c>
      <c r="CL108" s="23">
        <f>EXP(-LN(2)/25)*CL107+(1-EXP(-LN(2)/25))/(LN(2)/25)*Calculateur!CG108*Calculateur!CI108*VLOOKUP('Données projet'!$B$12,Paramètres!$A$1:$I$88,3,0)*0.475*44/12</f>
        <v>6.5272063376483604</v>
      </c>
      <c r="CM108" s="23">
        <f>EXP(-LN(2)/2)*CM107+(1-EXP(-LN(2)/2))/(LN(2)/2)*CG108*CJ108*VLOOKUP('Données projet'!$B$12,Paramètres!$A$1:$I$88,3,0)*0.475*44/12</f>
        <v>1.0313707241662846E-7</v>
      </c>
      <c r="CN108" s="24">
        <f t="shared" si="66"/>
        <v>40.123897198014006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projet'!$B$9,Paramètres!$A$1:$I$88,3,0)*VLOOKUP('Données projet'!$B$9,Paramètres!$A$1:$I$88,5,0)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201.94015973767443</v>
      </c>
      <c r="T109" s="62">
        <f t="shared" si="88"/>
        <v>287.12228849146032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32.937880143437269</v>
      </c>
      <c r="AA109" s="23">
        <f>EXP(-LN(2)/25)*AA108+(1-EXP(-LN(2)/25))/(LN(2)/25)*Calculateur!V109*Calculateur!X109*VLOOKUP('Données projet'!$B$9,Paramètres!$A$1:$I$88,3,0)*0.475*44/12</f>
        <v>6.3487195370945031</v>
      </c>
      <c r="AB109" s="23">
        <f>EXP(-LN(2)/2)*AB108+(1-EXP(-LN(2)/2))/(LN(2)/2)*V109*Y109*VLOOKUP('Données projet'!$B$9,Paramètres!$A$1:$I$88,3,0)*0.475*44/12</f>
        <v>7.2928923297526003E-8</v>
      </c>
      <c r="AC109" s="24">
        <f t="shared" si="57"/>
        <v>39.286599753460692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projet'!$B$10,Paramètres!$A$1:$I$88,3,0)*VLOOKUP('Données projet'!$B$10,Paramètres!$A$1:$I$88,5,0)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135.19533066605396</v>
      </c>
      <c r="AO109" s="62">
        <f t="shared" si="90"/>
        <v>213.60182977243113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23.604937542581236</v>
      </c>
      <c r="AV109" s="23">
        <f>EXP(-LN(2)/25)*AV108+(1-EXP(-LN(2)/25))/(LN(2)/25)*Calculateur!AQ109*Calculateur!AS109*VLOOKUP('Données projet'!$B$10,Paramètres!$A$1:$I$88,3,0)*0.475*44/12</f>
        <v>5.4117682266811764</v>
      </c>
      <c r="AW109" s="23">
        <f>EXP(-LN(2)/2)*AW108+(1-EXP(-LN(2)/2))/(LN(2)/2)*AQ109*AT109*VLOOKUP('Données projet'!$B$10,Paramètres!$A$1:$I$88,3,0)*0.475*44/12</f>
        <v>7.6466216026724942E-8</v>
      </c>
      <c r="AX109" s="23">
        <f t="shared" si="60"/>
        <v>29.016705845728627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1.7053025658242404E-13</v>
      </c>
      <c r="BE109" s="14">
        <f>BD109*VLOOKUP('Données projet'!$B$11,Paramètres!$A$1:$I$88,3,0)*VLOOKUP('Données projet'!$B$11,Paramètres!$A$1:$I$88,5,0)</f>
        <v>1.0197709343628959E-13</v>
      </c>
      <c r="BF109" s="14">
        <f t="shared" si="91"/>
        <v>1.5284983994279675E-12</v>
      </c>
      <c r="BG109" s="22">
        <f t="shared" si="61"/>
        <v>2.839744816738581E-12</v>
      </c>
      <c r="BH109" s="62">
        <f t="shared" si="62"/>
        <v>293.33333333333616</v>
      </c>
      <c r="BI109" s="62">
        <f ca="1">AVERAGE(OFFSET($BH$3,0,0,'Données projet'!$E$11+1,1))-AVERAGE(OFFSET($H$3,0,0,'Données projet'!$E$11+1,1))</f>
        <v>258.1884172762135</v>
      </c>
      <c r="BJ109" s="62">
        <f t="shared" si="92"/>
        <v>356.36714671797864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44.228888408516511</v>
      </c>
      <c r="BQ109" s="23">
        <f>EXP(-LN(2)/25)*BQ108+(1-EXP(-LN(2)/25))/(LN(2)/25)*Calculateur!BL109*Calculateur!BN109*VLOOKUP('Données projet'!$B$11,Paramètres!$A$1:$I$88,3,0)*0.475*44/12</f>
        <v>9.1079080288758689</v>
      </c>
      <c r="BR109" s="23">
        <f>EXP(-LN(2)/2)*BR108+(1-EXP(-LN(2)/2))/(LN(2)/2)*BL109*BO109*VLOOKUP('Données projet'!$B$11,Paramètres!$A$1:$I$88,3,0)*0.475*44/12</f>
        <v>9.7561062766280369E-8</v>
      </c>
      <c r="BS109" s="24">
        <f t="shared" si="63"/>
        <v>53.336796534953443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projet'!$B$12,Paramètres!$A$1:$I$88,3,0)*VLOOKUP('Données projet'!$B$12,Paramètres!$A$1:$I$88,5,0)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201.94015973767443</v>
      </c>
      <c r="CE109" s="62">
        <f t="shared" si="94"/>
        <v>287.12228849146032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32.937880143437269</v>
      </c>
      <c r="CL109" s="23">
        <f>EXP(-LN(2)/25)*CL108+(1-EXP(-LN(2)/25))/(LN(2)/25)*Calculateur!CG109*Calculateur!CI109*VLOOKUP('Données projet'!$B$12,Paramètres!$A$1:$I$88,3,0)*0.475*44/12</f>
        <v>6.3487195370945031</v>
      </c>
      <c r="CM109" s="23">
        <f>EXP(-LN(2)/2)*CM108+(1-EXP(-LN(2)/2))/(LN(2)/2)*CG109*CJ109*VLOOKUP('Données projet'!$B$12,Paramètres!$A$1:$I$88,3,0)*0.475*44/12</f>
        <v>7.2928923297526003E-8</v>
      </c>
      <c r="CN109" s="24">
        <f t="shared" si="66"/>
        <v>39.286599753460692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projet'!$B$9,Paramètres!$A$1:$I$88,3,0)*VLOOKUP('Données projet'!$B$9,Paramètres!$A$1:$I$88,5,0)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201.94015973767443</v>
      </c>
      <c r="T110" s="62">
        <f t="shared" si="88"/>
        <v>287.12228849146032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32.29198840394762</v>
      </c>
      <c r="AA110" s="23">
        <f>EXP(-LN(2)/25)*AA109+(1-EXP(-LN(2)/25))/(LN(2)/25)*Calculateur!V110*Calculateur!X110*VLOOKUP('Données projet'!$B$9,Paramètres!$A$1:$I$88,3,0)*0.475*44/12</f>
        <v>6.1751134674880035</v>
      </c>
      <c r="AB110" s="23">
        <f>EXP(-LN(2)/2)*AB109+(1-EXP(-LN(2)/2))/(LN(2)/2)*V110*Y110*VLOOKUP('Données projet'!$B$9,Paramètres!$A$1:$I$88,3,0)*0.475*44/12</f>
        <v>5.1568536208314228E-8</v>
      </c>
      <c r="AC110" s="24">
        <f t="shared" si="57"/>
        <v>38.467101923004158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projet'!$B$10,Paramètres!$A$1:$I$88,3,0)*VLOOKUP('Données projet'!$B$10,Paramètres!$A$1:$I$88,5,0)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135.19533066605396</v>
      </c>
      <c r="AO110" s="62">
        <f t="shared" si="90"/>
        <v>213.60182977243113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23.142059114961476</v>
      </c>
      <c r="AV110" s="23">
        <f>EXP(-LN(2)/25)*AV109+(1-EXP(-LN(2)/25))/(LN(2)/25)*Calculateur!AQ110*Calculateur!AS110*VLOOKUP('Données projet'!$B$10,Paramètres!$A$1:$I$88,3,0)*0.475*44/12</f>
        <v>5.263783139930057</v>
      </c>
      <c r="AW110" s="23">
        <f>EXP(-LN(2)/2)*AW109+(1-EXP(-LN(2)/2))/(LN(2)/2)*AQ110*AT110*VLOOKUP('Données projet'!$B$10,Paramètres!$A$1:$I$88,3,0)*0.475*44/12</f>
        <v>5.4069779884172668E-8</v>
      </c>
      <c r="AX110" s="23">
        <f t="shared" si="60"/>
        <v>28.405842308961311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1.7053025658242404E-13</v>
      </c>
      <c r="BE110" s="14">
        <f>BD110*VLOOKUP('Données projet'!$B$11,Paramètres!$A$1:$I$88,3,0)*VLOOKUP('Données projet'!$B$11,Paramètres!$A$1:$I$88,5,0)</f>
        <v>1.0197709343628959E-13</v>
      </c>
      <c r="BF110" s="14">
        <f t="shared" si="91"/>
        <v>1.5284983994279675E-12</v>
      </c>
      <c r="BG110" s="22">
        <f t="shared" si="61"/>
        <v>2.839744816738581E-12</v>
      </c>
      <c r="BH110" s="62">
        <f t="shared" si="62"/>
        <v>293.33333333333616</v>
      </c>
      <c r="BI110" s="62">
        <f ca="1">AVERAGE(OFFSET($BH$3,0,0,'Données projet'!$E$11+1,1))-AVERAGE(OFFSET($H$3,0,0,'Données projet'!$E$11+1,1))</f>
        <v>258.1884172762135</v>
      </c>
      <c r="BJ110" s="62">
        <f t="shared" si="92"/>
        <v>356.36714671797864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43.36158688378368</v>
      </c>
      <c r="BQ110" s="23">
        <f>EXP(-LN(2)/25)*BQ109+(1-EXP(-LN(2)/25))/(LN(2)/25)*Calculateur!BL110*Calculateur!BN110*VLOOKUP('Données projet'!$B$11,Paramètres!$A$1:$I$88,3,0)*0.475*44/12</f>
        <v>8.8588518048621907</v>
      </c>
      <c r="BR110" s="23">
        <f>EXP(-LN(2)/2)*BR109+(1-EXP(-LN(2)/2))/(LN(2)/2)*BL110*BO110*VLOOKUP('Données projet'!$B$11,Paramètres!$A$1:$I$88,3,0)*0.475*44/12</f>
        <v>6.8986089061803241E-8</v>
      </c>
      <c r="BS110" s="24">
        <f t="shared" si="63"/>
        <v>52.22043875763196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projet'!$B$12,Paramètres!$A$1:$I$88,3,0)*VLOOKUP('Données projet'!$B$12,Paramètres!$A$1:$I$88,5,0)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201.94015973767443</v>
      </c>
      <c r="CE110" s="62">
        <f t="shared" si="94"/>
        <v>287.12228849146032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32.29198840394762</v>
      </c>
      <c r="CL110" s="23">
        <f>EXP(-LN(2)/25)*CL109+(1-EXP(-LN(2)/25))/(LN(2)/25)*Calculateur!CG110*Calculateur!CI110*VLOOKUP('Données projet'!$B$12,Paramètres!$A$1:$I$88,3,0)*0.475*44/12</f>
        <v>6.1751134674880035</v>
      </c>
      <c r="CM110" s="23">
        <f>EXP(-LN(2)/2)*CM109+(1-EXP(-LN(2)/2))/(LN(2)/2)*CG110*CJ110*VLOOKUP('Données projet'!$B$12,Paramètres!$A$1:$I$88,3,0)*0.475*44/12</f>
        <v>5.1568536208314228E-8</v>
      </c>
      <c r="CN110" s="24">
        <f t="shared" si="66"/>
        <v>38.467101923004158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projet'!$B$9,Paramètres!$A$1:$I$88,3,0)*VLOOKUP('Données projet'!$B$9,Paramètres!$A$1:$I$88,5,0)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201.94015973767443</v>
      </c>
      <c r="T111" s="62">
        <f t="shared" si="88"/>
        <v>287.12228849146032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31.6587622075143</v>
      </c>
      <c r="AA111" s="23">
        <f>EXP(-LN(2)/25)*AA110+(1-EXP(-LN(2)/25))/(LN(2)/25)*Calculateur!V111*Calculateur!X111*VLOOKUP('Données projet'!$B$9,Paramètres!$A$1:$I$88,3,0)*0.475*44/12</f>
        <v>6.0062546649844402</v>
      </c>
      <c r="AB111" s="23">
        <f>EXP(-LN(2)/2)*AB110+(1-EXP(-LN(2)/2))/(LN(2)/2)*V111*Y111*VLOOKUP('Données projet'!$B$9,Paramètres!$A$1:$I$88,3,0)*0.475*44/12</f>
        <v>3.6464461648763002E-8</v>
      </c>
      <c r="AC111" s="24">
        <f t="shared" si="57"/>
        <v>37.665016908963203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projet'!$B$10,Paramètres!$A$1:$I$88,3,0)*VLOOKUP('Données projet'!$B$10,Paramètres!$A$1:$I$88,5,0)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135.19533066605396</v>
      </c>
      <c r="AO111" s="62">
        <f t="shared" si="90"/>
        <v>213.60182977243113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22.688257450979375</v>
      </c>
      <c r="AV111" s="23">
        <f>EXP(-LN(2)/25)*AV110+(1-EXP(-LN(2)/25))/(LN(2)/25)*Calculateur!AQ111*Calculateur!AS111*VLOOKUP('Données projet'!$B$10,Paramètres!$A$1:$I$88,3,0)*0.475*44/12</f>
        <v>5.1198447131583444</v>
      </c>
      <c r="AW111" s="23">
        <f>EXP(-LN(2)/2)*AW110+(1-EXP(-LN(2)/2))/(LN(2)/2)*AQ111*AT111*VLOOKUP('Données projet'!$B$10,Paramètres!$A$1:$I$88,3,0)*0.475*44/12</f>
        <v>3.8233108013362471E-8</v>
      </c>
      <c r="AX111" s="23">
        <f t="shared" si="60"/>
        <v>27.808102202370826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1.7053025658242404E-13</v>
      </c>
      <c r="BE111" s="14">
        <f>BD111*VLOOKUP('Données projet'!$B$11,Paramètres!$A$1:$I$88,3,0)*VLOOKUP('Données projet'!$B$11,Paramètres!$A$1:$I$88,5,0)</f>
        <v>1.0197709343628959E-13</v>
      </c>
      <c r="BF111" s="14">
        <f t="shared" si="91"/>
        <v>1.5284983994279675E-12</v>
      </c>
      <c r="BG111" s="22">
        <f t="shared" si="61"/>
        <v>2.839744816738581E-12</v>
      </c>
      <c r="BH111" s="62">
        <f t="shared" si="62"/>
        <v>293.33333333333616</v>
      </c>
      <c r="BI111" s="62">
        <f ca="1">AVERAGE(OFFSET($BH$3,0,0,'Données projet'!$E$11+1,1))-AVERAGE(OFFSET($H$3,0,0,'Données projet'!$E$11+1,1))</f>
        <v>258.1884172762135</v>
      </c>
      <c r="BJ111" s="62">
        <f t="shared" si="92"/>
        <v>356.36714671797864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42.511292612949163</v>
      </c>
      <c r="BQ111" s="23">
        <f>EXP(-LN(2)/25)*BQ110+(1-EXP(-LN(2)/25))/(LN(2)/25)*Calculateur!BL111*Calculateur!BN111*VLOOKUP('Données projet'!$B$11,Paramètres!$A$1:$I$88,3,0)*0.475*44/12</f>
        <v>8.6166060363914649</v>
      </c>
      <c r="BR111" s="23">
        <f>EXP(-LN(2)/2)*BR110+(1-EXP(-LN(2)/2))/(LN(2)/2)*BL111*BO111*VLOOKUP('Données projet'!$B$11,Paramètres!$A$1:$I$88,3,0)*0.475*44/12</f>
        <v>4.8780531383140184E-8</v>
      </c>
      <c r="BS111" s="24">
        <f t="shared" si="63"/>
        <v>51.127898698121157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projet'!$B$12,Paramètres!$A$1:$I$88,3,0)*VLOOKUP('Données projet'!$B$12,Paramètres!$A$1:$I$88,5,0)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201.94015973767443</v>
      </c>
      <c r="CE111" s="62">
        <f t="shared" si="94"/>
        <v>287.12228849146032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31.6587622075143</v>
      </c>
      <c r="CL111" s="23">
        <f>EXP(-LN(2)/25)*CL110+(1-EXP(-LN(2)/25))/(LN(2)/25)*Calculateur!CG111*Calculateur!CI111*VLOOKUP('Données projet'!$B$12,Paramètres!$A$1:$I$88,3,0)*0.475*44/12</f>
        <v>6.0062546649844402</v>
      </c>
      <c r="CM111" s="23">
        <f>EXP(-LN(2)/2)*CM110+(1-EXP(-LN(2)/2))/(LN(2)/2)*CG111*CJ111*VLOOKUP('Données projet'!$B$12,Paramètres!$A$1:$I$88,3,0)*0.475*44/12</f>
        <v>3.6464461648763002E-8</v>
      </c>
      <c r="CN111" s="24">
        <f t="shared" si="66"/>
        <v>37.665016908963203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projet'!$B$9,Paramètres!$A$1:$I$88,3,0)*VLOOKUP('Données projet'!$B$9,Paramètres!$A$1:$I$88,5,0)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201.94015973767443</v>
      </c>
      <c r="T112" s="62">
        <f t="shared" si="88"/>
        <v>287.12228849146032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31.037953190563194</v>
      </c>
      <c r="AA112" s="23">
        <f>EXP(-LN(2)/25)*AA111+(1-EXP(-LN(2)/25))/(LN(2)/25)*Calculateur!V112*Calculateur!X112*VLOOKUP('Données projet'!$B$9,Paramètres!$A$1:$I$88,3,0)*0.475*44/12</f>
        <v>5.8420133153152349</v>
      </c>
      <c r="AB112" s="23">
        <f>EXP(-LN(2)/2)*AB111+(1-EXP(-LN(2)/2))/(LN(2)/2)*V112*Y112*VLOOKUP('Données projet'!$B$9,Paramètres!$A$1:$I$88,3,0)*0.475*44/12</f>
        <v>2.5784268104157114E-8</v>
      </c>
      <c r="AC112" s="24">
        <f t="shared" si="57"/>
        <v>36.879966531662696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projet'!$B$10,Paramètres!$A$1:$I$88,3,0)*VLOOKUP('Données projet'!$B$10,Paramètres!$A$1:$I$88,5,0)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135.19533066605396</v>
      </c>
      <c r="AO112" s="62">
        <f t="shared" si="90"/>
        <v>213.60182977243113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22.243354560836281</v>
      </c>
      <c r="AV112" s="23">
        <f>EXP(-LN(2)/25)*AV111+(1-EXP(-LN(2)/25))/(LN(2)/25)*Calculateur!AQ112*Calculateur!AS112*VLOOKUP('Données projet'!$B$10,Paramètres!$A$1:$I$88,3,0)*0.475*44/12</f>
        <v>4.9798422902360979</v>
      </c>
      <c r="AW112" s="23">
        <f>EXP(-LN(2)/2)*AW111+(1-EXP(-LN(2)/2))/(LN(2)/2)*AQ112*AT112*VLOOKUP('Données projet'!$B$10,Paramètres!$A$1:$I$88,3,0)*0.475*44/12</f>
        <v>2.7034889942086334E-8</v>
      </c>
      <c r="AX112" s="23">
        <f t="shared" si="60"/>
        <v>27.22319687810727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1.7053025658242404E-13</v>
      </c>
      <c r="BE112" s="14">
        <f>BD112*VLOOKUP('Données projet'!$B$11,Paramètres!$A$1:$I$88,3,0)*VLOOKUP('Données projet'!$B$11,Paramètres!$A$1:$I$88,5,0)</f>
        <v>1.0197709343628959E-13</v>
      </c>
      <c r="BF112" s="14">
        <f t="shared" si="91"/>
        <v>1.5284983994279675E-12</v>
      </c>
      <c r="BG112" s="22">
        <f t="shared" si="61"/>
        <v>2.839744816738581E-12</v>
      </c>
      <c r="BH112" s="62">
        <f t="shared" si="62"/>
        <v>293.33333333333616</v>
      </c>
      <c r="BI112" s="62">
        <f ca="1">AVERAGE(OFFSET($BH$3,0,0,'Données projet'!$E$11+1,1))-AVERAGE(OFFSET($H$3,0,0,'Données projet'!$E$11+1,1))</f>
        <v>258.1884172762135</v>
      </c>
      <c r="BJ112" s="62">
        <f t="shared" si="92"/>
        <v>356.36714671797864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41.677672094137414</v>
      </c>
      <c r="BQ112" s="23">
        <f>EXP(-LN(2)/25)*BQ111+(1-EXP(-LN(2)/25))/(LN(2)/25)*Calculateur!BL112*Calculateur!BN112*VLOOKUP('Données projet'!$B$11,Paramètres!$A$1:$I$88,3,0)*0.475*44/12</f>
        <v>8.3809844911987224</v>
      </c>
      <c r="BR112" s="23">
        <f>EXP(-LN(2)/2)*BR111+(1-EXP(-LN(2)/2))/(LN(2)/2)*BL112*BO112*VLOOKUP('Données projet'!$B$11,Paramètres!$A$1:$I$88,3,0)*0.475*44/12</f>
        <v>3.4493044530901621E-8</v>
      </c>
      <c r="BS112" s="24">
        <f t="shared" si="63"/>
        <v>50.058656619829179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projet'!$B$12,Paramètres!$A$1:$I$88,3,0)*VLOOKUP('Données projet'!$B$12,Paramètres!$A$1:$I$88,5,0)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201.94015973767443</v>
      </c>
      <c r="CE112" s="62">
        <f t="shared" si="94"/>
        <v>287.12228849146032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31.037953190563194</v>
      </c>
      <c r="CL112" s="23">
        <f>EXP(-LN(2)/25)*CL111+(1-EXP(-LN(2)/25))/(LN(2)/25)*Calculateur!CG112*Calculateur!CI112*VLOOKUP('Données projet'!$B$12,Paramètres!$A$1:$I$88,3,0)*0.475*44/12</f>
        <v>5.8420133153152349</v>
      </c>
      <c r="CM112" s="23">
        <f>EXP(-LN(2)/2)*CM111+(1-EXP(-LN(2)/2))/(LN(2)/2)*CG112*CJ112*VLOOKUP('Données projet'!$B$12,Paramètres!$A$1:$I$88,3,0)*0.475*44/12</f>
        <v>2.5784268104157114E-8</v>
      </c>
      <c r="CN112" s="24">
        <f t="shared" si="66"/>
        <v>36.879966531662696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projet'!$B$9,Paramètres!$A$1:$I$88,3,0)*VLOOKUP('Données projet'!$B$9,Paramètres!$A$1:$I$88,5,0)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201.94015973767443</v>
      </c>
      <c r="T113" s="62">
        <f t="shared" si="88"/>
        <v>287.12228849146032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30.429317859778386</v>
      </c>
      <c r="AA113" s="23">
        <f>EXP(-LN(2)/25)*AA112+(1-EXP(-LN(2)/25))/(LN(2)/25)*Calculateur!V113*Calculateur!X113*VLOOKUP('Données projet'!$B$9,Paramètres!$A$1:$I$88,3,0)*0.475*44/12</f>
        <v>5.6822631539898119</v>
      </c>
      <c r="AB113" s="23">
        <f>EXP(-LN(2)/2)*AB112+(1-EXP(-LN(2)/2))/(LN(2)/2)*V113*Y113*VLOOKUP('Données projet'!$B$9,Paramètres!$A$1:$I$88,3,0)*0.475*44/12</f>
        <v>1.8232230824381501E-8</v>
      </c>
      <c r="AC113" s="24">
        <f t="shared" si="57"/>
        <v>36.11158103200043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projet'!$B$10,Paramètres!$A$1:$I$88,3,0)*VLOOKUP('Données projet'!$B$10,Paramètres!$A$1:$I$88,5,0)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135.19533066605396</v>
      </c>
      <c r="AO113" s="62">
        <f t="shared" si="90"/>
        <v>213.60182977243113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21.807175945004921</v>
      </c>
      <c r="AV113" s="23">
        <f>EXP(-LN(2)/25)*AV112+(1-EXP(-LN(2)/25))/(LN(2)/25)*Calculateur!AQ113*Calculateur!AS113*VLOOKUP('Données projet'!$B$10,Paramètres!$A$1:$I$88,3,0)*0.475*44/12</f>
        <v>4.8436682409310672</v>
      </c>
      <c r="AW113" s="23">
        <f>EXP(-LN(2)/2)*AW112+(1-EXP(-LN(2)/2))/(LN(2)/2)*AQ113*AT113*VLOOKUP('Données projet'!$B$10,Paramètres!$A$1:$I$88,3,0)*0.475*44/12</f>
        <v>1.9116554006681236E-8</v>
      </c>
      <c r="AX113" s="23">
        <f t="shared" si="60"/>
        <v>26.650844205052543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1.7053025658242404E-13</v>
      </c>
      <c r="BE113" s="14">
        <f>BD113*VLOOKUP('Données projet'!$B$11,Paramètres!$A$1:$I$88,3,0)*VLOOKUP('Données projet'!$B$11,Paramètres!$A$1:$I$88,5,0)</f>
        <v>1.0197709343628959E-13</v>
      </c>
      <c r="BF113" s="14">
        <f t="shared" si="91"/>
        <v>1.5284983994279675E-12</v>
      </c>
      <c r="BG113" s="22">
        <f t="shared" si="61"/>
        <v>2.839744816738581E-12</v>
      </c>
      <c r="BH113" s="62">
        <f t="shared" si="62"/>
        <v>293.33333333333616</v>
      </c>
      <c r="BI113" s="62">
        <f ca="1">AVERAGE(OFFSET($BH$3,0,0,'Données projet'!$E$11+1,1))-AVERAGE(OFFSET($H$3,0,0,'Données projet'!$E$11+1,1))</f>
        <v>258.1884172762135</v>
      </c>
      <c r="BJ113" s="62">
        <f t="shared" si="92"/>
        <v>356.36714671797864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40.860398365241252</v>
      </c>
      <c r="BQ113" s="23">
        <f>EXP(-LN(2)/25)*BQ112+(1-EXP(-LN(2)/25))/(LN(2)/25)*Calculateur!BL113*Calculateur!BN113*VLOOKUP('Données projet'!$B$11,Paramètres!$A$1:$I$88,3,0)*0.475*44/12</f>
        <v>8.1518060295500732</v>
      </c>
      <c r="BR113" s="23">
        <f>EXP(-LN(2)/2)*BR112+(1-EXP(-LN(2)/2))/(LN(2)/2)*BL113*BO113*VLOOKUP('Données projet'!$B$11,Paramètres!$A$1:$I$88,3,0)*0.475*44/12</f>
        <v>2.4390265691570092E-8</v>
      </c>
      <c r="BS113" s="24">
        <f t="shared" si="63"/>
        <v>49.012204419181593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projet'!$B$12,Paramètres!$A$1:$I$88,3,0)*VLOOKUP('Données projet'!$B$12,Paramètres!$A$1:$I$88,5,0)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201.94015973767443</v>
      </c>
      <c r="CE113" s="62">
        <f t="shared" si="94"/>
        <v>287.12228849146032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30.429317859778386</v>
      </c>
      <c r="CL113" s="23">
        <f>EXP(-LN(2)/25)*CL112+(1-EXP(-LN(2)/25))/(LN(2)/25)*Calculateur!CG113*Calculateur!CI113*VLOOKUP('Données projet'!$B$12,Paramètres!$A$1:$I$88,3,0)*0.475*44/12</f>
        <v>5.6822631539898119</v>
      </c>
      <c r="CM113" s="23">
        <f>EXP(-LN(2)/2)*CM112+(1-EXP(-LN(2)/2))/(LN(2)/2)*CG113*CJ113*VLOOKUP('Données projet'!$B$12,Paramètres!$A$1:$I$88,3,0)*0.475*44/12</f>
        <v>1.8232230824381501E-8</v>
      </c>
      <c r="CN113" s="24">
        <f t="shared" si="66"/>
        <v>36.11158103200043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projet'!$B$9,Paramètres!$A$1:$I$88,3,0)*VLOOKUP('Données projet'!$B$9,Paramètres!$A$1:$I$88,5,0)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201.94015973767443</v>
      </c>
      <c r="T114" s="62">
        <f t="shared" si="88"/>
        <v>287.12228849146032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29.832617496599372</v>
      </c>
      <c r="AA114" s="23">
        <f>EXP(-LN(2)/25)*AA113+(1-EXP(-LN(2)/25))/(LN(2)/25)*Calculateur!V114*Calculateur!X114*VLOOKUP('Données projet'!$B$9,Paramètres!$A$1:$I$88,3,0)*0.475*44/12</f>
        <v>5.5268813692267278</v>
      </c>
      <c r="AB114" s="23">
        <f>EXP(-LN(2)/2)*AB113+(1-EXP(-LN(2)/2))/(LN(2)/2)*V114*Y114*VLOOKUP('Données projet'!$B$9,Paramètres!$A$1:$I$88,3,0)*0.475*44/12</f>
        <v>1.2892134052078557E-8</v>
      </c>
      <c r="AC114" s="24">
        <f t="shared" si="57"/>
        <v>35.359498878718234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projet'!$B$10,Paramètres!$A$1:$I$88,3,0)*VLOOKUP('Données projet'!$B$10,Paramètres!$A$1:$I$88,5,0)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135.19533066605396</v>
      </c>
      <c r="AO114" s="62">
        <f t="shared" si="90"/>
        <v>213.60182977243113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21.37955052578733</v>
      </c>
      <c r="AV114" s="23">
        <f>EXP(-LN(2)/25)*AV113+(1-EXP(-LN(2)/25))/(LN(2)/25)*Calculateur!AQ114*Calculateur!AS114*VLOOKUP('Données projet'!$B$10,Paramètres!$A$1:$I$88,3,0)*0.475*44/12</f>
        <v>4.7112178781653649</v>
      </c>
      <c r="AW114" s="23">
        <f>EXP(-LN(2)/2)*AW113+(1-EXP(-LN(2)/2))/(LN(2)/2)*AQ114*AT114*VLOOKUP('Données projet'!$B$10,Paramètres!$A$1:$I$88,3,0)*0.475*44/12</f>
        <v>1.3517444971043167E-8</v>
      </c>
      <c r="AX114" s="23">
        <f t="shared" si="60"/>
        <v>26.090768417470141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1.7053025658242404E-13</v>
      </c>
      <c r="BE114" s="14">
        <f>BD114*VLOOKUP('Données projet'!$B$11,Paramètres!$A$1:$I$88,3,0)*VLOOKUP('Données projet'!$B$11,Paramètres!$A$1:$I$88,5,0)</f>
        <v>1.0197709343628959E-13</v>
      </c>
      <c r="BF114" s="14">
        <f t="shared" si="91"/>
        <v>1.5284983994279675E-12</v>
      </c>
      <c r="BG114" s="22">
        <f t="shared" si="61"/>
        <v>2.839744816738581E-12</v>
      </c>
      <c r="BH114" s="62">
        <f t="shared" si="62"/>
        <v>293.33333333333616</v>
      </c>
      <c r="BI114" s="62">
        <f ca="1">AVERAGE(OFFSET($BH$3,0,0,'Données projet'!$E$11+1,1))-AVERAGE(OFFSET($H$3,0,0,'Données projet'!$E$11+1,1))</f>
        <v>258.1884172762135</v>
      </c>
      <c r="BJ114" s="62">
        <f t="shared" si="92"/>
        <v>356.36714671797864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40.059150875680992</v>
      </c>
      <c r="BQ114" s="23">
        <f>EXP(-LN(2)/25)*BQ113+(1-EXP(-LN(2)/25))/(LN(2)/25)*Calculateur!BL114*Calculateur!BN114*VLOOKUP('Données projet'!$B$11,Paramètres!$A$1:$I$88,3,0)*0.475*44/12</f>
        <v>7.9288944649871782</v>
      </c>
      <c r="BR114" s="23">
        <f>EXP(-LN(2)/2)*BR113+(1-EXP(-LN(2)/2))/(LN(2)/2)*BL114*BO114*VLOOKUP('Données projet'!$B$11,Paramètres!$A$1:$I$88,3,0)*0.475*44/12</f>
        <v>1.724652226545081E-8</v>
      </c>
      <c r="BS114" s="24">
        <f t="shared" si="63"/>
        <v>47.988045357914693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projet'!$B$12,Paramètres!$A$1:$I$88,3,0)*VLOOKUP('Données projet'!$B$12,Paramètres!$A$1:$I$88,5,0)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201.94015973767443</v>
      </c>
      <c r="CE114" s="62">
        <f t="shared" si="94"/>
        <v>287.12228849146032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29.832617496599372</v>
      </c>
      <c r="CL114" s="23">
        <f>EXP(-LN(2)/25)*CL113+(1-EXP(-LN(2)/25))/(LN(2)/25)*Calculateur!CG114*Calculateur!CI114*VLOOKUP('Données projet'!$B$12,Paramètres!$A$1:$I$88,3,0)*0.475*44/12</f>
        <v>5.5268813692267278</v>
      </c>
      <c r="CM114" s="23">
        <f>EXP(-LN(2)/2)*CM113+(1-EXP(-LN(2)/2))/(LN(2)/2)*CG114*CJ114*VLOOKUP('Données projet'!$B$12,Paramètres!$A$1:$I$88,3,0)*0.475*44/12</f>
        <v>1.2892134052078557E-8</v>
      </c>
      <c r="CN114" s="24">
        <f t="shared" si="66"/>
        <v>35.359498878718234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projet'!$B$9,Paramètres!$A$1:$I$88,3,0)*VLOOKUP('Données projet'!$B$9,Paramètres!$A$1:$I$88,5,0)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201.94015973767443</v>
      </c>
      <c r="T115" s="62">
        <f t="shared" si="88"/>
        <v>287.12228849146032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29.247618063591016</v>
      </c>
      <c r="AA115" s="23">
        <f>EXP(-LN(2)/25)*AA114+(1-EXP(-LN(2)/25))/(LN(2)/25)*Calculateur!V115*Calculateur!X115*VLOOKUP('Données projet'!$B$9,Paramètres!$A$1:$I$88,3,0)*0.475*44/12</f>
        <v>5.3757485075391633</v>
      </c>
      <c r="AB115" s="23">
        <f>EXP(-LN(2)/2)*AB114+(1-EXP(-LN(2)/2))/(LN(2)/2)*V115*Y115*VLOOKUP('Données projet'!$B$9,Paramètres!$A$1:$I$88,3,0)*0.475*44/12</f>
        <v>9.1161154121907504E-9</v>
      </c>
      <c r="AC115" s="24">
        <f t="shared" si="57"/>
        <v>34.623366580246291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projet'!$B$10,Paramètres!$A$1:$I$88,3,0)*VLOOKUP('Données projet'!$B$10,Paramètres!$A$1:$I$88,5,0)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135.19533066605396</v>
      </c>
      <c r="AO115" s="62">
        <f t="shared" si="90"/>
        <v>213.60182977243113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20.960310580214845</v>
      </c>
      <c r="AV115" s="23">
        <f>EXP(-LN(2)/25)*AV114+(1-EXP(-LN(2)/25))/(LN(2)/25)*Calculateur!AQ115*Calculateur!AS115*VLOOKUP('Données projet'!$B$10,Paramètres!$A$1:$I$88,3,0)*0.475*44/12</f>
        <v>4.582389377534752</v>
      </c>
      <c r="AW115" s="23">
        <f>EXP(-LN(2)/2)*AW114+(1-EXP(-LN(2)/2))/(LN(2)/2)*AQ115*AT115*VLOOKUP('Données projet'!$B$10,Paramètres!$A$1:$I$88,3,0)*0.475*44/12</f>
        <v>9.5582770033406178E-9</v>
      </c>
      <c r="AX115" s="23">
        <f t="shared" si="60"/>
        <v>25.542699967307875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1.7053025658242404E-13</v>
      </c>
      <c r="BE115" s="14">
        <f>BD115*VLOOKUP('Données projet'!$B$11,Paramètres!$A$1:$I$88,3,0)*VLOOKUP('Données projet'!$B$11,Paramètres!$A$1:$I$88,5,0)</f>
        <v>1.0197709343628959E-13</v>
      </c>
      <c r="BF115" s="14">
        <f t="shared" si="91"/>
        <v>1.5284983994279675E-12</v>
      </c>
      <c r="BG115" s="22">
        <f t="shared" si="61"/>
        <v>2.839744816738581E-12</v>
      </c>
      <c r="BH115" s="62">
        <f t="shared" si="62"/>
        <v>293.33333333333616</v>
      </c>
      <c r="BI115" s="62">
        <f ca="1">AVERAGE(OFFSET($BH$3,0,0,'Données projet'!$E$11+1,1))-AVERAGE(OFFSET($H$3,0,0,'Données projet'!$E$11+1,1))</f>
        <v>258.1884172762135</v>
      </c>
      <c r="BJ115" s="62">
        <f t="shared" si="92"/>
        <v>356.36714671797864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39.273615360678299</v>
      </c>
      <c r="BQ115" s="23">
        <f>EXP(-LN(2)/25)*BQ114+(1-EXP(-LN(2)/25))/(LN(2)/25)*Calculateur!BL115*Calculateur!BN115*VLOOKUP('Données projet'!$B$11,Paramètres!$A$1:$I$88,3,0)*0.475*44/12</f>
        <v>7.712078428879666</v>
      </c>
      <c r="BR115" s="23">
        <f>EXP(-LN(2)/2)*BR114+(1-EXP(-LN(2)/2))/(LN(2)/2)*BL115*BO115*VLOOKUP('Données projet'!$B$11,Paramètres!$A$1:$I$88,3,0)*0.475*44/12</f>
        <v>1.2195132845785046E-8</v>
      </c>
      <c r="BS115" s="24">
        <f t="shared" si="63"/>
        <v>46.985693801753094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projet'!$B$12,Paramètres!$A$1:$I$88,3,0)*VLOOKUP('Données projet'!$B$12,Paramètres!$A$1:$I$88,5,0)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201.94015973767443</v>
      </c>
      <c r="CE115" s="62">
        <f t="shared" si="94"/>
        <v>287.12228849146032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29.247618063591016</v>
      </c>
      <c r="CL115" s="23">
        <f>EXP(-LN(2)/25)*CL114+(1-EXP(-LN(2)/25))/(LN(2)/25)*Calculateur!CG115*Calculateur!CI115*VLOOKUP('Données projet'!$B$12,Paramètres!$A$1:$I$88,3,0)*0.475*44/12</f>
        <v>5.3757485075391633</v>
      </c>
      <c r="CM115" s="23">
        <f>EXP(-LN(2)/2)*CM114+(1-EXP(-LN(2)/2))/(LN(2)/2)*CG115*CJ115*VLOOKUP('Données projet'!$B$12,Paramètres!$A$1:$I$88,3,0)*0.475*44/12</f>
        <v>9.1161154121907504E-9</v>
      </c>
      <c r="CN115" s="24">
        <f t="shared" si="66"/>
        <v>34.623366580246291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projet'!$B$9,Paramètres!$A$1:$I$88,3,0)*VLOOKUP('Données projet'!$B$9,Paramètres!$A$1:$I$88,5,0)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201.94015973767443</v>
      </c>
      <c r="T116" s="62">
        <f t="shared" si="88"/>
        <v>287.12228849146032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28.67409011264953</v>
      </c>
      <c r="AA116" s="23">
        <f>EXP(-LN(2)/25)*AA115+(1-EXP(-LN(2)/25))/(LN(2)/25)*Calculateur!V116*Calculateur!X116*VLOOKUP('Données projet'!$B$9,Paramètres!$A$1:$I$88,3,0)*0.475*44/12</f>
        <v>5.2287483819021769</v>
      </c>
      <c r="AB116" s="23">
        <f>EXP(-LN(2)/2)*AB115+(1-EXP(-LN(2)/2))/(LN(2)/2)*V116*Y116*VLOOKUP('Données projet'!$B$9,Paramètres!$A$1:$I$88,3,0)*0.475*44/12</f>
        <v>6.4460670260392785E-9</v>
      </c>
      <c r="AC116" s="24">
        <f t="shared" si="57"/>
        <v>33.902838500997774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projet'!$B$10,Paramètres!$A$1:$I$88,3,0)*VLOOKUP('Données projet'!$B$10,Paramètres!$A$1:$I$88,5,0)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135.19533066605396</v>
      </c>
      <c r="AO116" s="62">
        <f t="shared" si="90"/>
        <v>213.60182977243113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20.54929167426392</v>
      </c>
      <c r="AV116" s="23">
        <f>EXP(-LN(2)/25)*AV115+(1-EXP(-LN(2)/25))/(LN(2)/25)*Calculateur!AQ116*Calculateur!AS116*VLOOKUP('Données projet'!$B$10,Paramètres!$A$1:$I$88,3,0)*0.475*44/12</f>
        <v>4.4570836990286802</v>
      </c>
      <c r="AW116" s="23">
        <f>EXP(-LN(2)/2)*AW115+(1-EXP(-LN(2)/2))/(LN(2)/2)*AQ116*AT116*VLOOKUP('Données projet'!$B$10,Paramètres!$A$1:$I$88,3,0)*0.475*44/12</f>
        <v>6.7587224855215835E-9</v>
      </c>
      <c r="AX116" s="23">
        <f t="shared" si="60"/>
        <v>25.00637538005132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1.7053025658242404E-13</v>
      </c>
      <c r="BE116" s="14">
        <f>BD116*VLOOKUP('Données projet'!$B$11,Paramètres!$A$1:$I$88,3,0)*VLOOKUP('Données projet'!$B$11,Paramètres!$A$1:$I$88,5,0)</f>
        <v>1.0197709343628959E-13</v>
      </c>
      <c r="BF116" s="14">
        <f t="shared" si="91"/>
        <v>1.5284983994279675E-12</v>
      </c>
      <c r="BG116" s="22">
        <f t="shared" si="61"/>
        <v>2.839744816738581E-12</v>
      </c>
      <c r="BH116" s="62">
        <f t="shared" si="62"/>
        <v>293.33333333333616</v>
      </c>
      <c r="BI116" s="62">
        <f ca="1">AVERAGE(OFFSET($BH$3,0,0,'Données projet'!$E$11+1,1))-AVERAGE(OFFSET($H$3,0,0,'Données projet'!$E$11+1,1))</f>
        <v>258.1884172762135</v>
      </c>
      <c r="BJ116" s="62">
        <f t="shared" si="92"/>
        <v>356.36714671797864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38.503483717995451</v>
      </c>
      <c r="BQ116" s="23">
        <f>EXP(-LN(2)/25)*BQ115+(1-EXP(-LN(2)/25))/(LN(2)/25)*Calculateur!BL116*Calculateur!BN116*VLOOKUP('Données projet'!$B$11,Paramètres!$A$1:$I$88,3,0)*0.475*44/12</f>
        <v>7.5011912386813728</v>
      </c>
      <c r="BR116" s="23">
        <f>EXP(-LN(2)/2)*BR115+(1-EXP(-LN(2)/2))/(LN(2)/2)*BL116*BO116*VLOOKUP('Données projet'!$B$11,Paramètres!$A$1:$I$88,3,0)*0.475*44/12</f>
        <v>8.6232611327254052E-9</v>
      </c>
      <c r="BS116" s="24">
        <f t="shared" si="63"/>
        <v>46.004674965300083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projet'!$B$12,Paramètres!$A$1:$I$88,3,0)*VLOOKUP('Données projet'!$B$12,Paramètres!$A$1:$I$88,5,0)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201.94015973767443</v>
      </c>
      <c r="CE116" s="62">
        <f t="shared" si="94"/>
        <v>287.12228849146032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28.67409011264953</v>
      </c>
      <c r="CL116" s="23">
        <f>EXP(-LN(2)/25)*CL115+(1-EXP(-LN(2)/25))/(LN(2)/25)*Calculateur!CG116*Calculateur!CI116*VLOOKUP('Données projet'!$B$12,Paramètres!$A$1:$I$88,3,0)*0.475*44/12</f>
        <v>5.2287483819021769</v>
      </c>
      <c r="CM116" s="23">
        <f>EXP(-LN(2)/2)*CM115+(1-EXP(-LN(2)/2))/(LN(2)/2)*CG116*CJ116*VLOOKUP('Données projet'!$B$12,Paramètres!$A$1:$I$88,3,0)*0.475*44/12</f>
        <v>6.4460670260392785E-9</v>
      </c>
      <c r="CN116" s="24">
        <f t="shared" si="66"/>
        <v>33.902838500997774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projet'!$B$9,Paramètres!$A$1:$I$88,3,0)*VLOOKUP('Données projet'!$B$9,Paramètres!$A$1:$I$88,5,0)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201.94015973767443</v>
      </c>
      <c r="T117" s="62">
        <f t="shared" si="88"/>
        <v>287.12228849146032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28.111808695008499</v>
      </c>
      <c r="AA117" s="23">
        <f>EXP(-LN(2)/25)*AA116+(1-EXP(-LN(2)/25))/(LN(2)/25)*Calculateur!V117*Calculateur!X117*VLOOKUP('Données projet'!$B$9,Paramètres!$A$1:$I$88,3,0)*0.475*44/12</f>
        <v>5.0857679824311353</v>
      </c>
      <c r="AB117" s="23">
        <f>EXP(-LN(2)/2)*AB116+(1-EXP(-LN(2)/2))/(LN(2)/2)*V117*Y117*VLOOKUP('Données projet'!$B$9,Paramètres!$A$1:$I$88,3,0)*0.475*44/12</f>
        <v>4.5580577060953752E-9</v>
      </c>
      <c r="AC117" s="24">
        <f t="shared" si="57"/>
        <v>33.197576681997695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projet'!$B$10,Paramètres!$A$1:$I$88,3,0)*VLOOKUP('Données projet'!$B$10,Paramètres!$A$1:$I$88,5,0)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135.19533066605396</v>
      </c>
      <c r="AO117" s="62">
        <f t="shared" si="90"/>
        <v>213.60182977243113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20.146332598361912</v>
      </c>
      <c r="AV117" s="23">
        <f>EXP(-LN(2)/25)*AV116+(1-EXP(-LN(2)/25))/(LN(2)/25)*Calculateur!AQ117*Calculateur!AS117*VLOOKUP('Données projet'!$B$10,Paramètres!$A$1:$I$88,3,0)*0.475*44/12</f>
        <v>4.3352045108908959</v>
      </c>
      <c r="AW117" s="23">
        <f>EXP(-LN(2)/2)*AW116+(1-EXP(-LN(2)/2))/(LN(2)/2)*AQ117*AT117*VLOOKUP('Données projet'!$B$10,Paramètres!$A$1:$I$88,3,0)*0.475*44/12</f>
        <v>4.7791385016703089E-9</v>
      </c>
      <c r="AX117" s="23">
        <f t="shared" si="60"/>
        <v>24.481537114031948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1.7053025658242404E-13</v>
      </c>
      <c r="BE117" s="14">
        <f>BD117*VLOOKUP('Données projet'!$B$11,Paramètres!$A$1:$I$88,3,0)*VLOOKUP('Données projet'!$B$11,Paramètres!$A$1:$I$88,5,0)</f>
        <v>1.0197709343628959E-13</v>
      </c>
      <c r="BF117" s="14">
        <f t="shared" si="91"/>
        <v>1.5284983994279675E-12</v>
      </c>
      <c r="BG117" s="22">
        <f t="shared" si="61"/>
        <v>2.839744816738581E-12</v>
      </c>
      <c r="BH117" s="62">
        <f t="shared" si="62"/>
        <v>293.33333333333616</v>
      </c>
      <c r="BI117" s="62">
        <f ca="1">AVERAGE(OFFSET($BH$3,0,0,'Données projet'!$E$11+1,1))-AVERAGE(OFFSET($H$3,0,0,'Données projet'!$E$11+1,1))</f>
        <v>258.1884172762135</v>
      </c>
      <c r="BJ117" s="62">
        <f t="shared" si="92"/>
        <v>356.36714671797864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37.748453887091699</v>
      </c>
      <c r="BQ117" s="23">
        <f>EXP(-LN(2)/25)*BQ116+(1-EXP(-LN(2)/25))/(LN(2)/25)*Calculateur!BL117*Calculateur!BN117*VLOOKUP('Données projet'!$B$11,Paramètres!$A$1:$I$88,3,0)*0.475*44/12</f>
        <v>7.2960707697891278</v>
      </c>
      <c r="BR117" s="23">
        <f>EXP(-LN(2)/2)*BR116+(1-EXP(-LN(2)/2))/(LN(2)/2)*BL117*BO117*VLOOKUP('Données projet'!$B$11,Paramètres!$A$1:$I$88,3,0)*0.475*44/12</f>
        <v>6.0975664228925231E-9</v>
      </c>
      <c r="BS117" s="24">
        <f t="shared" si="63"/>
        <v>45.04452466297839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projet'!$B$12,Paramètres!$A$1:$I$88,3,0)*VLOOKUP('Données projet'!$B$12,Paramètres!$A$1:$I$88,5,0)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201.94015973767443</v>
      </c>
      <c r="CE117" s="62">
        <f t="shared" si="94"/>
        <v>287.12228849146032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28.111808695008499</v>
      </c>
      <c r="CL117" s="23">
        <f>EXP(-LN(2)/25)*CL116+(1-EXP(-LN(2)/25))/(LN(2)/25)*Calculateur!CG117*Calculateur!CI117*VLOOKUP('Données projet'!$B$12,Paramètres!$A$1:$I$88,3,0)*0.475*44/12</f>
        <v>5.0857679824311353</v>
      </c>
      <c r="CM117" s="23">
        <f>EXP(-LN(2)/2)*CM116+(1-EXP(-LN(2)/2))/(LN(2)/2)*CG117*CJ117*VLOOKUP('Données projet'!$B$12,Paramètres!$A$1:$I$88,3,0)*0.475*44/12</f>
        <v>4.5580577060953752E-9</v>
      </c>
      <c r="CN117" s="24">
        <f t="shared" si="66"/>
        <v>33.197576681997695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projet'!$B$9,Paramètres!$A$1:$I$88,3,0)*VLOOKUP('Données projet'!$B$9,Paramètres!$A$1:$I$88,5,0)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201.94015973767443</v>
      </c>
      <c r="T118" s="62">
        <f t="shared" si="88"/>
        <v>287.12228849146032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27.56055327300961</v>
      </c>
      <c r="AA118" s="23">
        <f>EXP(-LN(2)/25)*AA117+(1-EXP(-LN(2)/25))/(LN(2)/25)*Calculateur!V118*Calculateur!X118*VLOOKUP('Données projet'!$B$9,Paramètres!$A$1:$I$88,3,0)*0.475*44/12</f>
        <v>4.9466973895026412</v>
      </c>
      <c r="AB118" s="23">
        <f>EXP(-LN(2)/2)*AB117+(1-EXP(-LN(2)/2))/(LN(2)/2)*V118*Y118*VLOOKUP('Données projet'!$B$9,Paramètres!$A$1:$I$88,3,0)*0.475*44/12</f>
        <v>3.2230335130196393E-9</v>
      </c>
      <c r="AC118" s="24">
        <f t="shared" si="57"/>
        <v>32.507250665735285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projet'!$B$10,Paramètres!$A$1:$I$88,3,0)*VLOOKUP('Données projet'!$B$10,Paramètres!$A$1:$I$88,5,0)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135.19533066605396</v>
      </c>
      <c r="AO118" s="62">
        <f t="shared" si="90"/>
        <v>213.60182977243113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19.751275304157577</v>
      </c>
      <c r="AV118" s="23">
        <f>EXP(-LN(2)/25)*AV117+(1-EXP(-LN(2)/25))/(LN(2)/25)*Calculateur!AQ118*Calculateur!AS118*VLOOKUP('Données projet'!$B$10,Paramètres!$A$1:$I$88,3,0)*0.475*44/12</f>
        <v>4.2166581155620877</v>
      </c>
      <c r="AW118" s="23">
        <f>EXP(-LN(2)/2)*AW117+(1-EXP(-LN(2)/2))/(LN(2)/2)*AQ118*AT118*VLOOKUP('Données projet'!$B$10,Paramètres!$A$1:$I$88,3,0)*0.475*44/12</f>
        <v>3.3793612427607918E-9</v>
      </c>
      <c r="AX118" s="23">
        <f t="shared" si="60"/>
        <v>23.967933423099026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1.7053025658242404E-13</v>
      </c>
      <c r="BE118" s="14">
        <f>BD118*VLOOKUP('Données projet'!$B$11,Paramètres!$A$1:$I$88,3,0)*VLOOKUP('Données projet'!$B$11,Paramètres!$A$1:$I$88,5,0)</f>
        <v>1.0197709343628959E-13</v>
      </c>
      <c r="BF118" s="14">
        <f t="shared" si="91"/>
        <v>1.5284983994279675E-12</v>
      </c>
      <c r="BG118" s="22">
        <f t="shared" si="61"/>
        <v>2.839744816738581E-12</v>
      </c>
      <c r="BH118" s="62">
        <f t="shared" si="62"/>
        <v>293.33333333333616</v>
      </c>
      <c r="BI118" s="62">
        <f ca="1">AVERAGE(OFFSET($BH$3,0,0,'Données projet'!$E$11+1,1))-AVERAGE(OFFSET($H$3,0,0,'Données projet'!$E$11+1,1))</f>
        <v>258.1884172762135</v>
      </c>
      <c r="BJ118" s="62">
        <f t="shared" si="92"/>
        <v>356.36714671797864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37.008229730649241</v>
      </c>
      <c r="BQ118" s="23">
        <f>EXP(-LN(2)/25)*BQ117+(1-EXP(-LN(2)/25))/(LN(2)/25)*Calculateur!BL118*Calculateur!BN118*VLOOKUP('Données projet'!$B$11,Paramètres!$A$1:$I$88,3,0)*0.475*44/12</f>
        <v>7.0965593309055581</v>
      </c>
      <c r="BR118" s="23">
        <f>EXP(-LN(2)/2)*BR117+(1-EXP(-LN(2)/2))/(LN(2)/2)*BL118*BO118*VLOOKUP('Données projet'!$B$11,Paramètres!$A$1:$I$88,3,0)*0.475*44/12</f>
        <v>4.3116305663627026E-9</v>
      </c>
      <c r="BS118" s="24">
        <f t="shared" si="63"/>
        <v>44.104789065866427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projet'!$B$12,Paramètres!$A$1:$I$88,3,0)*VLOOKUP('Données projet'!$B$12,Paramètres!$A$1:$I$88,5,0)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201.94015973767443</v>
      </c>
      <c r="CE118" s="62">
        <f t="shared" si="94"/>
        <v>287.12228849146032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27.56055327300961</v>
      </c>
      <c r="CL118" s="23">
        <f>EXP(-LN(2)/25)*CL117+(1-EXP(-LN(2)/25))/(LN(2)/25)*Calculateur!CG118*Calculateur!CI118*VLOOKUP('Données projet'!$B$12,Paramètres!$A$1:$I$88,3,0)*0.475*44/12</f>
        <v>4.9466973895026412</v>
      </c>
      <c r="CM118" s="23">
        <f>EXP(-LN(2)/2)*CM117+(1-EXP(-LN(2)/2))/(LN(2)/2)*CG118*CJ118*VLOOKUP('Données projet'!$B$12,Paramètres!$A$1:$I$88,3,0)*0.475*44/12</f>
        <v>3.2230335130196393E-9</v>
      </c>
      <c r="CN118" s="24">
        <f t="shared" si="66"/>
        <v>32.507250665735285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201.94015973767443</v>
      </c>
      <c r="T119" s="62">
        <f t="shared" si="88"/>
        <v>287.12228849146032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27.020107633603512</v>
      </c>
      <c r="AA119" s="23">
        <f>EXP(-LN(2)/25)*AA118+(1-EXP(-LN(2)/25))/(LN(2)/25)*Calculateur!V119*Calculateur!X119*VLOOKUP('Données projet'!$B$9,Paramètres!$A$1:$I$88,3,0)*0.475*44/12</f>
        <v>4.8114296892511819</v>
      </c>
      <c r="AB119" s="23">
        <f>EXP(-LN(2)/2)*AB118+(1-EXP(-LN(2)/2))/(LN(2)/2)*V119*Y119*VLOOKUP('Données projet'!$B$9,Paramètres!$A$1:$I$88,3,0)*0.475*44/12</f>
        <v>2.2790288530476876E-9</v>
      </c>
      <c r="AC119" s="24">
        <f t="shared" si="57"/>
        <v>31.831537325133723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projet'!$B$10,Paramètres!$A$1:$I$88,3,0)*VLOOKUP('Données projet'!$B$10,Paramètres!$A$1:$I$88,5,0)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135.19533066605396</v>
      </c>
      <c r="AO119" s="62">
        <f t="shared" si="90"/>
        <v>213.60182977243113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19.363964842531431</v>
      </c>
      <c r="AV119" s="23">
        <f>EXP(-LN(2)/25)*AV118+(1-EXP(-LN(2)/25))/(LN(2)/25)*Calculateur!AQ119*Calculateur!AS119*VLOOKUP('Données projet'!$B$10,Paramètres!$A$1:$I$88,3,0)*0.475*44/12</f>
        <v>4.1013533776476292</v>
      </c>
      <c r="AW119" s="23">
        <f>EXP(-LN(2)/2)*AW118+(1-EXP(-LN(2)/2))/(LN(2)/2)*AQ119*AT119*VLOOKUP('Données projet'!$B$10,Paramètres!$A$1:$I$88,3,0)*0.475*44/12</f>
        <v>2.3895692508351544E-9</v>
      </c>
      <c r="AX119" s="23">
        <f t="shared" si="60"/>
        <v>23.46531822256863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1.7053025658242404E-13</v>
      </c>
      <c r="BE119" s="14">
        <f>BD119*VLOOKUP('Données projet'!$B$11,Paramètres!$A$1:$I$88,3,0)*VLOOKUP('Données projet'!$B$11,Paramètres!$A$1:$I$88,5,0)</f>
        <v>1.0197709343628959E-13</v>
      </c>
      <c r="BF119" s="14">
        <f t="shared" si="91"/>
        <v>1.5284983994279675E-12</v>
      </c>
      <c r="BG119" s="22">
        <f t="shared" si="61"/>
        <v>2.839744816738581E-12</v>
      </c>
      <c r="BH119" s="62">
        <f t="shared" si="62"/>
        <v>293.33333333333616</v>
      </c>
      <c r="BI119" s="62">
        <f ca="1">AVERAGE(OFFSET($BH$3,0,0,'Données projet'!$E$11+1,1))-AVERAGE(OFFSET($H$3,0,0,'Données projet'!$E$11+1,1))</f>
        <v>258.1884172762135</v>
      </c>
      <c r="BJ119" s="62">
        <f t="shared" si="92"/>
        <v>356.36714671797864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36.282520918422463</v>
      </c>
      <c r="BQ119" s="23">
        <f>EXP(-LN(2)/25)*BQ118+(1-EXP(-LN(2)/25))/(LN(2)/25)*Calculateur!BL119*Calculateur!BN119*VLOOKUP('Données projet'!$B$11,Paramètres!$A$1:$I$88,3,0)*0.475*44/12</f>
        <v>6.90250354281011</v>
      </c>
      <c r="BR119" s="23">
        <f>EXP(-LN(2)/2)*BR118+(1-EXP(-LN(2)/2))/(LN(2)/2)*BL119*BO119*VLOOKUP('Données projet'!$B$11,Paramètres!$A$1:$I$88,3,0)*0.475*44/12</f>
        <v>3.0487832114462615E-9</v>
      </c>
      <c r="BS119" s="24">
        <f t="shared" si="63"/>
        <v>43.185024464281355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projet'!$B$12,Paramètres!$A$1:$I$88,3,0)*VLOOKUP('Données projet'!$B$12,Paramètres!$A$1:$I$88,5,0)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201.94015973767443</v>
      </c>
      <c r="CE119" s="62">
        <f t="shared" si="94"/>
        <v>287.12228849146032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27.020107633603512</v>
      </c>
      <c r="CL119" s="23">
        <f>EXP(-LN(2)/25)*CL118+(1-EXP(-LN(2)/25))/(LN(2)/25)*Calculateur!CG119*Calculateur!CI119*VLOOKUP('Données projet'!$B$12,Paramètres!$A$1:$I$88,3,0)*0.475*44/12</f>
        <v>4.8114296892511819</v>
      </c>
      <c r="CM119" s="23">
        <f>EXP(-LN(2)/2)*CM118+(1-EXP(-LN(2)/2))/(LN(2)/2)*CG119*CJ119*VLOOKUP('Données projet'!$B$12,Paramètres!$A$1:$I$88,3,0)*0.475*44/12</f>
        <v>2.2790288530476876E-9</v>
      </c>
      <c r="CN119" s="24">
        <f t="shared" si="66"/>
        <v>31.831537325133723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201.94015973767443</v>
      </c>
      <c r="T120" s="62">
        <f t="shared" si="88"/>
        <v>287.12228849146032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26.490259803546877</v>
      </c>
      <c r="AA120" s="23">
        <f>EXP(-LN(2)/25)*AA119+(1-EXP(-LN(2)/25))/(LN(2)/25)*Calculateur!V120*Calculateur!X120*VLOOKUP('Données projet'!$B$9,Paramètres!$A$1:$I$88,3,0)*0.475*44/12</f>
        <v>4.6798608913765172</v>
      </c>
      <c r="AB120" s="23">
        <f>EXP(-LN(2)/2)*AB119+(1-EXP(-LN(2)/2))/(LN(2)/2)*V120*Y120*VLOOKUP('Données projet'!$B$9,Paramètres!$A$1:$I$88,3,0)*0.475*44/12</f>
        <v>1.6115167565098196E-9</v>
      </c>
      <c r="AC120" s="24">
        <f t="shared" si="57"/>
        <v>31.170120696534912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projet'!$B$10,Paramètres!$A$1:$I$88,3,0)*VLOOKUP('Données projet'!$B$10,Paramètres!$A$1:$I$88,5,0)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135.19533066605396</v>
      </c>
      <c r="AO120" s="62">
        <f t="shared" si="90"/>
        <v>213.60182977243113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18.98424930282172</v>
      </c>
      <c r="AV120" s="23">
        <f>EXP(-LN(2)/25)*AV119+(1-EXP(-LN(2)/25))/(LN(2)/25)*Calculateur!AQ120*Calculateur!AS120*VLOOKUP('Données projet'!$B$10,Paramètres!$A$1:$I$88,3,0)*0.475*44/12</f>
        <v>3.9892016538550545</v>
      </c>
      <c r="AW120" s="23">
        <f>EXP(-LN(2)/2)*AW119+(1-EXP(-LN(2)/2))/(LN(2)/2)*AQ120*AT120*VLOOKUP('Données projet'!$B$10,Paramètres!$A$1:$I$88,3,0)*0.475*44/12</f>
        <v>1.6896806213803959E-9</v>
      </c>
      <c r="AX120" s="23">
        <f t="shared" si="60"/>
        <v>22.973450958366456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1.7053025658242404E-13</v>
      </c>
      <c r="BE120" s="14">
        <f>BD120*VLOOKUP('Données projet'!$B$11,Paramètres!$A$1:$I$88,3,0)*VLOOKUP('Données projet'!$B$11,Paramètres!$A$1:$I$88,5,0)</f>
        <v>1.0197709343628959E-13</v>
      </c>
      <c r="BF120" s="14">
        <f t="shared" si="91"/>
        <v>1.5284983994279675E-12</v>
      </c>
      <c r="BG120" s="22">
        <f t="shared" si="61"/>
        <v>2.839744816738581E-12</v>
      </c>
      <c r="BH120" s="62">
        <f t="shared" si="62"/>
        <v>293.33333333333616</v>
      </c>
      <c r="BI120" s="62">
        <f ca="1">AVERAGE(OFFSET($BH$3,0,0,'Données projet'!$E$11+1,1))-AVERAGE(OFFSET($H$3,0,0,'Données projet'!$E$11+1,1))</f>
        <v>258.1884172762135</v>
      </c>
      <c r="BJ120" s="62">
        <f t="shared" si="92"/>
        <v>356.36714671797864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35.571042813364791</v>
      </c>
      <c r="BQ120" s="23">
        <f>EXP(-LN(2)/25)*BQ119+(1-EXP(-LN(2)/25))/(LN(2)/25)*Calculateur!BL120*Calculateur!BN120*VLOOKUP('Données projet'!$B$11,Paramètres!$A$1:$I$88,3,0)*0.475*44/12</f>
        <v>6.7137542204450824</v>
      </c>
      <c r="BR120" s="23">
        <f>EXP(-LN(2)/2)*BR119+(1-EXP(-LN(2)/2))/(LN(2)/2)*BL120*BO120*VLOOKUP('Données projet'!$B$11,Paramètres!$A$1:$I$88,3,0)*0.475*44/12</f>
        <v>2.1558152831813513E-9</v>
      </c>
      <c r="BS120" s="24">
        <f t="shared" si="63"/>
        <v>42.284797035965688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projet'!$B$12,Paramètres!$A$1:$I$88,3,0)*VLOOKUP('Données projet'!$B$12,Paramètres!$A$1:$I$88,5,0)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201.94015973767443</v>
      </c>
      <c r="CE120" s="62">
        <f t="shared" si="94"/>
        <v>287.12228849146032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26.490259803546877</v>
      </c>
      <c r="CL120" s="23">
        <f>EXP(-LN(2)/25)*CL119+(1-EXP(-LN(2)/25))/(LN(2)/25)*Calculateur!CG120*Calculateur!CI120*VLOOKUP('Données projet'!$B$12,Paramètres!$A$1:$I$88,3,0)*0.475*44/12</f>
        <v>4.6798608913765172</v>
      </c>
      <c r="CM120" s="23">
        <f>EXP(-LN(2)/2)*CM119+(1-EXP(-LN(2)/2))/(LN(2)/2)*CG120*CJ120*VLOOKUP('Données projet'!$B$12,Paramètres!$A$1:$I$88,3,0)*0.475*44/12</f>
        <v>1.6115167565098196E-9</v>
      </c>
      <c r="CN120" s="24">
        <f t="shared" si="66"/>
        <v>31.170120696534912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201.94015973767443</v>
      </c>
      <c r="T121" s="62">
        <f t="shared" si="88"/>
        <v>287.12228849146032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25.970801966262385</v>
      </c>
      <c r="AA121" s="23">
        <f>EXP(-LN(2)/25)*AA120+(1-EXP(-LN(2)/25))/(LN(2)/25)*Calculateur!V121*Calculateur!X121*VLOOKUP('Données projet'!$B$9,Paramètres!$A$1:$I$88,3,0)*0.475*44/12</f>
        <v>4.5518898491986377</v>
      </c>
      <c r="AB121" s="23">
        <f>EXP(-LN(2)/2)*AB120+(1-EXP(-LN(2)/2))/(LN(2)/2)*V121*Y121*VLOOKUP('Données projet'!$B$9,Paramètres!$A$1:$I$88,3,0)*0.475*44/12</f>
        <v>1.1395144265238438E-9</v>
      </c>
      <c r="AC121" s="24">
        <f t="shared" si="57"/>
        <v>30.522691816600538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projet'!$B$10,Paramètres!$A$1:$I$88,3,0)*VLOOKUP('Données projet'!$B$10,Paramètres!$A$1:$I$88,5,0)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135.19533066605396</v>
      </c>
      <c r="AO121" s="62">
        <f t="shared" si="90"/>
        <v>213.60182977243113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18.611979753242103</v>
      </c>
      <c r="AV121" s="23">
        <f>EXP(-LN(2)/25)*AV120+(1-EXP(-LN(2)/25))/(LN(2)/25)*Calculateur!AQ121*Calculateur!AS121*VLOOKUP('Données projet'!$B$10,Paramètres!$A$1:$I$88,3,0)*0.475*44/12</f>
        <v>3.8801167248473907</v>
      </c>
      <c r="AW121" s="23">
        <f>EXP(-LN(2)/2)*AW120+(1-EXP(-LN(2)/2))/(LN(2)/2)*AQ121*AT121*VLOOKUP('Données projet'!$B$10,Paramètres!$A$1:$I$88,3,0)*0.475*44/12</f>
        <v>1.1947846254175772E-9</v>
      </c>
      <c r="AX121" s="23">
        <f t="shared" si="60"/>
        <v>22.492096479284278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1.7053025658242404E-13</v>
      </c>
      <c r="BE121" s="14">
        <f>BD121*VLOOKUP('Données projet'!$B$11,Paramètres!$A$1:$I$88,3,0)*VLOOKUP('Données projet'!$B$11,Paramètres!$A$1:$I$88,5,0)</f>
        <v>1.0197709343628959E-13</v>
      </c>
      <c r="BF121" s="14">
        <f t="shared" si="91"/>
        <v>1.5284983994279675E-12</v>
      </c>
      <c r="BG121" s="22">
        <f t="shared" si="61"/>
        <v>2.839744816738581E-12</v>
      </c>
      <c r="BH121" s="62">
        <f t="shared" si="62"/>
        <v>293.33333333333616</v>
      </c>
      <c r="BI121" s="62">
        <f ca="1">AVERAGE(OFFSET($BH$3,0,0,'Données projet'!$E$11+1,1))-AVERAGE(OFFSET($H$3,0,0,'Données projet'!$E$11+1,1))</f>
        <v>258.1884172762135</v>
      </c>
      <c r="BJ121" s="62">
        <f t="shared" si="92"/>
        <v>356.36714671797864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34.8735163599885</v>
      </c>
      <c r="BQ121" s="23">
        <f>EXP(-LN(2)/25)*BQ120+(1-EXP(-LN(2)/25))/(LN(2)/25)*Calculateur!BL121*Calculateur!BN121*VLOOKUP('Données projet'!$B$11,Paramètres!$A$1:$I$88,3,0)*0.475*44/12</f>
        <v>6.5301662582260214</v>
      </c>
      <c r="BR121" s="23">
        <f>EXP(-LN(2)/2)*BR120+(1-EXP(-LN(2)/2))/(LN(2)/2)*BL121*BO121*VLOOKUP('Données projet'!$B$11,Paramètres!$A$1:$I$88,3,0)*0.475*44/12</f>
        <v>1.5243916057231308E-9</v>
      </c>
      <c r="BS121" s="24">
        <f t="shared" si="63"/>
        <v>41.403682619738909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projet'!$B$12,Paramètres!$A$1:$I$88,3,0)*VLOOKUP('Données projet'!$B$12,Paramètres!$A$1:$I$88,5,0)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201.94015973767443</v>
      </c>
      <c r="CE121" s="62">
        <f t="shared" si="94"/>
        <v>287.12228849146032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25.970801966262385</v>
      </c>
      <c r="CL121" s="23">
        <f>EXP(-LN(2)/25)*CL120+(1-EXP(-LN(2)/25))/(LN(2)/25)*Calculateur!CG121*Calculateur!CI121*VLOOKUP('Données projet'!$B$12,Paramètres!$A$1:$I$88,3,0)*0.475*44/12</f>
        <v>4.5518898491986377</v>
      </c>
      <c r="CM121" s="23">
        <f>EXP(-LN(2)/2)*CM120+(1-EXP(-LN(2)/2))/(LN(2)/2)*CG121*CJ121*VLOOKUP('Données projet'!$B$12,Paramètres!$A$1:$I$88,3,0)*0.475*44/12</f>
        <v>1.1395144265238438E-9</v>
      </c>
      <c r="CN121" s="24">
        <f t="shared" si="66"/>
        <v>30.522691816600538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201.94015973767443</v>
      </c>
      <c r="T122" s="62">
        <f t="shared" si="88"/>
        <v>287.12228849146032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25.461530380329048</v>
      </c>
      <c r="AA122" s="23">
        <f>EXP(-LN(2)/25)*AA121+(1-EXP(-LN(2)/25))/(LN(2)/25)*Calculateur!V122*Calculateur!X122*VLOOKUP('Données projet'!$B$9,Paramètres!$A$1:$I$88,3,0)*0.475*44/12</f>
        <v>4.4274181818988172</v>
      </c>
      <c r="AB122" s="23">
        <f>EXP(-LN(2)/2)*AB121+(1-EXP(-LN(2)/2))/(LN(2)/2)*V122*Y122*VLOOKUP('Données projet'!$B$9,Paramètres!$A$1:$I$88,3,0)*0.475*44/12</f>
        <v>8.0575837825490982E-10</v>
      </c>
      <c r="AC122" s="24">
        <f t="shared" si="57"/>
        <v>29.888948563033626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projet'!$B$10,Paramètres!$A$1:$I$88,3,0)*VLOOKUP('Données projet'!$B$10,Paramètres!$A$1:$I$88,5,0)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135.19533066605396</v>
      </c>
      <c r="AO122" s="62">
        <f t="shared" si="90"/>
        <v>213.60182977243113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18.24701018246774</v>
      </c>
      <c r="AV122" s="23">
        <f>EXP(-LN(2)/25)*AV121+(1-EXP(-LN(2)/25))/(LN(2)/25)*Calculateur!AQ122*Calculateur!AS122*VLOOKUP('Données projet'!$B$10,Paramètres!$A$1:$I$88,3,0)*0.475*44/12</f>
        <v>3.7740147289599681</v>
      </c>
      <c r="AW122" s="23">
        <f>EXP(-LN(2)/2)*AW121+(1-EXP(-LN(2)/2))/(LN(2)/2)*AQ122*AT122*VLOOKUP('Données projet'!$B$10,Paramètres!$A$1:$I$88,3,0)*0.475*44/12</f>
        <v>8.4484031069019794E-10</v>
      </c>
      <c r="AX122" s="23">
        <f t="shared" si="60"/>
        <v>22.021024912272548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1.7053025658242404E-13</v>
      </c>
      <c r="BE122" s="14">
        <f>BD122*VLOOKUP('Données projet'!$B$11,Paramètres!$A$1:$I$88,3,0)*VLOOKUP('Données projet'!$B$11,Paramètres!$A$1:$I$88,5,0)</f>
        <v>1.0197709343628959E-13</v>
      </c>
      <c r="BF122" s="14">
        <f t="shared" si="91"/>
        <v>1.5284983994279675E-12</v>
      </c>
      <c r="BG122" s="22">
        <f t="shared" si="61"/>
        <v>2.839744816738581E-12</v>
      </c>
      <c r="BH122" s="62">
        <f t="shared" si="62"/>
        <v>293.33333333333616</v>
      </c>
      <c r="BI122" s="62">
        <f ca="1">AVERAGE(OFFSET($BH$3,0,0,'Données projet'!$E$11+1,1))-AVERAGE(OFFSET($H$3,0,0,'Données projet'!$E$11+1,1))</f>
        <v>258.1884172762135</v>
      </c>
      <c r="BJ122" s="62">
        <f t="shared" si="92"/>
        <v>356.36714671797864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34.189667974913796</v>
      </c>
      <c r="BQ122" s="23">
        <f>EXP(-LN(2)/25)*BQ121+(1-EXP(-LN(2)/25))/(LN(2)/25)*Calculateur!BL122*Calculateur!BN122*VLOOKUP('Données projet'!$B$11,Paramètres!$A$1:$I$88,3,0)*0.475*44/12</f>
        <v>6.3515985184883119</v>
      </c>
      <c r="BR122" s="23">
        <f>EXP(-LN(2)/2)*BR121+(1-EXP(-LN(2)/2))/(LN(2)/2)*BL122*BO122*VLOOKUP('Données projet'!$B$11,Paramètres!$A$1:$I$88,3,0)*0.475*44/12</f>
        <v>1.0779076415906756E-9</v>
      </c>
      <c r="BS122" s="24">
        <f t="shared" si="63"/>
        <v>40.541266494480013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projet'!$B$12,Paramètres!$A$1:$I$88,3,0)*VLOOKUP('Données projet'!$B$12,Paramètres!$A$1:$I$88,5,0)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201.94015973767443</v>
      </c>
      <c r="CE122" s="62">
        <f t="shared" si="94"/>
        <v>287.12228849146032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25.461530380329048</v>
      </c>
      <c r="CL122" s="23">
        <f>EXP(-LN(2)/25)*CL121+(1-EXP(-LN(2)/25))/(LN(2)/25)*Calculateur!CG122*Calculateur!CI122*VLOOKUP('Données projet'!$B$12,Paramètres!$A$1:$I$88,3,0)*0.475*44/12</f>
        <v>4.4274181818988172</v>
      </c>
      <c r="CM122" s="23">
        <f>EXP(-LN(2)/2)*CM121+(1-EXP(-LN(2)/2))/(LN(2)/2)*CG122*CJ122*VLOOKUP('Données projet'!$B$12,Paramètres!$A$1:$I$88,3,0)*0.475*44/12</f>
        <v>8.0575837825490982E-10</v>
      </c>
      <c r="CN122" s="24">
        <f t="shared" si="66"/>
        <v>29.888948563033626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201.94015973767443</v>
      </c>
      <c r="T123" s="62">
        <f t="shared" si="88"/>
        <v>287.12228849146032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24.962245299570867</v>
      </c>
      <c r="AA123" s="23">
        <f>EXP(-LN(2)/25)*AA122+(1-EXP(-LN(2)/25))/(LN(2)/25)*Calculateur!V123*Calculateur!X123*VLOOKUP('Données projet'!$B$9,Paramètres!$A$1:$I$88,3,0)*0.475*44/12</f>
        <v>4.3063501988869906</v>
      </c>
      <c r="AB123" s="23">
        <f>EXP(-LN(2)/2)*AB122+(1-EXP(-LN(2)/2))/(LN(2)/2)*V123*Y123*VLOOKUP('Données projet'!$B$9,Paramètres!$A$1:$I$88,3,0)*0.475*44/12</f>
        <v>5.697572132619219E-10</v>
      </c>
      <c r="AC123" s="24">
        <f t="shared" si="57"/>
        <v>29.268595499027612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projet'!$B$10,Paramètres!$A$1:$I$88,3,0)*VLOOKUP('Données projet'!$B$10,Paramètres!$A$1:$I$88,5,0)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135.19533066605396</v>
      </c>
      <c r="AO123" s="62">
        <f t="shared" si="90"/>
        <v>213.60182977243113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17.889197442366804</v>
      </c>
      <c r="AV123" s="23">
        <f>EXP(-LN(2)/25)*AV122+(1-EXP(-LN(2)/25))/(LN(2)/25)*Calculateur!AQ123*Calculateur!AS123*VLOOKUP('Données projet'!$B$10,Paramètres!$A$1:$I$88,3,0)*0.475*44/12</f>
        <v>3.6708140977297488</v>
      </c>
      <c r="AW123" s="23">
        <f>EXP(-LN(2)/2)*AW122+(1-EXP(-LN(2)/2))/(LN(2)/2)*AQ123*AT123*VLOOKUP('Données projet'!$B$10,Paramètres!$A$1:$I$88,3,0)*0.475*44/12</f>
        <v>5.9739231270878861E-10</v>
      </c>
      <c r="AX123" s="23">
        <f t="shared" si="60"/>
        <v>21.560011540693946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1.7053025658242404E-13</v>
      </c>
      <c r="BE123" s="14">
        <f>BD123*VLOOKUP('Données projet'!$B$11,Paramètres!$A$1:$I$88,3,0)*VLOOKUP('Données projet'!$B$11,Paramètres!$A$1:$I$88,5,0)</f>
        <v>1.0197709343628959E-13</v>
      </c>
      <c r="BF123" s="14">
        <f t="shared" si="91"/>
        <v>1.5284983994279675E-12</v>
      </c>
      <c r="BG123" s="22">
        <f t="shared" si="61"/>
        <v>2.839744816738581E-12</v>
      </c>
      <c r="BH123" s="62">
        <f t="shared" si="62"/>
        <v>293.33333333333616</v>
      </c>
      <c r="BI123" s="62">
        <f ca="1">AVERAGE(OFFSET($BH$3,0,0,'Données projet'!$E$11+1,1))-AVERAGE(OFFSET($H$3,0,0,'Données projet'!$E$11+1,1))</f>
        <v>258.1884172762135</v>
      </c>
      <c r="BJ123" s="62">
        <f t="shared" si="92"/>
        <v>356.36714671797864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33.519229439564079</v>
      </c>
      <c r="BQ123" s="23">
        <f>EXP(-LN(2)/25)*BQ122+(1-EXP(-LN(2)/25))/(LN(2)/25)*Calculateur!BL123*Calculateur!BN123*VLOOKUP('Données projet'!$B$11,Paramètres!$A$1:$I$88,3,0)*0.475*44/12</f>
        <v>6.1779137229841998</v>
      </c>
      <c r="BR123" s="23">
        <f>EXP(-LN(2)/2)*BR122+(1-EXP(-LN(2)/2))/(LN(2)/2)*BL123*BO123*VLOOKUP('Données projet'!$B$11,Paramètres!$A$1:$I$88,3,0)*0.475*44/12</f>
        <v>7.6219580286156538E-10</v>
      </c>
      <c r="BS123" s="24">
        <f t="shared" si="63"/>
        <v>39.697143163310479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projet'!$B$12,Paramètres!$A$1:$I$88,3,0)*VLOOKUP('Données projet'!$B$12,Paramètres!$A$1:$I$88,5,0)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201.94015973767443</v>
      </c>
      <c r="CE123" s="62">
        <f t="shared" si="94"/>
        <v>287.12228849146032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24.962245299570867</v>
      </c>
      <c r="CL123" s="23">
        <f>EXP(-LN(2)/25)*CL122+(1-EXP(-LN(2)/25))/(LN(2)/25)*Calculateur!CG123*Calculateur!CI123*VLOOKUP('Données projet'!$B$12,Paramètres!$A$1:$I$88,3,0)*0.475*44/12</f>
        <v>4.3063501988869906</v>
      </c>
      <c r="CM123" s="23">
        <f>EXP(-LN(2)/2)*CM122+(1-EXP(-LN(2)/2))/(LN(2)/2)*CG123*CJ123*VLOOKUP('Données projet'!$B$12,Paramètres!$A$1:$I$88,3,0)*0.475*44/12</f>
        <v>5.697572132619219E-10</v>
      </c>
      <c r="CN123" s="24">
        <f t="shared" si="66"/>
        <v>29.268595499027612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201.94015973767443</v>
      </c>
      <c r="T124" s="62">
        <f t="shared" si="88"/>
        <v>287.12228849146032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24.472750894712526</v>
      </c>
      <c r="AA124" s="23">
        <f>EXP(-LN(2)/25)*AA123+(1-EXP(-LN(2)/25))/(LN(2)/25)*Calculateur!V124*Calculateur!X124*VLOOKUP('Données projet'!$B$9,Paramètres!$A$1:$I$88,3,0)*0.475*44/12</f>
        <v>4.1885928262373113</v>
      </c>
      <c r="AB124" s="23">
        <f>EXP(-LN(2)/2)*AB123+(1-EXP(-LN(2)/2))/(LN(2)/2)*V124*Y124*VLOOKUP('Données projet'!$B$9,Paramètres!$A$1:$I$88,3,0)*0.475*44/12</f>
        <v>4.0287918912745491E-10</v>
      </c>
      <c r="AC124" s="24">
        <f t="shared" si="57"/>
        <v>28.661343721352715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projet'!$B$10,Paramètres!$A$1:$I$88,3,0)*VLOOKUP('Données projet'!$B$10,Paramètres!$A$1:$I$88,5,0)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135.19533066605396</v>
      </c>
      <c r="AO124" s="62">
        <f t="shared" si="90"/>
        <v>213.60182977243113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17.538401191855026</v>
      </c>
      <c r="AV124" s="23">
        <f>EXP(-LN(2)/25)*AV123+(1-EXP(-LN(2)/25))/(LN(2)/25)*Calculateur!AQ124*Calculateur!AS124*VLOOKUP('Données projet'!$B$10,Paramètres!$A$1:$I$88,3,0)*0.475*44/12</f>
        <v>3.5704354931876052</v>
      </c>
      <c r="AW124" s="23">
        <f>EXP(-LN(2)/2)*AW123+(1-EXP(-LN(2)/2))/(LN(2)/2)*AQ124*AT124*VLOOKUP('Données projet'!$B$10,Paramètres!$A$1:$I$88,3,0)*0.475*44/12</f>
        <v>4.2242015534509897E-10</v>
      </c>
      <c r="AX124" s="23">
        <f t="shared" si="60"/>
        <v>21.108836685465054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1.7053025658242404E-13</v>
      </c>
      <c r="BE124" s="14">
        <f>BD124*VLOOKUP('Données projet'!$B$11,Paramètres!$A$1:$I$88,3,0)*VLOOKUP('Données projet'!$B$11,Paramètres!$A$1:$I$88,5,0)</f>
        <v>1.0197709343628959E-13</v>
      </c>
      <c r="BF124" s="14">
        <f t="shared" si="91"/>
        <v>1.5284983994279675E-12</v>
      </c>
      <c r="BG124" s="22">
        <f t="shared" si="61"/>
        <v>2.839744816738581E-12</v>
      </c>
      <c r="BH124" s="62">
        <f t="shared" si="62"/>
        <v>293.33333333333616</v>
      </c>
      <c r="BI124" s="62">
        <f ca="1">AVERAGE(OFFSET($BH$3,0,0,'Données projet'!$E$11+1,1))-AVERAGE(OFFSET($H$3,0,0,'Données projet'!$E$11+1,1))</f>
        <v>258.1884172762135</v>
      </c>
      <c r="BJ124" s="62">
        <f t="shared" si="92"/>
        <v>356.36714671797864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32.861937794965435</v>
      </c>
      <c r="BQ124" s="23">
        <f>EXP(-LN(2)/25)*BQ123+(1-EXP(-LN(2)/25))/(LN(2)/25)*Calculateur!BL124*Calculateur!BN124*VLOOKUP('Données projet'!$B$11,Paramètres!$A$1:$I$88,3,0)*0.475*44/12</f>
        <v>6.0089783473468339</v>
      </c>
      <c r="BR124" s="23">
        <f>EXP(-LN(2)/2)*BR123+(1-EXP(-LN(2)/2))/(LN(2)/2)*BL124*BO124*VLOOKUP('Données projet'!$B$11,Paramètres!$A$1:$I$88,3,0)*0.475*44/12</f>
        <v>5.3895382079533782E-10</v>
      </c>
      <c r="BS124" s="24">
        <f t="shared" si="63"/>
        <v>38.870916142851222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projet'!$B$12,Paramètres!$A$1:$I$88,3,0)*VLOOKUP('Données projet'!$B$12,Paramètres!$A$1:$I$88,5,0)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201.94015973767443</v>
      </c>
      <c r="CE124" s="62">
        <f t="shared" si="94"/>
        <v>287.12228849146032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24.472750894712526</v>
      </c>
      <c r="CL124" s="23">
        <f>EXP(-LN(2)/25)*CL123+(1-EXP(-LN(2)/25))/(LN(2)/25)*Calculateur!CG124*Calculateur!CI124*VLOOKUP('Données projet'!$B$12,Paramètres!$A$1:$I$88,3,0)*0.475*44/12</f>
        <v>4.1885928262373113</v>
      </c>
      <c r="CM124" s="23">
        <f>EXP(-LN(2)/2)*CM123+(1-EXP(-LN(2)/2))/(LN(2)/2)*CG124*CJ124*VLOOKUP('Données projet'!$B$12,Paramètres!$A$1:$I$88,3,0)*0.475*44/12</f>
        <v>4.0287918912745491E-10</v>
      </c>
      <c r="CN124" s="24">
        <f t="shared" si="66"/>
        <v>28.661343721352715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201.94015973767443</v>
      </c>
      <c r="T125" s="62">
        <f t="shared" si="88"/>
        <v>287.12228849146032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23.99285517657135</v>
      </c>
      <c r="AA125" s="23">
        <f>EXP(-LN(2)/25)*AA124+(1-EXP(-LN(2)/25))/(LN(2)/25)*Calculateur!V125*Calculateur!X125*VLOOKUP('Données projet'!$B$9,Paramètres!$A$1:$I$88,3,0)*0.475*44/12</f>
        <v>4.0740555351353285</v>
      </c>
      <c r="AB125" s="23">
        <f>EXP(-LN(2)/2)*AB124+(1-EXP(-LN(2)/2))/(LN(2)/2)*V125*Y125*VLOOKUP('Données projet'!$B$9,Paramètres!$A$1:$I$88,3,0)*0.475*44/12</f>
        <v>2.8487860663096095E-10</v>
      </c>
      <c r="AC125" s="24">
        <f t="shared" si="57"/>
        <v>28.066910711991557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projet'!$B$10,Paramètres!$A$1:$I$88,3,0)*VLOOKUP('Données projet'!$B$10,Paramètres!$A$1:$I$88,5,0)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135.19533066605396</v>
      </c>
      <c r="AO125" s="62">
        <f t="shared" si="90"/>
        <v>213.60182977243113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17.194483841851198</v>
      </c>
      <c r="AV125" s="23">
        <f>EXP(-LN(2)/25)*AV124+(1-EXP(-LN(2)/25))/(LN(2)/25)*Calculateur!AQ125*Calculateur!AS125*VLOOKUP('Données projet'!$B$10,Paramètres!$A$1:$I$88,3,0)*0.475*44/12</f>
        <v>3.4728017468653478</v>
      </c>
      <c r="AW125" s="23">
        <f>EXP(-LN(2)/2)*AW124+(1-EXP(-LN(2)/2))/(LN(2)/2)*AQ125*AT125*VLOOKUP('Données projet'!$B$10,Paramètres!$A$1:$I$88,3,0)*0.475*44/12</f>
        <v>2.9869615635439431E-10</v>
      </c>
      <c r="AX125" s="23">
        <f t="shared" si="60"/>
        <v>20.66728558901524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1.7053025658242404E-13</v>
      </c>
      <c r="BE125" s="14">
        <f>BD125*VLOOKUP('Données projet'!$B$11,Paramètres!$A$1:$I$88,3,0)*VLOOKUP('Données projet'!$B$11,Paramètres!$A$1:$I$88,5,0)</f>
        <v>1.0197709343628959E-13</v>
      </c>
      <c r="BF125" s="14">
        <f t="shared" si="91"/>
        <v>1.5284983994279675E-12</v>
      </c>
      <c r="BG125" s="22">
        <f t="shared" si="61"/>
        <v>2.839744816738581E-12</v>
      </c>
      <c r="BH125" s="62">
        <f t="shared" si="62"/>
        <v>293.33333333333616</v>
      </c>
      <c r="BI125" s="62">
        <f ca="1">AVERAGE(OFFSET($BH$3,0,0,'Données projet'!$E$11+1,1))-AVERAGE(OFFSET($H$3,0,0,'Données projet'!$E$11+1,1))</f>
        <v>258.1884172762135</v>
      </c>
      <c r="BJ125" s="62">
        <f t="shared" si="92"/>
        <v>356.36714671797864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32.217535238609059</v>
      </c>
      <c r="BQ125" s="23">
        <f>EXP(-LN(2)/25)*BQ124+(1-EXP(-LN(2)/25))/(LN(2)/25)*Calculateur!BL125*Calculateur!BN125*VLOOKUP('Données projet'!$B$11,Paramètres!$A$1:$I$88,3,0)*0.475*44/12</f>
        <v>5.844662518440197</v>
      </c>
      <c r="BR125" s="23">
        <f>EXP(-LN(2)/2)*BR124+(1-EXP(-LN(2)/2))/(LN(2)/2)*BL125*BO125*VLOOKUP('Données projet'!$B$11,Paramètres!$A$1:$I$88,3,0)*0.475*44/12</f>
        <v>3.8109790143078269E-10</v>
      </c>
      <c r="BS125" s="24">
        <f t="shared" si="63"/>
        <v>38.062197757430354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projet'!$B$12,Paramètres!$A$1:$I$88,3,0)*VLOOKUP('Données projet'!$B$12,Paramètres!$A$1:$I$88,5,0)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201.94015973767443</v>
      </c>
      <c r="CE125" s="62">
        <f t="shared" si="94"/>
        <v>287.12228849146032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23.99285517657135</v>
      </c>
      <c r="CL125" s="23">
        <f>EXP(-LN(2)/25)*CL124+(1-EXP(-LN(2)/25))/(LN(2)/25)*Calculateur!CG125*Calculateur!CI125*VLOOKUP('Données projet'!$B$12,Paramètres!$A$1:$I$88,3,0)*0.475*44/12</f>
        <v>4.0740555351353285</v>
      </c>
      <c r="CM125" s="23">
        <f>EXP(-LN(2)/2)*CM124+(1-EXP(-LN(2)/2))/(LN(2)/2)*CG125*CJ125*VLOOKUP('Données projet'!$B$12,Paramètres!$A$1:$I$88,3,0)*0.475*44/12</f>
        <v>2.8487860663096095E-10</v>
      </c>
      <c r="CN125" s="24">
        <f t="shared" si="66"/>
        <v>28.066910711991557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201.94015973767443</v>
      </c>
      <c r="T126" s="62">
        <f t="shared" si="88"/>
        <v>287.12228849146032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23.522369920755438</v>
      </c>
      <c r="AA126" s="23">
        <f>EXP(-LN(2)/25)*AA125+(1-EXP(-LN(2)/25))/(LN(2)/25)*Calculateur!V126*Calculateur!X126*VLOOKUP('Données projet'!$B$9,Paramètres!$A$1:$I$88,3,0)*0.475*44/12</f>
        <v>3.9626502722817838</v>
      </c>
      <c r="AB126" s="23">
        <f>EXP(-LN(2)/2)*AB125+(1-EXP(-LN(2)/2))/(LN(2)/2)*V126*Y126*VLOOKUP('Données projet'!$B$9,Paramètres!$A$1:$I$88,3,0)*0.475*44/12</f>
        <v>2.0143959456372745E-10</v>
      </c>
      <c r="AC126" s="24">
        <f t="shared" si="57"/>
        <v>27.485020193238661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projet'!$B$10,Paramètres!$A$1:$I$88,3,0)*VLOOKUP('Données projet'!$B$10,Paramètres!$A$1:$I$88,5,0)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135.19533066605396</v>
      </c>
      <c r="AO126" s="62">
        <f t="shared" si="90"/>
        <v>213.60182977243113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16.857310501312075</v>
      </c>
      <c r="AV126" s="23">
        <f>EXP(-LN(2)/25)*AV125+(1-EXP(-LN(2)/25))/(LN(2)/25)*Calculateur!AQ126*Calculateur!AS126*VLOOKUP('Données projet'!$B$10,Paramètres!$A$1:$I$88,3,0)*0.475*44/12</f>
        <v>3.377837800470608</v>
      </c>
      <c r="AW126" s="23">
        <f>EXP(-LN(2)/2)*AW125+(1-EXP(-LN(2)/2))/(LN(2)/2)*AQ126*AT126*VLOOKUP('Données projet'!$B$10,Paramètres!$A$1:$I$88,3,0)*0.475*44/12</f>
        <v>2.1121007767254948E-10</v>
      </c>
      <c r="AX126" s="23">
        <f t="shared" si="60"/>
        <v>20.235148301993892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1.7053025658242404E-13</v>
      </c>
      <c r="BE126" s="14">
        <f>BD126*VLOOKUP('Données projet'!$B$11,Paramètres!$A$1:$I$88,3,0)*VLOOKUP('Données projet'!$B$11,Paramètres!$A$1:$I$88,5,0)</f>
        <v>1.0197709343628959E-13</v>
      </c>
      <c r="BF126" s="14">
        <f t="shared" si="91"/>
        <v>1.5284983994279675E-12</v>
      </c>
      <c r="BG126" s="22">
        <f t="shared" si="61"/>
        <v>2.839744816738581E-12</v>
      </c>
      <c r="BH126" s="62">
        <f t="shared" si="62"/>
        <v>293.33333333333616</v>
      </c>
      <c r="BI126" s="62">
        <f ca="1">AVERAGE(OFFSET($BH$3,0,0,'Données projet'!$E$11+1,1))-AVERAGE(OFFSET($H$3,0,0,'Données projet'!$E$11+1,1))</f>
        <v>258.1884172762135</v>
      </c>
      <c r="BJ126" s="62">
        <f t="shared" si="92"/>
        <v>356.36714671797864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31.585769023336081</v>
      </c>
      <c r="BQ126" s="23">
        <f>EXP(-LN(2)/25)*BQ125+(1-EXP(-LN(2)/25))/(LN(2)/25)*Calculateur!BL126*Calculateur!BN126*VLOOKUP('Données projet'!$B$11,Paramètres!$A$1:$I$88,3,0)*0.475*44/12</f>
        <v>5.6848399145160062</v>
      </c>
      <c r="BR126" s="23">
        <f>EXP(-LN(2)/2)*BR125+(1-EXP(-LN(2)/2))/(LN(2)/2)*BL126*BO126*VLOOKUP('Données projet'!$B$11,Paramètres!$A$1:$I$88,3,0)*0.475*44/12</f>
        <v>2.6947691039766891E-10</v>
      </c>
      <c r="BS126" s="24">
        <f t="shared" si="63"/>
        <v>37.270608938121569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projet'!$B$12,Paramètres!$A$1:$I$88,3,0)*VLOOKUP('Données projet'!$B$12,Paramètres!$A$1:$I$88,5,0)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201.94015973767443</v>
      </c>
      <c r="CE126" s="62">
        <f t="shared" si="94"/>
        <v>287.12228849146032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23.522369920755438</v>
      </c>
      <c r="CL126" s="23">
        <f>EXP(-LN(2)/25)*CL125+(1-EXP(-LN(2)/25))/(LN(2)/25)*Calculateur!CG126*Calculateur!CI126*VLOOKUP('Données projet'!$B$12,Paramètres!$A$1:$I$88,3,0)*0.475*44/12</f>
        <v>3.9626502722817838</v>
      </c>
      <c r="CM126" s="23">
        <f>EXP(-LN(2)/2)*CM125+(1-EXP(-LN(2)/2))/(LN(2)/2)*CG126*CJ126*VLOOKUP('Données projet'!$B$12,Paramètres!$A$1:$I$88,3,0)*0.475*44/12</f>
        <v>2.0143959456372745E-10</v>
      </c>
      <c r="CN126" s="24">
        <f t="shared" si="66"/>
        <v>27.485020193238661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201.94015973767443</v>
      </c>
      <c r="T127" s="62">
        <f t="shared" si="88"/>
        <v>287.12228849146032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23.061110593838404</v>
      </c>
      <c r="AA127" s="23">
        <f>EXP(-LN(2)/25)*AA126+(1-EXP(-LN(2)/25))/(LN(2)/25)*Calculateur!V127*Calculateur!X127*VLOOKUP('Données projet'!$B$9,Paramètres!$A$1:$I$88,3,0)*0.475*44/12</f>
        <v>3.8542913921995172</v>
      </c>
      <c r="AB127" s="23">
        <f>EXP(-LN(2)/2)*AB126+(1-EXP(-LN(2)/2))/(LN(2)/2)*V127*Y127*VLOOKUP('Données projet'!$B$9,Paramètres!$A$1:$I$88,3,0)*0.475*44/12</f>
        <v>1.4243930331548047E-10</v>
      </c>
      <c r="AC127" s="24">
        <f t="shared" si="57"/>
        <v>26.91540198618036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projet'!$B$10,Paramètres!$A$1:$I$88,3,0)*VLOOKUP('Données projet'!$B$10,Paramètres!$A$1:$I$88,5,0)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135.19533066605396</v>
      </c>
      <c r="AO127" s="62">
        <f t="shared" si="90"/>
        <v>213.60182977243113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16.526748924325492</v>
      </c>
      <c r="AV127" s="23">
        <f>EXP(-LN(2)/25)*AV126+(1-EXP(-LN(2)/25))/(LN(2)/25)*Calculateur!AQ127*Calculateur!AS127*VLOOKUP('Données projet'!$B$10,Paramètres!$A$1:$I$88,3,0)*0.475*44/12</f>
        <v>3.2854706481839693</v>
      </c>
      <c r="AW127" s="23">
        <f>EXP(-LN(2)/2)*AW126+(1-EXP(-LN(2)/2))/(LN(2)/2)*AQ127*AT127*VLOOKUP('Données projet'!$B$10,Paramètres!$A$1:$I$88,3,0)*0.475*44/12</f>
        <v>1.4934807817719715E-10</v>
      </c>
      <c r="AX127" s="23">
        <f t="shared" si="60"/>
        <v>19.812219572658812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1.7053025658242404E-13</v>
      </c>
      <c r="BE127" s="14">
        <f>BD127*VLOOKUP('Données projet'!$B$11,Paramètres!$A$1:$I$88,3,0)*VLOOKUP('Données projet'!$B$11,Paramètres!$A$1:$I$88,5,0)</f>
        <v>1.0197709343628959E-13</v>
      </c>
      <c r="BF127" s="14">
        <f t="shared" si="91"/>
        <v>1.5284983994279675E-12</v>
      </c>
      <c r="BG127" s="22">
        <f t="shared" si="61"/>
        <v>2.839744816738581E-12</v>
      </c>
      <c r="BH127" s="62">
        <f t="shared" si="62"/>
        <v>293.33333333333616</v>
      </c>
      <c r="BI127" s="62">
        <f ca="1">AVERAGE(OFFSET($BH$3,0,0,'Données projet'!$E$11+1,1))-AVERAGE(OFFSET($H$3,0,0,'Données projet'!$E$11+1,1))</f>
        <v>258.1884172762135</v>
      </c>
      <c r="BJ127" s="62">
        <f t="shared" si="92"/>
        <v>356.36714671797864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30.966391358205261</v>
      </c>
      <c r="BQ127" s="23">
        <f>EXP(-LN(2)/25)*BQ126+(1-EXP(-LN(2)/25))/(LN(2)/25)*Calculateur!BL127*Calculateur!BN127*VLOOKUP('Données projet'!$B$11,Paramètres!$A$1:$I$88,3,0)*0.475*44/12</f>
        <v>5.5293876681008278</v>
      </c>
      <c r="BR127" s="23">
        <f>EXP(-LN(2)/2)*BR126+(1-EXP(-LN(2)/2))/(LN(2)/2)*BL127*BO127*VLOOKUP('Données projet'!$B$11,Paramètres!$A$1:$I$88,3,0)*0.475*44/12</f>
        <v>1.9054895071539135E-10</v>
      </c>
      <c r="BS127" s="24">
        <f t="shared" si="63"/>
        <v>36.495779026496635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projet'!$B$12,Paramètres!$A$1:$I$88,3,0)*VLOOKUP('Données projet'!$B$12,Paramètres!$A$1:$I$88,5,0)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201.94015973767443</v>
      </c>
      <c r="CE127" s="62">
        <f t="shared" si="94"/>
        <v>287.12228849146032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23.061110593838404</v>
      </c>
      <c r="CL127" s="23">
        <f>EXP(-LN(2)/25)*CL126+(1-EXP(-LN(2)/25))/(LN(2)/25)*Calculateur!CG127*Calculateur!CI127*VLOOKUP('Données projet'!$B$12,Paramètres!$A$1:$I$88,3,0)*0.475*44/12</f>
        <v>3.8542913921995172</v>
      </c>
      <c r="CM127" s="23">
        <f>EXP(-LN(2)/2)*CM126+(1-EXP(-LN(2)/2))/(LN(2)/2)*CG127*CJ127*VLOOKUP('Données projet'!$B$12,Paramètres!$A$1:$I$88,3,0)*0.475*44/12</f>
        <v>1.4243930331548047E-10</v>
      </c>
      <c r="CN127" s="24">
        <f t="shared" si="66"/>
        <v>26.91540198618036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201.94015973767443</v>
      </c>
      <c r="T128" s="62">
        <f t="shared" si="88"/>
        <v>287.12228849146032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22.608896280981803</v>
      </c>
      <c r="AA128" s="23">
        <f>EXP(-LN(2)/25)*AA127+(1-EXP(-LN(2)/25))/(LN(2)/25)*Calculateur!V128*Calculateur!X128*VLOOKUP('Données projet'!$B$9,Paramètres!$A$1:$I$88,3,0)*0.475*44/12</f>
        <v>3.7488955913914461</v>
      </c>
      <c r="AB128" s="23">
        <f>EXP(-LN(2)/2)*AB127+(1-EXP(-LN(2)/2))/(LN(2)/2)*V128*Y128*VLOOKUP('Données projet'!$B$9,Paramètres!$A$1:$I$88,3,0)*0.475*44/12</f>
        <v>1.0071979728186373E-10</v>
      </c>
      <c r="AC128" s="24">
        <f t="shared" si="57"/>
        <v>26.357791872473967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projet'!$B$10,Paramètres!$A$1:$I$88,3,0)*VLOOKUP('Données projet'!$B$10,Paramètres!$A$1:$I$88,5,0)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135.19533066605396</v>
      </c>
      <c r="AO128" s="62">
        <f t="shared" si="90"/>
        <v>213.60182977243113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16.202669458240965</v>
      </c>
      <c r="AV128" s="23">
        <f>EXP(-LN(2)/25)*AV127+(1-EXP(-LN(2)/25))/(LN(2)/25)*Calculateur!AQ128*Calculateur!AS128*VLOOKUP('Données projet'!$B$10,Paramètres!$A$1:$I$88,3,0)*0.475*44/12</f>
        <v>3.1956292805339861</v>
      </c>
      <c r="AW128" s="23">
        <f>EXP(-LN(2)/2)*AW127+(1-EXP(-LN(2)/2))/(LN(2)/2)*AQ128*AT128*VLOOKUP('Données projet'!$B$10,Paramètres!$A$1:$I$88,3,0)*0.475*44/12</f>
        <v>1.0560503883627474E-10</v>
      </c>
      <c r="AX128" s="23">
        <f t="shared" si="60"/>
        <v>19.398298738880555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1.7053025658242404E-13</v>
      </c>
      <c r="BE128" s="14">
        <f>BD128*VLOOKUP('Données projet'!$B$11,Paramètres!$A$1:$I$88,3,0)*VLOOKUP('Données projet'!$B$11,Paramètres!$A$1:$I$88,5,0)</f>
        <v>1.0197709343628959E-13</v>
      </c>
      <c r="BF128" s="14">
        <f t="shared" si="91"/>
        <v>1.5284983994279675E-12</v>
      </c>
      <c r="BG128" s="22">
        <f t="shared" si="61"/>
        <v>2.839744816738581E-12</v>
      </c>
      <c r="BH128" s="62">
        <f t="shared" si="62"/>
        <v>293.33333333333616</v>
      </c>
      <c r="BI128" s="62">
        <f ca="1">AVERAGE(OFFSET($BH$3,0,0,'Données projet'!$E$11+1,1))-AVERAGE(OFFSET($H$3,0,0,'Données projet'!$E$11+1,1))</f>
        <v>258.1884172762135</v>
      </c>
      <c r="BJ128" s="62">
        <f t="shared" si="92"/>
        <v>356.36714671797864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30.359159311304584</v>
      </c>
      <c r="BQ128" s="23">
        <f>EXP(-LN(2)/25)*BQ127+(1-EXP(-LN(2)/25))/(LN(2)/25)*Calculateur!BL128*Calculateur!BN128*VLOOKUP('Données projet'!$B$11,Paramètres!$A$1:$I$88,3,0)*0.475*44/12</f>
        <v>5.378186271538751</v>
      </c>
      <c r="BR128" s="23">
        <f>EXP(-LN(2)/2)*BR127+(1-EXP(-LN(2)/2))/(LN(2)/2)*BL128*BO128*VLOOKUP('Données projet'!$B$11,Paramètres!$A$1:$I$88,3,0)*0.475*44/12</f>
        <v>1.3473845519883446E-10</v>
      </c>
      <c r="BS128" s="24">
        <f t="shared" si="63"/>
        <v>35.737345582978072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projet'!$B$12,Paramètres!$A$1:$I$88,3,0)*VLOOKUP('Données projet'!$B$12,Paramètres!$A$1:$I$88,5,0)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201.94015973767443</v>
      </c>
      <c r="CE128" s="62">
        <f t="shared" si="94"/>
        <v>287.12228849146032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22.608896280981803</v>
      </c>
      <c r="CL128" s="23">
        <f>EXP(-LN(2)/25)*CL127+(1-EXP(-LN(2)/25))/(LN(2)/25)*Calculateur!CG128*Calculateur!CI128*VLOOKUP('Données projet'!$B$12,Paramètres!$A$1:$I$88,3,0)*0.475*44/12</f>
        <v>3.7488955913914461</v>
      </c>
      <c r="CM128" s="23">
        <f>EXP(-LN(2)/2)*CM127+(1-EXP(-LN(2)/2))/(LN(2)/2)*CG128*CJ128*VLOOKUP('Données projet'!$B$12,Paramètres!$A$1:$I$88,3,0)*0.475*44/12</f>
        <v>1.0071979728186373E-10</v>
      </c>
      <c r="CN128" s="24">
        <f t="shared" si="66"/>
        <v>26.357791872473967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201.94015973767443</v>
      </c>
      <c r="T129" s="62">
        <f t="shared" si="88"/>
        <v>287.12228849146032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22.165549614976825</v>
      </c>
      <c r="AA129" s="23">
        <f>EXP(-LN(2)/25)*AA128+(1-EXP(-LN(2)/25))/(LN(2)/25)*Calculateur!V129*Calculateur!X129*VLOOKUP('Données projet'!$B$9,Paramètres!$A$1:$I$88,3,0)*0.475*44/12</f>
        <v>3.6463818442989959</v>
      </c>
      <c r="AB129" s="23">
        <f>EXP(-LN(2)/2)*AB128+(1-EXP(-LN(2)/2))/(LN(2)/2)*V129*Y129*VLOOKUP('Données projet'!$B$9,Paramètres!$A$1:$I$88,3,0)*0.475*44/12</f>
        <v>7.1219651657740237E-11</v>
      </c>
      <c r="AC129" s="24">
        <f t="shared" si="57"/>
        <v>25.811931459347043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projet'!$B$10,Paramètres!$A$1:$I$88,3,0)*VLOOKUP('Données projet'!$B$10,Paramètres!$A$1:$I$88,5,0)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135.19533066605396</v>
      </c>
      <c r="AO129" s="62">
        <f t="shared" si="90"/>
        <v>213.60182977243113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15.884944992817399</v>
      </c>
      <c r="AV129" s="23">
        <f>EXP(-LN(2)/25)*AV128+(1-EXP(-LN(2)/25))/(LN(2)/25)*Calculateur!AQ129*Calculateur!AS129*VLOOKUP('Données projet'!$B$10,Paramètres!$A$1:$I$88,3,0)*0.475*44/12</f>
        <v>3.1082446298069439</v>
      </c>
      <c r="AW129" s="23">
        <f>EXP(-LN(2)/2)*AW128+(1-EXP(-LN(2)/2))/(LN(2)/2)*AQ129*AT129*VLOOKUP('Données projet'!$B$10,Paramètres!$A$1:$I$88,3,0)*0.475*44/12</f>
        <v>7.4674039088598576E-11</v>
      </c>
      <c r="AX129" s="23">
        <f t="shared" si="60"/>
        <v>18.993189622699017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1.7053025658242404E-13</v>
      </c>
      <c r="BE129" s="14">
        <f>BD129*VLOOKUP('Données projet'!$B$11,Paramètres!$A$1:$I$88,3,0)*VLOOKUP('Données projet'!$B$11,Paramètres!$A$1:$I$88,5,0)</f>
        <v>1.0197709343628959E-13</v>
      </c>
      <c r="BF129" s="14">
        <f t="shared" si="91"/>
        <v>1.5284983994279675E-12</v>
      </c>
      <c r="BG129" s="22">
        <f t="shared" si="61"/>
        <v>2.839744816738581E-12</v>
      </c>
      <c r="BH129" s="62">
        <f t="shared" si="62"/>
        <v>293.33333333333616</v>
      </c>
      <c r="BI129" s="62">
        <f ca="1">AVERAGE(OFFSET($BH$3,0,0,'Données projet'!$E$11+1,1))-AVERAGE(OFFSET($H$3,0,0,'Données projet'!$E$11+1,1))</f>
        <v>258.1884172762135</v>
      </c>
      <c r="BJ129" s="62">
        <f t="shared" si="92"/>
        <v>356.36714671797864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29.763834714468654</v>
      </c>
      <c r="BQ129" s="23">
        <f>EXP(-LN(2)/25)*BQ128+(1-EXP(-LN(2)/25))/(LN(2)/25)*Calculateur!BL129*Calculateur!BN129*VLOOKUP('Données projet'!$B$11,Paramètres!$A$1:$I$88,3,0)*0.475*44/12</f>
        <v>5.2311194851169995</v>
      </c>
      <c r="BR129" s="23">
        <f>EXP(-LN(2)/2)*BR128+(1-EXP(-LN(2)/2))/(LN(2)/2)*BL129*BO129*VLOOKUP('Données projet'!$B$11,Paramètres!$A$1:$I$88,3,0)*0.475*44/12</f>
        <v>9.5274475357695673E-11</v>
      </c>
      <c r="BS129" s="24">
        <f t="shared" si="63"/>
        <v>34.994954199680933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projet'!$B$12,Paramètres!$A$1:$I$88,3,0)*VLOOKUP('Données projet'!$B$12,Paramètres!$A$1:$I$88,5,0)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201.94015973767443</v>
      </c>
      <c r="CE129" s="62">
        <f t="shared" si="94"/>
        <v>287.12228849146032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22.165549614976825</v>
      </c>
      <c r="CL129" s="23">
        <f>EXP(-LN(2)/25)*CL128+(1-EXP(-LN(2)/25))/(LN(2)/25)*Calculateur!CG129*Calculateur!CI129*VLOOKUP('Données projet'!$B$12,Paramètres!$A$1:$I$88,3,0)*0.475*44/12</f>
        <v>3.6463818442989959</v>
      </c>
      <c r="CM129" s="23">
        <f>EXP(-LN(2)/2)*CM128+(1-EXP(-LN(2)/2))/(LN(2)/2)*CG129*CJ129*VLOOKUP('Données projet'!$B$12,Paramètres!$A$1:$I$88,3,0)*0.475*44/12</f>
        <v>7.1219651657740237E-11</v>
      </c>
      <c r="CN129" s="24">
        <f t="shared" si="66"/>
        <v>25.811931459347043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201.94015973767443</v>
      </c>
      <c r="T130" s="62">
        <f t="shared" si="88"/>
        <v>287.12228849146032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21.730896706677441</v>
      </c>
      <c r="AA130" s="23">
        <f>EXP(-LN(2)/25)*AA129+(1-EXP(-LN(2)/25))/(LN(2)/25)*Calculateur!V130*Calculateur!X130*VLOOKUP('Données projet'!$B$9,Paramètres!$A$1:$I$88,3,0)*0.475*44/12</f>
        <v>3.5466713410117525</v>
      </c>
      <c r="AB130" s="23">
        <f>EXP(-LN(2)/2)*AB129+(1-EXP(-LN(2)/2))/(LN(2)/2)*V130*Y130*VLOOKUP('Données projet'!$B$9,Paramètres!$A$1:$I$88,3,0)*0.475*44/12</f>
        <v>5.0359898640931864E-11</v>
      </c>
      <c r="AC130" s="24">
        <f t="shared" si="57"/>
        <v>25.277568047739553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projet'!$B$10,Paramètres!$A$1:$I$88,3,0)*VLOOKUP('Données projet'!$B$10,Paramètres!$A$1:$I$88,5,0)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135.19533066605396</v>
      </c>
      <c r="AO130" s="62">
        <f t="shared" si="90"/>
        <v>213.60182977243113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15.573450910368001</v>
      </c>
      <c r="AV130" s="23">
        <f>EXP(-LN(2)/25)*AV129+(1-EXP(-LN(2)/25))/(LN(2)/25)*Calculateur!AQ130*Calculateur!AS130*VLOOKUP('Données projet'!$B$10,Paramètres!$A$1:$I$88,3,0)*0.475*44/12</f>
        <v>3.023249516949392</v>
      </c>
      <c r="AW130" s="23">
        <f>EXP(-LN(2)/2)*AW129+(1-EXP(-LN(2)/2))/(LN(2)/2)*AQ130*AT130*VLOOKUP('Données projet'!$B$10,Paramètres!$A$1:$I$88,3,0)*0.475*44/12</f>
        <v>5.2802519418137371E-11</v>
      </c>
      <c r="AX130" s="23">
        <f t="shared" si="60"/>
        <v>18.596700427370198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1.7053025658242404E-13</v>
      </c>
      <c r="BE130" s="14">
        <f>BD130*VLOOKUP('Données projet'!$B$11,Paramètres!$A$1:$I$88,3,0)*VLOOKUP('Données projet'!$B$11,Paramètres!$A$1:$I$88,5,0)</f>
        <v>1.0197709343628959E-13</v>
      </c>
      <c r="BF130" s="14">
        <f t="shared" si="91"/>
        <v>1.5284983994279675E-12</v>
      </c>
      <c r="BG130" s="22">
        <f t="shared" si="61"/>
        <v>2.839744816738581E-12</v>
      </c>
      <c r="BH130" s="62">
        <f t="shared" si="62"/>
        <v>293.33333333333616</v>
      </c>
      <c r="BI130" s="62">
        <f ca="1">AVERAGE(OFFSET($BH$3,0,0,'Données projet'!$E$11+1,1))-AVERAGE(OFFSET($H$3,0,0,'Données projet'!$E$11+1,1))</f>
        <v>258.1884172762135</v>
      </c>
      <c r="BJ130" s="62">
        <f t="shared" si="92"/>
        <v>356.36714671797864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29.180184069864527</v>
      </c>
      <c r="BQ130" s="23">
        <f>EXP(-LN(2)/25)*BQ129+(1-EXP(-LN(2)/25))/(LN(2)/25)*Calculateur!BL130*Calculateur!BN130*VLOOKUP('Données projet'!$B$11,Paramètres!$A$1:$I$88,3,0)*0.475*44/12</f>
        <v>5.0880742477038572</v>
      </c>
      <c r="BR130" s="23">
        <f>EXP(-LN(2)/2)*BR129+(1-EXP(-LN(2)/2))/(LN(2)/2)*BL130*BO130*VLOOKUP('Données projet'!$B$11,Paramètres!$A$1:$I$88,3,0)*0.475*44/12</f>
        <v>6.7369227599417228E-11</v>
      </c>
      <c r="BS130" s="24">
        <f t="shared" si="63"/>
        <v>34.268258317635748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projet'!$B$12,Paramètres!$A$1:$I$88,3,0)*VLOOKUP('Données projet'!$B$12,Paramètres!$A$1:$I$88,5,0)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201.94015973767443</v>
      </c>
      <c r="CE130" s="62">
        <f t="shared" si="94"/>
        <v>287.12228849146032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21.730896706677441</v>
      </c>
      <c r="CL130" s="23">
        <f>EXP(-LN(2)/25)*CL129+(1-EXP(-LN(2)/25))/(LN(2)/25)*Calculateur!CG130*Calculateur!CI130*VLOOKUP('Données projet'!$B$12,Paramètres!$A$1:$I$88,3,0)*0.475*44/12</f>
        <v>3.5466713410117525</v>
      </c>
      <c r="CM130" s="23">
        <f>EXP(-LN(2)/2)*CM129+(1-EXP(-LN(2)/2))/(LN(2)/2)*CG130*CJ130*VLOOKUP('Données projet'!$B$12,Paramètres!$A$1:$I$88,3,0)*0.475*44/12</f>
        <v>5.0359898640931864E-11</v>
      </c>
      <c r="CN130" s="24">
        <f t="shared" si="66"/>
        <v>25.277568047739553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201.94015973767443</v>
      </c>
      <c r="T131" s="62">
        <f t="shared" si="88"/>
        <v>287.12228849146032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21.30476707679771</v>
      </c>
      <c r="AA131" s="23">
        <f>EXP(-LN(2)/25)*AA130+(1-EXP(-LN(2)/25))/(LN(2)/25)*Calculateur!V131*Calculateur!X131*VLOOKUP('Données projet'!$B$9,Paramètres!$A$1:$I$88,3,0)*0.475*44/12</f>
        <v>3.4496874266804465</v>
      </c>
      <c r="AB131" s="23">
        <f>EXP(-LN(2)/2)*AB130+(1-EXP(-LN(2)/2))/(LN(2)/2)*V131*Y131*VLOOKUP('Données projet'!$B$9,Paramètres!$A$1:$I$88,3,0)*0.475*44/12</f>
        <v>3.5609825828870119E-11</v>
      </c>
      <c r="AC131" s="24">
        <f t="shared" si="57"/>
        <v>24.754454503513767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projet'!$B$10,Paramètres!$A$1:$I$88,3,0)*VLOOKUP('Données projet'!$B$10,Paramètres!$A$1:$I$88,5,0)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135.19533066605396</v>
      </c>
      <c r="AO131" s="62">
        <f t="shared" si="90"/>
        <v>213.60182977243113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15.268065036882804</v>
      </c>
      <c r="AV131" s="23">
        <f>EXP(-LN(2)/25)*AV130+(1-EXP(-LN(2)/25))/(LN(2)/25)*Calculateur!AQ131*Calculateur!AS131*VLOOKUP('Données projet'!$B$10,Paramètres!$A$1:$I$88,3,0)*0.475*44/12</f>
        <v>2.9405785999226284</v>
      </c>
      <c r="AW131" s="23">
        <f>EXP(-LN(2)/2)*AW130+(1-EXP(-LN(2)/2))/(LN(2)/2)*AQ131*AT131*VLOOKUP('Données projet'!$B$10,Paramètres!$A$1:$I$88,3,0)*0.475*44/12</f>
        <v>3.7337019544299288E-11</v>
      </c>
      <c r="AX131" s="23">
        <f t="shared" si="60"/>
        <v>18.208643636842769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1.7053025658242404E-13</v>
      </c>
      <c r="BE131" s="14">
        <f>BD131*VLOOKUP('Données projet'!$B$11,Paramètres!$A$1:$I$88,3,0)*VLOOKUP('Données projet'!$B$11,Paramètres!$A$1:$I$88,5,0)</f>
        <v>1.0197709343628959E-13</v>
      </c>
      <c r="BF131" s="14">
        <f t="shared" si="91"/>
        <v>1.5284983994279675E-12</v>
      </c>
      <c r="BG131" s="22">
        <f t="shared" si="61"/>
        <v>2.839744816738581E-12</v>
      </c>
      <c r="BH131" s="62">
        <f t="shared" si="62"/>
        <v>293.33333333333616</v>
      </c>
      <c r="BI131" s="62">
        <f ca="1">AVERAGE(OFFSET($BH$3,0,0,'Données projet'!$E$11+1,1))-AVERAGE(OFFSET($H$3,0,0,'Données projet'!$E$11+1,1))</f>
        <v>258.1884172762135</v>
      </c>
      <c r="BJ131" s="62">
        <f t="shared" si="92"/>
        <v>356.36714671797864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28.607978458409345</v>
      </c>
      <c r="BQ131" s="23">
        <f>EXP(-LN(2)/25)*BQ130+(1-EXP(-LN(2)/25))/(LN(2)/25)*Calculateur!BL131*Calculateur!BN131*VLOOKUP('Données projet'!$B$11,Paramètres!$A$1:$I$88,3,0)*0.475*44/12</f>
        <v>4.9489405898301992</v>
      </c>
      <c r="BR131" s="23">
        <f>EXP(-LN(2)/2)*BR130+(1-EXP(-LN(2)/2))/(LN(2)/2)*BL131*BO131*VLOOKUP('Données projet'!$B$11,Paramètres!$A$1:$I$88,3,0)*0.475*44/12</f>
        <v>4.7637237678847836E-11</v>
      </c>
      <c r="BS131" s="24">
        <f t="shared" si="63"/>
        <v>33.556919048287178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projet'!$B$12,Paramètres!$A$1:$I$88,3,0)*VLOOKUP('Données projet'!$B$12,Paramètres!$A$1:$I$88,5,0)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201.94015973767443</v>
      </c>
      <c r="CE131" s="62">
        <f t="shared" si="94"/>
        <v>287.12228849146032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21.30476707679771</v>
      </c>
      <c r="CL131" s="23">
        <f>EXP(-LN(2)/25)*CL130+(1-EXP(-LN(2)/25))/(LN(2)/25)*Calculateur!CG131*Calculateur!CI131*VLOOKUP('Données projet'!$B$12,Paramètres!$A$1:$I$88,3,0)*0.475*44/12</f>
        <v>3.4496874266804465</v>
      </c>
      <c r="CM131" s="23">
        <f>EXP(-LN(2)/2)*CM130+(1-EXP(-LN(2)/2))/(LN(2)/2)*CG131*CJ131*VLOOKUP('Données projet'!$B$12,Paramètres!$A$1:$I$88,3,0)*0.475*44/12</f>
        <v>3.5609825828870119E-11</v>
      </c>
      <c r="CN131" s="24">
        <f t="shared" si="66"/>
        <v>24.754454503513767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201.94015973767443</v>
      </c>
      <c r="T132" s="62">
        <f t="shared" si="88"/>
        <v>287.12228849146032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20.886993589046511</v>
      </c>
      <c r="AA132" s="23">
        <f>EXP(-LN(2)/25)*AA131+(1-EXP(-LN(2)/25))/(LN(2)/25)*Calculateur!V132*Calculateur!X132*VLOOKUP('Données projet'!$B$9,Paramètres!$A$1:$I$88,3,0)*0.475*44/12</f>
        <v>3.3553555425866923</v>
      </c>
      <c r="AB132" s="23">
        <f>EXP(-LN(2)/2)*AB131+(1-EXP(-LN(2)/2))/(LN(2)/2)*V132*Y132*VLOOKUP('Données projet'!$B$9,Paramètres!$A$1:$I$88,3,0)*0.475*44/12</f>
        <v>2.5179949320465932E-11</v>
      </c>
      <c r="AC132" s="24">
        <f t="shared" ref="AC132:AC153" si="111">SUM(Z132:AB132)</f>
        <v>24.242349131658386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projet'!$B$10,Paramètres!$A$1:$I$88,3,0)*VLOOKUP('Données projet'!$B$10,Paramètres!$A$1:$I$88,5,0)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135.19533066605396</v>
      </c>
      <c r="AO132" s="62">
        <f t="shared" si="90"/>
        <v>213.60182977243113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14.968667594109663</v>
      </c>
      <c r="AV132" s="23">
        <f>EXP(-LN(2)/25)*AV131+(1-EXP(-LN(2)/25))/(LN(2)/25)*Calculateur!AQ132*Calculateur!AS132*VLOOKUP('Données projet'!$B$10,Paramètres!$A$1:$I$88,3,0)*0.475*44/12</f>
        <v>2.8601683234694364</v>
      </c>
      <c r="AW132" s="23">
        <f>EXP(-LN(2)/2)*AW131+(1-EXP(-LN(2)/2))/(LN(2)/2)*AQ132*AT132*VLOOKUP('Données projet'!$B$10,Paramètres!$A$1:$I$88,3,0)*0.475*44/12</f>
        <v>2.6401259709068686E-11</v>
      </c>
      <c r="AX132" s="23">
        <f t="shared" ref="AX132:AX153" si="114">SUM(AU132:AW132)</f>
        <v>17.828835917605499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1.7053025658242404E-13</v>
      </c>
      <c r="BE132" s="14">
        <f>BD132*VLOOKUP('Données projet'!$B$11,Paramètres!$A$1:$I$88,3,0)*VLOOKUP('Données projet'!$B$11,Paramètres!$A$1:$I$88,5,0)</f>
        <v>1.0197709343628959E-13</v>
      </c>
      <c r="BF132" s="14">
        <f t="shared" si="91"/>
        <v>1.5284983994279675E-12</v>
      </c>
      <c r="BG132" s="22">
        <f t="shared" ref="BG132:BG153" si="115">(BE132+BF132)*0.475*44/12</f>
        <v>2.839744816738581E-12</v>
      </c>
      <c r="BH132" s="62">
        <f t="shared" ref="BH132:BH195" si="116">BG132+(AY132+AZ132)*44/12</f>
        <v>293.33333333333616</v>
      </c>
      <c r="BI132" s="62">
        <f ca="1">AVERAGE(OFFSET($BH$3,0,0,'Données projet'!$E$11+1,1))-AVERAGE(OFFSET($H$3,0,0,'Données projet'!$E$11+1,1))</f>
        <v>258.1884172762135</v>
      </c>
      <c r="BJ132" s="62">
        <f t="shared" si="92"/>
        <v>356.36714671797864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28.046993449983837</v>
      </c>
      <c r="BQ132" s="23">
        <f>EXP(-LN(2)/25)*BQ131+(1-EXP(-LN(2)/25))/(LN(2)/25)*Calculateur!BL132*Calculateur!BN132*VLOOKUP('Données projet'!$B$11,Paramètres!$A$1:$I$88,3,0)*0.475*44/12</f>
        <v>4.8136115491478177</v>
      </c>
      <c r="BR132" s="23">
        <f>EXP(-LN(2)/2)*BR131+(1-EXP(-LN(2)/2))/(LN(2)/2)*BL132*BO132*VLOOKUP('Données projet'!$B$11,Paramètres!$A$1:$I$88,3,0)*0.475*44/12</f>
        <v>3.3684613799708614E-11</v>
      </c>
      <c r="BS132" s="24">
        <f t="shared" ref="BS132:BS153" si="117">SUM(BP132:BR132)</f>
        <v>32.860604999165339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projet'!$B$12,Paramètres!$A$1:$I$88,3,0)*VLOOKUP('Données projet'!$B$12,Paramètres!$A$1:$I$88,5,0)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201.94015973767443</v>
      </c>
      <c r="CE132" s="62">
        <f t="shared" si="94"/>
        <v>287.12228849146032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20.886993589046511</v>
      </c>
      <c r="CL132" s="23">
        <f>EXP(-LN(2)/25)*CL131+(1-EXP(-LN(2)/25))/(LN(2)/25)*Calculateur!CG132*Calculateur!CI132*VLOOKUP('Données projet'!$B$12,Paramètres!$A$1:$I$88,3,0)*0.475*44/12</f>
        <v>3.3553555425866923</v>
      </c>
      <c r="CM132" s="23">
        <f>EXP(-LN(2)/2)*CM131+(1-EXP(-LN(2)/2))/(LN(2)/2)*CG132*CJ132*VLOOKUP('Données projet'!$B$12,Paramètres!$A$1:$I$88,3,0)*0.475*44/12</f>
        <v>2.5179949320465932E-11</v>
      </c>
      <c r="CN132" s="24">
        <f t="shared" ref="CN132:CN153" si="120">SUM(CK132:CM132)</f>
        <v>24.242349131658386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201.94015973767443</v>
      </c>
      <c r="T133" s="62">
        <f t="shared" ref="T133:T196" si="142">$T$3</f>
        <v>287.12228849146032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20.477412384573448</v>
      </c>
      <c r="AA133" s="23">
        <f>EXP(-LN(2)/25)*AA132+(1-EXP(-LN(2)/25))/(LN(2)/25)*Calculateur!V133*Calculateur!X133*VLOOKUP('Données projet'!$B$9,Paramètres!$A$1:$I$88,3,0)*0.475*44/12</f>
        <v>3.2636031688241802</v>
      </c>
      <c r="AB133" s="23">
        <f>EXP(-LN(2)/2)*AB132+(1-EXP(-LN(2)/2))/(LN(2)/2)*V133*Y133*VLOOKUP('Données projet'!$B$9,Paramètres!$A$1:$I$88,3,0)*0.475*44/12</f>
        <v>1.7804912914435059E-11</v>
      </c>
      <c r="AC133" s="24">
        <f t="shared" si="111"/>
        <v>23.741015553415433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projet'!$B$10,Paramètres!$A$1:$I$88,3,0)*VLOOKUP('Données projet'!$B$10,Paramètres!$A$1:$I$88,5,0)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135.19533066605396</v>
      </c>
      <c r="AO133" s="62">
        <f t="shared" ref="AO133:AO196" si="144">$AO$3</f>
        <v>213.60182977243113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14.675141152574893</v>
      </c>
      <c r="AV133" s="23">
        <f>EXP(-LN(2)/25)*AV132+(1-EXP(-LN(2)/25))/(LN(2)/25)*Calculateur!AQ133*Calculateur!AS133*VLOOKUP('Données projet'!$B$10,Paramètres!$A$1:$I$88,3,0)*0.475*44/12</f>
        <v>2.7819568702544495</v>
      </c>
      <c r="AW133" s="23">
        <f>EXP(-LN(2)/2)*AW132+(1-EXP(-LN(2)/2))/(LN(2)/2)*AQ133*AT133*VLOOKUP('Données projet'!$B$10,Paramètres!$A$1:$I$88,3,0)*0.475*44/12</f>
        <v>1.8668509772149644E-11</v>
      </c>
      <c r="AX133" s="23">
        <f t="shared" si="114"/>
        <v>17.457098022848012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1.7053025658242404E-13</v>
      </c>
      <c r="BE133" s="14">
        <f>BD133*VLOOKUP('Données projet'!$B$11,Paramètres!$A$1:$I$88,3,0)*VLOOKUP('Données projet'!$B$11,Paramètres!$A$1:$I$88,5,0)</f>
        <v>1.0197709343628959E-13</v>
      </c>
      <c r="BF133" s="14">
        <f t="shared" ref="BF133:BF153" si="145">EXP(-1.0587+0.8836*LN(BE133)+0.284)</f>
        <v>1.5284983994279675E-12</v>
      </c>
      <c r="BG133" s="22">
        <f t="shared" si="115"/>
        <v>2.839744816738581E-12</v>
      </c>
      <c r="BH133" s="62">
        <f t="shared" si="116"/>
        <v>293.33333333333616</v>
      </c>
      <c r="BI133" s="62">
        <f ca="1">AVERAGE(OFFSET($BH$3,0,0,'Données projet'!$E$11+1,1))-AVERAGE(OFFSET($H$3,0,0,'Données projet'!$E$11+1,1))</f>
        <v>258.1884172762135</v>
      </c>
      <c r="BJ133" s="62">
        <f t="shared" ref="BJ133:BJ196" si="146">$BJ$3</f>
        <v>356.36714671797864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27.497009015406483</v>
      </c>
      <c r="BQ133" s="23">
        <f>EXP(-LN(2)/25)*BQ132+(1-EXP(-LN(2)/25))/(LN(2)/25)*Calculateur!BL133*Calculateur!BN133*VLOOKUP('Données projet'!$B$11,Paramètres!$A$1:$I$88,3,0)*0.475*44/12</f>
        <v>4.6819830881995408</v>
      </c>
      <c r="BR133" s="23">
        <f>EXP(-LN(2)/2)*BR132+(1-EXP(-LN(2)/2))/(LN(2)/2)*BL133*BO133*VLOOKUP('Données projet'!$B$11,Paramètres!$A$1:$I$88,3,0)*0.475*44/12</f>
        <v>2.3818618839423918E-11</v>
      </c>
      <c r="BS133" s="24">
        <f t="shared" si="117"/>
        <v>32.178992103629838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projet'!$B$12,Paramètres!$A$1:$I$88,3,0)*VLOOKUP('Données projet'!$B$12,Paramètres!$A$1:$I$88,5,0)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201.94015973767443</v>
      </c>
      <c r="CE133" s="62">
        <f t="shared" ref="CE133:CE196" si="148">$CE$3</f>
        <v>287.12228849146032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20.477412384573448</v>
      </c>
      <c r="CL133" s="23">
        <f>EXP(-LN(2)/25)*CL132+(1-EXP(-LN(2)/25))/(LN(2)/25)*Calculateur!CG133*Calculateur!CI133*VLOOKUP('Données projet'!$B$12,Paramètres!$A$1:$I$88,3,0)*0.475*44/12</f>
        <v>3.2636031688241802</v>
      </c>
      <c r="CM133" s="23">
        <f>EXP(-LN(2)/2)*CM132+(1-EXP(-LN(2)/2))/(LN(2)/2)*CG133*CJ133*VLOOKUP('Données projet'!$B$12,Paramètres!$A$1:$I$88,3,0)*0.475*44/12</f>
        <v>1.7804912914435059E-11</v>
      </c>
      <c r="CN133" s="24">
        <f t="shared" si="120"/>
        <v>23.741015553415433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201.94015973767443</v>
      </c>
      <c r="T134" s="62">
        <f t="shared" si="142"/>
        <v>287.12228849146032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20.075862817700234</v>
      </c>
      <c r="AA134" s="23">
        <f>EXP(-LN(2)/25)*AA133+(1-EXP(-LN(2)/25))/(LN(2)/25)*Calculateur!V134*Calculateur!X134*VLOOKUP('Données projet'!$B$9,Paramètres!$A$1:$I$88,3,0)*0.475*44/12</f>
        <v>3.1743597685472515</v>
      </c>
      <c r="AB134" s="23">
        <f>EXP(-LN(2)/2)*AB133+(1-EXP(-LN(2)/2))/(LN(2)/2)*V134*Y134*VLOOKUP('Données projet'!$B$9,Paramètres!$A$1:$I$88,3,0)*0.475*44/12</f>
        <v>1.2589974660232966E-11</v>
      </c>
      <c r="AC134" s="24">
        <f t="shared" si="111"/>
        <v>23.250222586260076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projet'!$B$10,Paramètres!$A$1:$I$88,3,0)*VLOOKUP('Données projet'!$B$10,Paramètres!$A$1:$I$88,5,0)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135.19533066605396</v>
      </c>
      <c r="AO134" s="62">
        <f t="shared" si="144"/>
        <v>213.60182977243113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14.387370585525169</v>
      </c>
      <c r="AV134" s="23">
        <f>EXP(-LN(2)/25)*AV133+(1-EXP(-LN(2)/25))/(LN(2)/25)*Calculateur!AQ134*Calculateur!AS134*VLOOKUP('Données projet'!$B$10,Paramètres!$A$1:$I$88,3,0)*0.475*44/12</f>
        <v>2.7058841133405882</v>
      </c>
      <c r="AW134" s="23">
        <f>EXP(-LN(2)/2)*AW133+(1-EXP(-LN(2)/2))/(LN(2)/2)*AQ134*AT134*VLOOKUP('Données projet'!$B$10,Paramètres!$A$1:$I$88,3,0)*0.475*44/12</f>
        <v>1.3200629854534343E-11</v>
      </c>
      <c r="AX134" s="23">
        <f t="shared" si="114"/>
        <v>17.093254698878958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1.7053025658242404E-13</v>
      </c>
      <c r="BE134" s="14">
        <f>BD134*VLOOKUP('Données projet'!$B$11,Paramètres!$A$1:$I$88,3,0)*VLOOKUP('Données projet'!$B$11,Paramètres!$A$1:$I$88,5,0)</f>
        <v>1.0197709343628959E-13</v>
      </c>
      <c r="BF134" s="14">
        <f t="shared" si="145"/>
        <v>1.5284983994279675E-12</v>
      </c>
      <c r="BG134" s="22">
        <f t="shared" si="115"/>
        <v>2.839744816738581E-12</v>
      </c>
      <c r="BH134" s="62">
        <f t="shared" si="116"/>
        <v>293.33333333333616</v>
      </c>
      <c r="BI134" s="62">
        <f ca="1">AVERAGE(OFFSET($BH$3,0,0,'Données projet'!$E$11+1,1))-AVERAGE(OFFSET($H$3,0,0,'Données projet'!$E$11+1,1))</f>
        <v>258.1884172762135</v>
      </c>
      <c r="BJ134" s="62">
        <f t="shared" si="146"/>
        <v>356.36714671797864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26.957809440133811</v>
      </c>
      <c r="BQ134" s="23">
        <f>EXP(-LN(2)/25)*BQ133+(1-EXP(-LN(2)/25))/(LN(2)/25)*Calculateur!BL134*Calculateur!BN134*VLOOKUP('Données projet'!$B$11,Paramètres!$A$1:$I$88,3,0)*0.475*44/12</f>
        <v>4.5539540144379345</v>
      </c>
      <c r="BR134" s="23">
        <f>EXP(-LN(2)/2)*BR133+(1-EXP(-LN(2)/2))/(LN(2)/2)*BL134*BO134*VLOOKUP('Données projet'!$B$11,Paramètres!$A$1:$I$88,3,0)*0.475*44/12</f>
        <v>1.6842306899854307E-11</v>
      </c>
      <c r="BS134" s="24">
        <f t="shared" si="117"/>
        <v>31.511763454588589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projet'!$B$12,Paramètres!$A$1:$I$88,3,0)*VLOOKUP('Données projet'!$B$12,Paramètres!$A$1:$I$88,5,0)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201.94015973767443</v>
      </c>
      <c r="CE134" s="62">
        <f t="shared" si="148"/>
        <v>287.12228849146032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20.075862817700234</v>
      </c>
      <c r="CL134" s="23">
        <f>EXP(-LN(2)/25)*CL133+(1-EXP(-LN(2)/25))/(LN(2)/25)*Calculateur!CG134*Calculateur!CI134*VLOOKUP('Données projet'!$B$12,Paramètres!$A$1:$I$88,3,0)*0.475*44/12</f>
        <v>3.1743597685472515</v>
      </c>
      <c r="CM134" s="23">
        <f>EXP(-LN(2)/2)*CM133+(1-EXP(-LN(2)/2))/(LN(2)/2)*CG134*CJ134*VLOOKUP('Données projet'!$B$12,Paramètres!$A$1:$I$88,3,0)*0.475*44/12</f>
        <v>1.2589974660232966E-11</v>
      </c>
      <c r="CN134" s="24">
        <f t="shared" si="120"/>
        <v>23.250222586260076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201.94015973767443</v>
      </c>
      <c r="T135" s="62">
        <f t="shared" si="142"/>
        <v>287.12228849146032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19.682187392912351</v>
      </c>
      <c r="AA135" s="23">
        <f>EXP(-LN(2)/25)*AA134+(1-EXP(-LN(2)/25))/(LN(2)/25)*Calculateur!V135*Calculateur!X135*VLOOKUP('Données projet'!$B$9,Paramètres!$A$1:$I$88,3,0)*0.475*44/12</f>
        <v>3.0875567337440017</v>
      </c>
      <c r="AB135" s="23">
        <f>EXP(-LN(2)/2)*AB134+(1-EXP(-LN(2)/2))/(LN(2)/2)*V135*Y135*VLOOKUP('Données projet'!$B$9,Paramètres!$A$1:$I$88,3,0)*0.475*44/12</f>
        <v>8.9024564572175297E-12</v>
      </c>
      <c r="AC135" s="24">
        <f t="shared" si="111"/>
        <v>22.769744126665255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projet'!$B$10,Paramètres!$A$1:$I$88,3,0)*VLOOKUP('Données projet'!$B$10,Paramètres!$A$1:$I$88,5,0)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135.19533066605396</v>
      </c>
      <c r="AO135" s="62">
        <f t="shared" si="144"/>
        <v>213.60182977243113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14.105243023772575</v>
      </c>
      <c r="AV135" s="23">
        <f>EXP(-LN(2)/25)*AV134+(1-EXP(-LN(2)/25))/(LN(2)/25)*Calculateur!AQ135*Calculateur!AS135*VLOOKUP('Données projet'!$B$10,Paramètres!$A$1:$I$88,3,0)*0.475*44/12</f>
        <v>2.6318915699650285</v>
      </c>
      <c r="AW135" s="23">
        <f>EXP(-LN(2)/2)*AW134+(1-EXP(-LN(2)/2))/(LN(2)/2)*AQ135*AT135*VLOOKUP('Données projet'!$B$10,Paramètres!$A$1:$I$88,3,0)*0.475*44/12</f>
        <v>9.3342548860748221E-12</v>
      </c>
      <c r="AX135" s="23">
        <f t="shared" si="114"/>
        <v>16.737134593746937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1.7053025658242404E-13</v>
      </c>
      <c r="BE135" s="14">
        <f>BD135*VLOOKUP('Données projet'!$B$11,Paramètres!$A$1:$I$88,3,0)*VLOOKUP('Données projet'!$B$11,Paramètres!$A$1:$I$88,5,0)</f>
        <v>1.0197709343628959E-13</v>
      </c>
      <c r="BF135" s="14">
        <f t="shared" si="145"/>
        <v>1.5284983994279675E-12</v>
      </c>
      <c r="BG135" s="22">
        <f t="shared" si="115"/>
        <v>2.839744816738581E-12</v>
      </c>
      <c r="BH135" s="62">
        <f t="shared" si="116"/>
        <v>293.33333333333616</v>
      </c>
      <c r="BI135" s="62">
        <f ca="1">AVERAGE(OFFSET($BH$3,0,0,'Données projet'!$E$11+1,1))-AVERAGE(OFFSET($H$3,0,0,'Données projet'!$E$11+1,1))</f>
        <v>258.1884172762135</v>
      </c>
      <c r="BJ135" s="62">
        <f t="shared" si="146"/>
        <v>356.36714671797864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26.429183239652971</v>
      </c>
      <c r="BQ135" s="23">
        <f>EXP(-LN(2)/25)*BQ134+(1-EXP(-LN(2)/25))/(LN(2)/25)*Calculateur!BL135*Calculateur!BN135*VLOOKUP('Données projet'!$B$11,Paramètres!$A$1:$I$88,3,0)*0.475*44/12</f>
        <v>4.4294259024310954</v>
      </c>
      <c r="BR135" s="23">
        <f>EXP(-LN(2)/2)*BR134+(1-EXP(-LN(2)/2))/(LN(2)/2)*BL135*BO135*VLOOKUP('Données projet'!$B$11,Paramètres!$A$1:$I$88,3,0)*0.475*44/12</f>
        <v>1.1909309419711959E-11</v>
      </c>
      <c r="BS135" s="24">
        <f t="shared" si="117"/>
        <v>30.858609142095975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projet'!$B$12,Paramètres!$A$1:$I$88,3,0)*VLOOKUP('Données projet'!$B$12,Paramètres!$A$1:$I$88,5,0)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201.94015973767443</v>
      </c>
      <c r="CE135" s="62">
        <f t="shared" si="148"/>
        <v>287.12228849146032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19.682187392912351</v>
      </c>
      <c r="CL135" s="23">
        <f>EXP(-LN(2)/25)*CL134+(1-EXP(-LN(2)/25))/(LN(2)/25)*Calculateur!CG135*Calculateur!CI135*VLOOKUP('Données projet'!$B$12,Paramètres!$A$1:$I$88,3,0)*0.475*44/12</f>
        <v>3.0875567337440017</v>
      </c>
      <c r="CM135" s="23">
        <f>EXP(-LN(2)/2)*CM134+(1-EXP(-LN(2)/2))/(LN(2)/2)*CG135*CJ135*VLOOKUP('Données projet'!$B$12,Paramètres!$A$1:$I$88,3,0)*0.475*44/12</f>
        <v>8.9024564572175297E-12</v>
      </c>
      <c r="CN135" s="24">
        <f t="shared" si="120"/>
        <v>22.769744126665255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201.94015973767443</v>
      </c>
      <c r="T136" s="62">
        <f t="shared" si="142"/>
        <v>287.12228849146032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19.29623170308626</v>
      </c>
      <c r="AA136" s="23">
        <f>EXP(-LN(2)/25)*AA135+(1-EXP(-LN(2)/25))/(LN(2)/25)*Calculateur!V136*Calculateur!X136*VLOOKUP('Données projet'!$B$9,Paramètres!$A$1:$I$88,3,0)*0.475*44/12</f>
        <v>3.0031273324922201</v>
      </c>
      <c r="AB136" s="23">
        <f>EXP(-LN(2)/2)*AB135+(1-EXP(-LN(2)/2))/(LN(2)/2)*V136*Y136*VLOOKUP('Données projet'!$B$9,Paramètres!$A$1:$I$88,3,0)*0.475*44/12</f>
        <v>6.294987330116483E-12</v>
      </c>
      <c r="AC136" s="24">
        <f t="shared" si="111"/>
        <v>22.299359035584775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projet'!$B$10,Paramètres!$A$1:$I$88,3,0)*VLOOKUP('Données projet'!$B$10,Paramètres!$A$1:$I$88,5,0)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135.19533066605396</v>
      </c>
      <c r="AO136" s="62">
        <f t="shared" si="144"/>
        <v>213.60182977243113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13.828647811425128</v>
      </c>
      <c r="AV136" s="23">
        <f>EXP(-LN(2)/25)*AV135+(1-EXP(-LN(2)/25))/(LN(2)/25)*Calculateur!AQ136*Calculateur!AS136*VLOOKUP('Données projet'!$B$10,Paramètres!$A$1:$I$88,3,0)*0.475*44/12</f>
        <v>2.5599223565791722</v>
      </c>
      <c r="AW136" s="23">
        <f>EXP(-LN(2)/2)*AW135+(1-EXP(-LN(2)/2))/(LN(2)/2)*AQ136*AT136*VLOOKUP('Données projet'!$B$10,Paramètres!$A$1:$I$88,3,0)*0.475*44/12</f>
        <v>6.6003149272671714E-12</v>
      </c>
      <c r="AX136" s="23">
        <f t="shared" si="114"/>
        <v>16.388570168010901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1.7053025658242404E-13</v>
      </c>
      <c r="BE136" s="14">
        <f>BD136*VLOOKUP('Données projet'!$B$11,Paramètres!$A$1:$I$88,3,0)*VLOOKUP('Données projet'!$B$11,Paramètres!$A$1:$I$88,5,0)</f>
        <v>1.0197709343628959E-13</v>
      </c>
      <c r="BF136" s="14">
        <f t="shared" si="145"/>
        <v>1.5284983994279675E-12</v>
      </c>
      <c r="BG136" s="22">
        <f t="shared" si="115"/>
        <v>2.839744816738581E-12</v>
      </c>
      <c r="BH136" s="62">
        <f t="shared" si="116"/>
        <v>293.33333333333616</v>
      </c>
      <c r="BI136" s="62">
        <f ca="1">AVERAGE(OFFSET($BH$3,0,0,'Données projet'!$E$11+1,1))-AVERAGE(OFFSET($H$3,0,0,'Données projet'!$E$11+1,1))</f>
        <v>258.1884172762135</v>
      </c>
      <c r="BJ136" s="62">
        <f t="shared" si="146"/>
        <v>356.36714671797864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25.910923076533415</v>
      </c>
      <c r="BQ136" s="23">
        <f>EXP(-LN(2)/25)*BQ135+(1-EXP(-LN(2)/25))/(LN(2)/25)*Calculateur!BL136*Calculateur!BN136*VLOOKUP('Données projet'!$B$11,Paramètres!$A$1:$I$88,3,0)*0.475*44/12</f>
        <v>4.3083030181957325</v>
      </c>
      <c r="BR136" s="23">
        <f>EXP(-LN(2)/2)*BR135+(1-EXP(-LN(2)/2))/(LN(2)/2)*BL136*BO136*VLOOKUP('Données projet'!$B$11,Paramètres!$A$1:$I$88,3,0)*0.475*44/12</f>
        <v>8.4211534499271535E-12</v>
      </c>
      <c r="BS136" s="24">
        <f t="shared" si="117"/>
        <v>30.219226094737568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projet'!$B$12,Paramètres!$A$1:$I$88,3,0)*VLOOKUP('Données projet'!$B$12,Paramètres!$A$1:$I$88,5,0)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201.94015973767443</v>
      </c>
      <c r="CE136" s="62">
        <f t="shared" si="148"/>
        <v>287.12228849146032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19.29623170308626</v>
      </c>
      <c r="CL136" s="23">
        <f>EXP(-LN(2)/25)*CL135+(1-EXP(-LN(2)/25))/(LN(2)/25)*Calculateur!CG136*Calculateur!CI136*VLOOKUP('Données projet'!$B$12,Paramètres!$A$1:$I$88,3,0)*0.475*44/12</f>
        <v>3.0031273324922201</v>
      </c>
      <c r="CM136" s="23">
        <f>EXP(-LN(2)/2)*CM135+(1-EXP(-LN(2)/2))/(LN(2)/2)*CG136*CJ136*VLOOKUP('Données projet'!$B$12,Paramètres!$A$1:$I$88,3,0)*0.475*44/12</f>
        <v>6.294987330116483E-12</v>
      </c>
      <c r="CN136" s="24">
        <f t="shared" si="120"/>
        <v>22.299359035584775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201.94015973767443</v>
      </c>
      <c r="T137" s="62">
        <f t="shared" si="142"/>
        <v>287.12228849146032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18.917844368927931</v>
      </c>
      <c r="AA137" s="23">
        <f>EXP(-LN(2)/25)*AA136+(1-EXP(-LN(2)/25))/(LN(2)/25)*Calculateur!V137*Calculateur!X137*VLOOKUP('Données projet'!$B$9,Paramètres!$A$1:$I$88,3,0)*0.475*44/12</f>
        <v>2.9210066576576175</v>
      </c>
      <c r="AB137" s="23">
        <f>EXP(-LN(2)/2)*AB136+(1-EXP(-LN(2)/2))/(LN(2)/2)*V137*Y137*VLOOKUP('Données projet'!$B$9,Paramètres!$A$1:$I$88,3,0)*0.475*44/12</f>
        <v>4.4512282286087648E-12</v>
      </c>
      <c r="AC137" s="24">
        <f t="shared" si="111"/>
        <v>21.83885102659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projet'!$B$10,Paramètres!$A$1:$I$88,3,0)*VLOOKUP('Données projet'!$B$10,Paramètres!$A$1:$I$88,5,0)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135.19533066605396</v>
      </c>
      <c r="AO137" s="62">
        <f t="shared" si="144"/>
        <v>213.60182977243113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13.557476462485395</v>
      </c>
      <c r="AV137" s="23">
        <f>EXP(-LN(2)/25)*AV136+(1-EXP(-LN(2)/25))/(LN(2)/25)*Calculateur!AQ137*Calculateur!AS137*VLOOKUP('Données projet'!$B$10,Paramètres!$A$1:$I$88,3,0)*0.475*44/12</f>
        <v>2.489921145118049</v>
      </c>
      <c r="AW137" s="23">
        <f>EXP(-LN(2)/2)*AW136+(1-EXP(-LN(2)/2))/(LN(2)/2)*AQ137*AT137*VLOOKUP('Données projet'!$B$10,Paramètres!$A$1:$I$88,3,0)*0.475*44/12</f>
        <v>4.667127443037411E-12</v>
      </c>
      <c r="AX137" s="23">
        <f t="shared" si="114"/>
        <v>16.047397607608112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1.7053025658242404E-13</v>
      </c>
      <c r="BE137" s="14">
        <f>BD137*VLOOKUP('Données projet'!$B$11,Paramètres!$A$1:$I$88,3,0)*VLOOKUP('Données projet'!$B$11,Paramètres!$A$1:$I$88,5,0)</f>
        <v>1.0197709343628959E-13</v>
      </c>
      <c r="BF137" s="14">
        <f t="shared" si="145"/>
        <v>1.5284983994279675E-12</v>
      </c>
      <c r="BG137" s="22">
        <f t="shared" si="115"/>
        <v>2.839744816738581E-12</v>
      </c>
      <c r="BH137" s="62">
        <f t="shared" si="116"/>
        <v>293.33333333333616</v>
      </c>
      <c r="BI137" s="62">
        <f ca="1">AVERAGE(OFFSET($BH$3,0,0,'Données projet'!$E$11+1,1))-AVERAGE(OFFSET($H$3,0,0,'Données projet'!$E$11+1,1))</f>
        <v>258.1884172762135</v>
      </c>
      <c r="BJ137" s="62">
        <f t="shared" si="146"/>
        <v>356.36714671797864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25.402825679105145</v>
      </c>
      <c r="BQ137" s="23">
        <f>EXP(-LN(2)/25)*BQ136+(1-EXP(-LN(2)/25))/(LN(2)/25)*Calculateur!BL137*Calculateur!BN137*VLOOKUP('Données projet'!$B$11,Paramètres!$A$1:$I$88,3,0)*0.475*44/12</f>
        <v>4.1904922455993612</v>
      </c>
      <c r="BR137" s="23">
        <f>EXP(-LN(2)/2)*BR136+(1-EXP(-LN(2)/2))/(LN(2)/2)*BL137*BO137*VLOOKUP('Données projet'!$B$11,Paramètres!$A$1:$I$88,3,0)*0.475*44/12</f>
        <v>5.9546547098559795E-12</v>
      </c>
      <c r="BS137" s="24">
        <f t="shared" si="117"/>
        <v>29.593317924710462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projet'!$B$12,Paramètres!$A$1:$I$88,3,0)*VLOOKUP('Données projet'!$B$12,Paramètres!$A$1:$I$88,5,0)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201.94015973767443</v>
      </c>
      <c r="CE137" s="62">
        <f t="shared" si="148"/>
        <v>287.12228849146032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18.917844368927931</v>
      </c>
      <c r="CL137" s="23">
        <f>EXP(-LN(2)/25)*CL136+(1-EXP(-LN(2)/25))/(LN(2)/25)*Calculateur!CG137*Calculateur!CI137*VLOOKUP('Données projet'!$B$12,Paramètres!$A$1:$I$88,3,0)*0.475*44/12</f>
        <v>2.9210066576576175</v>
      </c>
      <c r="CM137" s="23">
        <f>EXP(-LN(2)/2)*CM136+(1-EXP(-LN(2)/2))/(LN(2)/2)*CG137*CJ137*VLOOKUP('Données projet'!$B$12,Paramètres!$A$1:$I$88,3,0)*0.475*44/12</f>
        <v>4.4512282286087648E-12</v>
      </c>
      <c r="CN137" s="24">
        <f t="shared" si="120"/>
        <v>21.83885102659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201.94015973767443</v>
      </c>
      <c r="T138" s="62">
        <f t="shared" si="142"/>
        <v>287.12228849146032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18.546876979598963</v>
      </c>
      <c r="AA138" s="23">
        <f>EXP(-LN(2)/25)*AA137+(1-EXP(-LN(2)/25))/(LN(2)/25)*Calculateur!V138*Calculateur!X138*VLOOKUP('Données projet'!$B$9,Paramètres!$A$1:$I$88,3,0)*0.475*44/12</f>
        <v>2.8411315769949059</v>
      </c>
      <c r="AB138" s="23">
        <f>EXP(-LN(2)/2)*AB137+(1-EXP(-LN(2)/2))/(LN(2)/2)*V138*Y138*VLOOKUP('Données projet'!$B$9,Paramètres!$A$1:$I$88,3,0)*0.475*44/12</f>
        <v>3.1474936650582415E-12</v>
      </c>
      <c r="AC138" s="24">
        <f t="shared" si="111"/>
        <v>21.388008556597015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projet'!$B$10,Paramètres!$A$1:$I$88,3,0)*VLOOKUP('Données projet'!$B$10,Paramètres!$A$1:$I$88,5,0)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135.19533066605396</v>
      </c>
      <c r="AO138" s="62">
        <f t="shared" si="144"/>
        <v>213.60182977243113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13.291622618300179</v>
      </c>
      <c r="AV138" s="23">
        <f>EXP(-LN(2)/25)*AV137+(1-EXP(-LN(2)/25))/(LN(2)/25)*Calculateur!AQ138*Calculateur!AS138*VLOOKUP('Données projet'!$B$10,Paramètres!$A$1:$I$88,3,0)*0.475*44/12</f>
        <v>2.4218341204655336</v>
      </c>
      <c r="AW138" s="23">
        <f>EXP(-LN(2)/2)*AW137+(1-EXP(-LN(2)/2))/(LN(2)/2)*AQ138*AT138*VLOOKUP('Données projet'!$B$10,Paramètres!$A$1:$I$88,3,0)*0.475*44/12</f>
        <v>3.3001574636335857E-12</v>
      </c>
      <c r="AX138" s="23">
        <f t="shared" si="114"/>
        <v>15.713456738769013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1.7053025658242404E-13</v>
      </c>
      <c r="BE138" s="14">
        <f>BD138*VLOOKUP('Données projet'!$B$11,Paramètres!$A$1:$I$88,3,0)*VLOOKUP('Données projet'!$B$11,Paramètres!$A$1:$I$88,5,0)</f>
        <v>1.0197709343628959E-13</v>
      </c>
      <c r="BF138" s="14">
        <f t="shared" si="145"/>
        <v>1.5284983994279675E-12</v>
      </c>
      <c r="BG138" s="22">
        <f t="shared" si="115"/>
        <v>2.839744816738581E-12</v>
      </c>
      <c r="BH138" s="62">
        <f t="shared" si="116"/>
        <v>293.33333333333616</v>
      </c>
      <c r="BI138" s="62">
        <f ca="1">AVERAGE(OFFSET($BH$3,0,0,'Données projet'!$E$11+1,1))-AVERAGE(OFFSET($H$3,0,0,'Données projet'!$E$11+1,1))</f>
        <v>258.1884172762135</v>
      </c>
      <c r="BJ138" s="62">
        <f t="shared" si="146"/>
        <v>356.36714671797864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24.904691761731634</v>
      </c>
      <c r="BQ138" s="23">
        <f>EXP(-LN(2)/25)*BQ137+(1-EXP(-LN(2)/25))/(LN(2)/25)*Calculateur!BL138*Calculateur!BN138*VLOOKUP('Données projet'!$B$11,Paramètres!$A$1:$I$88,3,0)*0.475*44/12</f>
        <v>4.0759030147750366</v>
      </c>
      <c r="BR138" s="23">
        <f>EXP(-LN(2)/2)*BR137+(1-EXP(-LN(2)/2))/(LN(2)/2)*BL138*BO138*VLOOKUP('Données projet'!$B$11,Paramètres!$A$1:$I$88,3,0)*0.475*44/12</f>
        <v>4.2105767249635767E-12</v>
      </c>
      <c r="BS138" s="24">
        <f t="shared" si="117"/>
        <v>28.98059477651088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projet'!$B$12,Paramètres!$A$1:$I$88,3,0)*VLOOKUP('Données projet'!$B$12,Paramètres!$A$1:$I$88,5,0)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201.94015973767443</v>
      </c>
      <c r="CE138" s="62">
        <f t="shared" si="148"/>
        <v>287.12228849146032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18.546876979598963</v>
      </c>
      <c r="CL138" s="23">
        <f>EXP(-LN(2)/25)*CL137+(1-EXP(-LN(2)/25))/(LN(2)/25)*Calculateur!CG138*Calculateur!CI138*VLOOKUP('Données projet'!$B$12,Paramètres!$A$1:$I$88,3,0)*0.475*44/12</f>
        <v>2.8411315769949059</v>
      </c>
      <c r="CM138" s="23">
        <f>EXP(-LN(2)/2)*CM137+(1-EXP(-LN(2)/2))/(LN(2)/2)*CG138*CJ138*VLOOKUP('Données projet'!$B$12,Paramètres!$A$1:$I$88,3,0)*0.475*44/12</f>
        <v>3.1474936650582415E-12</v>
      </c>
      <c r="CN138" s="24">
        <f t="shared" si="120"/>
        <v>21.388008556597015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201.94015973767443</v>
      </c>
      <c r="T139" s="62">
        <f t="shared" si="142"/>
        <v>287.12228849146032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18.183184034506972</v>
      </c>
      <c r="AA139" s="23">
        <f>EXP(-LN(2)/25)*AA138+(1-EXP(-LN(2)/25))/(LN(2)/25)*Calculateur!V139*Calculateur!X139*VLOOKUP('Données projet'!$B$9,Paramètres!$A$1:$I$88,3,0)*0.475*44/12</f>
        <v>2.7634406846133639</v>
      </c>
      <c r="AB139" s="23">
        <f>EXP(-LN(2)/2)*AB138+(1-EXP(-LN(2)/2))/(LN(2)/2)*V139*Y139*VLOOKUP('Données projet'!$B$9,Paramètres!$A$1:$I$88,3,0)*0.475*44/12</f>
        <v>2.2256141143043824E-12</v>
      </c>
      <c r="AC139" s="24">
        <f t="shared" si="111"/>
        <v>20.946624719122561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projet'!$B$10,Paramètres!$A$1:$I$88,3,0)*VLOOKUP('Données projet'!$B$10,Paramètres!$A$1:$I$88,5,0)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135.19533066605396</v>
      </c>
      <c r="AO139" s="62">
        <f t="shared" si="144"/>
        <v>213.60182977243113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13.030982005844601</v>
      </c>
      <c r="AV139" s="23">
        <f>EXP(-LN(2)/25)*AV138+(1-EXP(-LN(2)/25))/(LN(2)/25)*Calculateur!AQ139*Calculateur!AS139*VLOOKUP('Données projet'!$B$10,Paramètres!$A$1:$I$88,3,0)*0.475*44/12</f>
        <v>2.3556089390826824</v>
      </c>
      <c r="AW139" s="23">
        <f>EXP(-LN(2)/2)*AW138+(1-EXP(-LN(2)/2))/(LN(2)/2)*AQ139*AT139*VLOOKUP('Données projet'!$B$10,Paramètres!$A$1:$I$88,3,0)*0.475*44/12</f>
        <v>2.3335637215187055E-12</v>
      </c>
      <c r="AX139" s="23">
        <f t="shared" si="114"/>
        <v>15.386590944929617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1.7053025658242404E-13</v>
      </c>
      <c r="BE139" s="14">
        <f>BD139*VLOOKUP('Données projet'!$B$11,Paramètres!$A$1:$I$88,3,0)*VLOOKUP('Données projet'!$B$11,Paramètres!$A$1:$I$88,5,0)</f>
        <v>1.0197709343628959E-13</v>
      </c>
      <c r="BF139" s="14">
        <f t="shared" si="145"/>
        <v>1.5284983994279675E-12</v>
      </c>
      <c r="BG139" s="22">
        <f t="shared" si="115"/>
        <v>2.839744816738581E-12</v>
      </c>
      <c r="BH139" s="62">
        <f t="shared" si="116"/>
        <v>293.33333333333616</v>
      </c>
      <c r="BI139" s="62">
        <f ca="1">AVERAGE(OFFSET($BH$3,0,0,'Données projet'!$E$11+1,1))-AVERAGE(OFFSET($H$3,0,0,'Données projet'!$E$11+1,1))</f>
        <v>258.1884172762135</v>
      </c>
      <c r="BJ139" s="62">
        <f t="shared" si="146"/>
        <v>356.36714671797864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24.416325946646129</v>
      </c>
      <c r="BQ139" s="23">
        <f>EXP(-LN(2)/25)*BQ138+(1-EXP(-LN(2)/25))/(LN(2)/25)*Calculateur!BL139*Calculateur!BN139*VLOOKUP('Données projet'!$B$11,Paramètres!$A$1:$I$88,3,0)*0.475*44/12</f>
        <v>3.9644472324935891</v>
      </c>
      <c r="BR139" s="23">
        <f>EXP(-LN(2)/2)*BR138+(1-EXP(-LN(2)/2))/(LN(2)/2)*BL139*BO139*VLOOKUP('Données projet'!$B$11,Paramètres!$A$1:$I$88,3,0)*0.475*44/12</f>
        <v>2.9773273549279898E-12</v>
      </c>
      <c r="BS139" s="24">
        <f t="shared" si="117"/>
        <v>28.380773179142697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projet'!$B$12,Paramètres!$A$1:$I$88,3,0)*VLOOKUP('Données projet'!$B$12,Paramètres!$A$1:$I$88,5,0)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201.94015973767443</v>
      </c>
      <c r="CE139" s="62">
        <f t="shared" si="148"/>
        <v>287.12228849146032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18.183184034506972</v>
      </c>
      <c r="CL139" s="23">
        <f>EXP(-LN(2)/25)*CL138+(1-EXP(-LN(2)/25))/(LN(2)/25)*Calculateur!CG139*Calculateur!CI139*VLOOKUP('Données projet'!$B$12,Paramètres!$A$1:$I$88,3,0)*0.475*44/12</f>
        <v>2.7634406846133639</v>
      </c>
      <c r="CM139" s="23">
        <f>EXP(-LN(2)/2)*CM138+(1-EXP(-LN(2)/2))/(LN(2)/2)*CG139*CJ139*VLOOKUP('Données projet'!$B$12,Paramètres!$A$1:$I$88,3,0)*0.475*44/12</f>
        <v>2.2256141143043824E-12</v>
      </c>
      <c r="CN139" s="24">
        <f t="shared" si="120"/>
        <v>20.946624719122561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201.94015973767443</v>
      </c>
      <c r="T140" s="62">
        <f t="shared" si="142"/>
        <v>287.12228849146032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17.826622886237441</v>
      </c>
      <c r="AA140" s="23">
        <f>EXP(-LN(2)/25)*AA139+(1-EXP(-LN(2)/25))/(LN(2)/25)*Calculateur!V140*Calculateur!X140*VLOOKUP('Données projet'!$B$9,Paramètres!$A$1:$I$88,3,0)*0.475*44/12</f>
        <v>2.6878742537695817</v>
      </c>
      <c r="AB140" s="23">
        <f>EXP(-LN(2)/2)*AB139+(1-EXP(-LN(2)/2))/(LN(2)/2)*V140*Y140*VLOOKUP('Données projet'!$B$9,Paramètres!$A$1:$I$88,3,0)*0.475*44/12</f>
        <v>1.5737468325291207E-12</v>
      </c>
      <c r="AC140" s="24">
        <f t="shared" si="111"/>
        <v>20.514497140008597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projet'!$B$10,Paramètres!$A$1:$I$88,3,0)*VLOOKUP('Données projet'!$B$10,Paramètres!$A$1:$I$88,5,0)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135.19533066605396</v>
      </c>
      <c r="AO140" s="62">
        <f t="shared" si="144"/>
        <v>213.60182977243113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12.775452396824202</v>
      </c>
      <c r="AV140" s="23">
        <f>EXP(-LN(2)/25)*AV139+(1-EXP(-LN(2)/25))/(LN(2)/25)*Calculateur!AQ140*Calculateur!AS140*VLOOKUP('Données projet'!$B$10,Paramètres!$A$1:$I$88,3,0)*0.475*44/12</f>
        <v>2.291194688767376</v>
      </c>
      <c r="AW140" s="23">
        <f>EXP(-LN(2)/2)*AW139+(1-EXP(-LN(2)/2))/(LN(2)/2)*AQ140*AT140*VLOOKUP('Données projet'!$B$10,Paramètres!$A$1:$I$88,3,0)*0.475*44/12</f>
        <v>1.6500787318167928E-12</v>
      </c>
      <c r="AX140" s="23">
        <f t="shared" si="114"/>
        <v>15.066647085593228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1.7053025658242404E-13</v>
      </c>
      <c r="BE140" s="14">
        <f>BD140*VLOOKUP('Données projet'!$B$11,Paramètres!$A$1:$I$88,3,0)*VLOOKUP('Données projet'!$B$11,Paramètres!$A$1:$I$88,5,0)</f>
        <v>1.0197709343628959E-13</v>
      </c>
      <c r="BF140" s="14">
        <f t="shared" si="145"/>
        <v>1.5284983994279675E-12</v>
      </c>
      <c r="BG140" s="22">
        <f t="shared" si="115"/>
        <v>2.839744816738581E-12</v>
      </c>
      <c r="BH140" s="62">
        <f t="shared" si="116"/>
        <v>293.33333333333616</v>
      </c>
      <c r="BI140" s="62">
        <f ca="1">AVERAGE(OFFSET($BH$3,0,0,'Données projet'!$E$11+1,1))-AVERAGE(OFFSET($H$3,0,0,'Données projet'!$E$11+1,1))</f>
        <v>258.1884172762135</v>
      </c>
      <c r="BJ140" s="62">
        <f t="shared" si="146"/>
        <v>356.36714671797864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23.937536687320716</v>
      </c>
      <c r="BQ140" s="23">
        <f>EXP(-LN(2)/25)*BQ139+(1-EXP(-LN(2)/25))/(LN(2)/25)*Calculateur!BL140*Calculateur!BN140*VLOOKUP('Données projet'!$B$11,Paramètres!$A$1:$I$88,3,0)*0.475*44/12</f>
        <v>3.856039214439833</v>
      </c>
      <c r="BR140" s="23">
        <f>EXP(-LN(2)/2)*BR139+(1-EXP(-LN(2)/2))/(LN(2)/2)*BL140*BO140*VLOOKUP('Données projet'!$B$11,Paramètres!$A$1:$I$88,3,0)*0.475*44/12</f>
        <v>2.1052883624817884E-12</v>
      </c>
      <c r="BS140" s="24">
        <f t="shared" si="117"/>
        <v>27.793575901762654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projet'!$B$12,Paramètres!$A$1:$I$88,3,0)*VLOOKUP('Données projet'!$B$12,Paramètres!$A$1:$I$88,5,0)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201.94015973767443</v>
      </c>
      <c r="CE140" s="62">
        <f t="shared" si="148"/>
        <v>287.12228849146032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17.826622886237441</v>
      </c>
      <c r="CL140" s="23">
        <f>EXP(-LN(2)/25)*CL139+(1-EXP(-LN(2)/25))/(LN(2)/25)*Calculateur!CG140*Calculateur!CI140*VLOOKUP('Données projet'!$B$12,Paramètres!$A$1:$I$88,3,0)*0.475*44/12</f>
        <v>2.6878742537695817</v>
      </c>
      <c r="CM140" s="23">
        <f>EXP(-LN(2)/2)*CM139+(1-EXP(-LN(2)/2))/(LN(2)/2)*CG140*CJ140*VLOOKUP('Données projet'!$B$12,Paramètres!$A$1:$I$88,3,0)*0.475*44/12</f>
        <v>1.5737468325291207E-12</v>
      </c>
      <c r="CN140" s="24">
        <f t="shared" si="120"/>
        <v>20.514497140008597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201.94015973767443</v>
      </c>
      <c r="T141" s="62">
        <f t="shared" si="142"/>
        <v>287.12228849146032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17.477053684604648</v>
      </c>
      <c r="AA141" s="23">
        <f>EXP(-LN(2)/25)*AA140+(1-EXP(-LN(2)/25))/(LN(2)/25)*Calculateur!V141*Calculateur!X141*VLOOKUP('Données projet'!$B$9,Paramètres!$A$1:$I$88,3,0)*0.475*44/12</f>
        <v>2.6143741909510885</v>
      </c>
      <c r="AB141" s="23">
        <f>EXP(-LN(2)/2)*AB140+(1-EXP(-LN(2)/2))/(LN(2)/2)*V141*Y141*VLOOKUP('Données projet'!$B$9,Paramètres!$A$1:$I$88,3,0)*0.475*44/12</f>
        <v>1.1128070571521912E-12</v>
      </c>
      <c r="AC141" s="24">
        <f t="shared" si="111"/>
        <v>20.09142787555685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projet'!$B$10,Paramètres!$A$1:$I$88,3,0)*VLOOKUP('Données projet'!$B$10,Paramètres!$A$1:$I$88,5,0)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135.19533066605396</v>
      </c>
      <c r="AO141" s="62">
        <f t="shared" si="144"/>
        <v>213.60182977243113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12.524933567579019</v>
      </c>
      <c r="AV141" s="23">
        <f>EXP(-LN(2)/25)*AV140+(1-EXP(-LN(2)/25))/(LN(2)/25)*Calculateur!AQ141*Calculateur!AS141*VLOOKUP('Données projet'!$B$10,Paramètres!$A$1:$I$88,3,0)*0.475*44/12</f>
        <v>2.2285418495143401</v>
      </c>
      <c r="AW141" s="23">
        <f>EXP(-LN(2)/2)*AW140+(1-EXP(-LN(2)/2))/(LN(2)/2)*AQ141*AT141*VLOOKUP('Données projet'!$B$10,Paramètres!$A$1:$I$88,3,0)*0.475*44/12</f>
        <v>1.1667818607593528E-12</v>
      </c>
      <c r="AX141" s="23">
        <f t="shared" si="114"/>
        <v>14.753475417094526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1.7053025658242404E-13</v>
      </c>
      <c r="BE141" s="14">
        <f>BD141*VLOOKUP('Données projet'!$B$11,Paramètres!$A$1:$I$88,3,0)*VLOOKUP('Données projet'!$B$11,Paramètres!$A$1:$I$88,5,0)</f>
        <v>1.0197709343628959E-13</v>
      </c>
      <c r="BF141" s="14">
        <f t="shared" si="145"/>
        <v>1.5284983994279675E-12</v>
      </c>
      <c r="BG141" s="22">
        <f t="shared" si="115"/>
        <v>2.839744816738581E-12</v>
      </c>
      <c r="BH141" s="62">
        <f t="shared" si="116"/>
        <v>293.33333333333616</v>
      </c>
      <c r="BI141" s="62">
        <f ca="1">AVERAGE(OFFSET($BH$3,0,0,'Données projet'!$E$11+1,1))-AVERAGE(OFFSET($H$3,0,0,'Données projet'!$E$11+1,1))</f>
        <v>258.1884172762135</v>
      </c>
      <c r="BJ141" s="62">
        <f t="shared" si="146"/>
        <v>356.36714671797864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23.468136193338061</v>
      </c>
      <c r="BQ141" s="23">
        <f>EXP(-LN(2)/25)*BQ140+(1-EXP(-LN(2)/25))/(LN(2)/25)*Calculateur!BL141*Calculateur!BN141*VLOOKUP('Données projet'!$B$11,Paramètres!$A$1:$I$88,3,0)*0.475*44/12</f>
        <v>3.7505956193406864</v>
      </c>
      <c r="BR141" s="23">
        <f>EXP(-LN(2)/2)*BR140+(1-EXP(-LN(2)/2))/(LN(2)/2)*BL141*BO141*VLOOKUP('Données projet'!$B$11,Paramètres!$A$1:$I$88,3,0)*0.475*44/12</f>
        <v>1.4886636774639949E-12</v>
      </c>
      <c r="BS141" s="24">
        <f t="shared" si="117"/>
        <v>27.218731812680236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projet'!$B$12,Paramètres!$A$1:$I$88,3,0)*VLOOKUP('Données projet'!$B$12,Paramètres!$A$1:$I$88,5,0)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201.94015973767443</v>
      </c>
      <c r="CE141" s="62">
        <f t="shared" si="148"/>
        <v>287.12228849146032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17.477053684604648</v>
      </c>
      <c r="CL141" s="23">
        <f>EXP(-LN(2)/25)*CL140+(1-EXP(-LN(2)/25))/(LN(2)/25)*Calculateur!CG141*Calculateur!CI141*VLOOKUP('Données projet'!$B$12,Paramètres!$A$1:$I$88,3,0)*0.475*44/12</f>
        <v>2.6143741909510885</v>
      </c>
      <c r="CM141" s="23">
        <f>EXP(-LN(2)/2)*CM140+(1-EXP(-LN(2)/2))/(LN(2)/2)*CG141*CJ141*VLOOKUP('Données projet'!$B$12,Paramètres!$A$1:$I$88,3,0)*0.475*44/12</f>
        <v>1.1128070571521912E-12</v>
      </c>
      <c r="CN141" s="24">
        <f t="shared" si="120"/>
        <v>20.09142787555685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201.94015973767443</v>
      </c>
      <c r="T142" s="62">
        <f t="shared" si="142"/>
        <v>287.12228849146032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17.134339321799715</v>
      </c>
      <c r="AA142" s="23">
        <f>EXP(-LN(2)/25)*AA141+(1-EXP(-LN(2)/25))/(LN(2)/25)*Calculateur!V142*Calculateur!X142*VLOOKUP('Données projet'!$B$9,Paramètres!$A$1:$I$88,3,0)*0.475*44/12</f>
        <v>2.5428839912155676</v>
      </c>
      <c r="AB142" s="23">
        <f>EXP(-LN(2)/2)*AB141+(1-EXP(-LN(2)/2))/(LN(2)/2)*V142*Y142*VLOOKUP('Données projet'!$B$9,Paramètres!$A$1:$I$88,3,0)*0.475*44/12</f>
        <v>7.8687341626456037E-13</v>
      </c>
      <c r="AC142" s="24">
        <f t="shared" si="111"/>
        <v>19.677223313016068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projet'!$B$10,Paramètres!$A$1:$I$88,3,0)*VLOOKUP('Données projet'!$B$10,Paramètres!$A$1:$I$88,5,0)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135.19533066605396</v>
      </c>
      <c r="AO142" s="62">
        <f t="shared" si="144"/>
        <v>213.60182977243113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12.279327259773938</v>
      </c>
      <c r="AV142" s="23">
        <f>EXP(-LN(2)/25)*AV141+(1-EXP(-LN(2)/25))/(LN(2)/25)*Calculateur!AQ142*Calculateur!AS142*VLOOKUP('Données projet'!$B$10,Paramètres!$A$1:$I$88,3,0)*0.475*44/12</f>
        <v>2.1676022554454479</v>
      </c>
      <c r="AW142" s="23">
        <f>EXP(-LN(2)/2)*AW141+(1-EXP(-LN(2)/2))/(LN(2)/2)*AQ142*AT142*VLOOKUP('Données projet'!$B$10,Paramètres!$A$1:$I$88,3,0)*0.475*44/12</f>
        <v>8.2503936590839642E-13</v>
      </c>
      <c r="AX142" s="23">
        <f t="shared" si="114"/>
        <v>14.44692951522021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1.7053025658242404E-13</v>
      </c>
      <c r="BE142" s="14">
        <f>BD142*VLOOKUP('Données projet'!$B$11,Paramètres!$A$1:$I$88,3,0)*VLOOKUP('Données projet'!$B$11,Paramètres!$A$1:$I$88,5,0)</f>
        <v>1.0197709343628959E-13</v>
      </c>
      <c r="BF142" s="14">
        <f t="shared" si="145"/>
        <v>1.5284983994279675E-12</v>
      </c>
      <c r="BG142" s="22">
        <f t="shared" si="115"/>
        <v>2.839744816738581E-12</v>
      </c>
      <c r="BH142" s="62">
        <f t="shared" si="116"/>
        <v>293.33333333333616</v>
      </c>
      <c r="BI142" s="62">
        <f ca="1">AVERAGE(OFFSET($BH$3,0,0,'Données projet'!$E$11+1,1))-AVERAGE(OFFSET($H$3,0,0,'Données projet'!$E$11+1,1))</f>
        <v>258.1884172762135</v>
      </c>
      <c r="BJ142" s="62">
        <f t="shared" si="146"/>
        <v>356.36714671797864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23.007940356736373</v>
      </c>
      <c r="BQ142" s="23">
        <f>EXP(-LN(2)/25)*BQ141+(1-EXP(-LN(2)/25))/(LN(2)/25)*Calculateur!BL142*Calculateur!BN142*VLOOKUP('Données projet'!$B$11,Paramètres!$A$1:$I$88,3,0)*0.475*44/12</f>
        <v>3.6480353848945639</v>
      </c>
      <c r="BR142" s="23">
        <f>EXP(-LN(2)/2)*BR141+(1-EXP(-LN(2)/2))/(LN(2)/2)*BL142*BO142*VLOOKUP('Données projet'!$B$11,Paramètres!$A$1:$I$88,3,0)*0.475*44/12</f>
        <v>1.0526441812408942E-12</v>
      </c>
      <c r="BS142" s="24">
        <f t="shared" si="117"/>
        <v>26.655975741631988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projet'!$B$12,Paramètres!$A$1:$I$88,3,0)*VLOOKUP('Données projet'!$B$12,Paramètres!$A$1:$I$88,5,0)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201.94015973767443</v>
      </c>
      <c r="CE142" s="62">
        <f t="shared" si="148"/>
        <v>287.12228849146032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17.134339321799715</v>
      </c>
      <c r="CL142" s="23">
        <f>EXP(-LN(2)/25)*CL141+(1-EXP(-LN(2)/25))/(LN(2)/25)*Calculateur!CG142*Calculateur!CI142*VLOOKUP('Données projet'!$B$12,Paramètres!$A$1:$I$88,3,0)*0.475*44/12</f>
        <v>2.5428839912155676</v>
      </c>
      <c r="CM142" s="23">
        <f>EXP(-LN(2)/2)*CM141+(1-EXP(-LN(2)/2))/(LN(2)/2)*CG142*CJ142*VLOOKUP('Données projet'!$B$12,Paramètres!$A$1:$I$88,3,0)*0.475*44/12</f>
        <v>7.8687341626456037E-13</v>
      </c>
      <c r="CN142" s="24">
        <f t="shared" si="120"/>
        <v>19.677223313016068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201.94015973767443</v>
      </c>
      <c r="T143" s="62">
        <f t="shared" si="142"/>
        <v>287.12228849146032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16.798345378614265</v>
      </c>
      <c r="AA143" s="23">
        <f>EXP(-LN(2)/25)*AA142+(1-EXP(-LN(2)/25))/(LN(2)/25)*Calculateur!V143*Calculateur!X143*VLOOKUP('Données projet'!$B$9,Paramètres!$A$1:$I$88,3,0)*0.475*44/12</f>
        <v>2.4733486947513206</v>
      </c>
      <c r="AB143" s="23">
        <f>EXP(-LN(2)/2)*AB142+(1-EXP(-LN(2)/2))/(LN(2)/2)*V143*Y143*VLOOKUP('Données projet'!$B$9,Paramètres!$A$1:$I$88,3,0)*0.475*44/12</f>
        <v>5.5640352857609561E-13</v>
      </c>
      <c r="AC143" s="24">
        <f t="shared" si="111"/>
        <v>19.271694073366142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projet'!$B$10,Paramètres!$A$1:$I$88,3,0)*VLOOKUP('Données projet'!$B$10,Paramètres!$A$1:$I$88,5,0)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135.19533066605396</v>
      </c>
      <c r="AO143" s="62">
        <f t="shared" si="144"/>
        <v>213.60182977243113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12.038537141859857</v>
      </c>
      <c r="AV143" s="23">
        <f>EXP(-LN(2)/25)*AV142+(1-EXP(-LN(2)/25))/(LN(2)/25)*Calculateur!AQ143*Calculateur!AS143*VLOOKUP('Données projet'!$B$10,Paramètres!$A$1:$I$88,3,0)*0.475*44/12</f>
        <v>2.1083290577810438</v>
      </c>
      <c r="AW143" s="23">
        <f>EXP(-LN(2)/2)*AW142+(1-EXP(-LN(2)/2))/(LN(2)/2)*AQ143*AT143*VLOOKUP('Données projet'!$B$10,Paramètres!$A$1:$I$88,3,0)*0.475*44/12</f>
        <v>5.8339093037967638E-13</v>
      </c>
      <c r="AX143" s="23">
        <f t="shared" si="114"/>
        <v>14.146866199641483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1.7053025658242404E-13</v>
      </c>
      <c r="BE143" s="14">
        <f>BD143*VLOOKUP('Données projet'!$B$11,Paramètres!$A$1:$I$88,3,0)*VLOOKUP('Données projet'!$B$11,Paramètres!$A$1:$I$88,5,0)</f>
        <v>1.0197709343628959E-13</v>
      </c>
      <c r="BF143" s="14">
        <f t="shared" si="145"/>
        <v>1.5284983994279675E-12</v>
      </c>
      <c r="BG143" s="22">
        <f t="shared" si="115"/>
        <v>2.839744816738581E-12</v>
      </c>
      <c r="BH143" s="62">
        <f t="shared" si="116"/>
        <v>293.33333333333616</v>
      </c>
      <c r="BI143" s="62">
        <f ca="1">AVERAGE(OFFSET($BH$3,0,0,'Données projet'!$E$11+1,1))-AVERAGE(OFFSET($H$3,0,0,'Données projet'!$E$11+1,1))</f>
        <v>258.1884172762135</v>
      </c>
      <c r="BJ143" s="62">
        <f t="shared" si="146"/>
        <v>356.36714671797864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22.556768679798701</v>
      </c>
      <c r="BQ143" s="23">
        <f>EXP(-LN(2)/25)*BQ142+(1-EXP(-LN(2)/25))/(LN(2)/25)*Calculateur!BL143*Calculateur!BN143*VLOOKUP('Données projet'!$B$11,Paramètres!$A$1:$I$88,3,0)*0.475*44/12</f>
        <v>3.5482796654527791</v>
      </c>
      <c r="BR143" s="23">
        <f>EXP(-LN(2)/2)*BR142+(1-EXP(-LN(2)/2))/(LN(2)/2)*BL143*BO143*VLOOKUP('Données projet'!$B$11,Paramètres!$A$1:$I$88,3,0)*0.475*44/12</f>
        <v>7.4433183873199744E-13</v>
      </c>
      <c r="BS143" s="24">
        <f t="shared" si="117"/>
        <v>26.105048345252225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projet'!$B$12,Paramètres!$A$1:$I$88,3,0)*VLOOKUP('Données projet'!$B$12,Paramètres!$A$1:$I$88,5,0)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201.94015973767443</v>
      </c>
      <c r="CE143" s="62">
        <f t="shared" si="148"/>
        <v>287.12228849146032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16.798345378614265</v>
      </c>
      <c r="CL143" s="23">
        <f>EXP(-LN(2)/25)*CL142+(1-EXP(-LN(2)/25))/(LN(2)/25)*Calculateur!CG143*Calculateur!CI143*VLOOKUP('Données projet'!$B$12,Paramètres!$A$1:$I$88,3,0)*0.475*44/12</f>
        <v>2.4733486947513206</v>
      </c>
      <c r="CM143" s="23">
        <f>EXP(-LN(2)/2)*CM142+(1-EXP(-LN(2)/2))/(LN(2)/2)*CG143*CJ143*VLOOKUP('Données projet'!$B$12,Paramètres!$A$1:$I$88,3,0)*0.475*44/12</f>
        <v>5.5640352857609561E-13</v>
      </c>
      <c r="CN143" s="24">
        <f t="shared" si="120"/>
        <v>19.271694073366142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201.94015973767443</v>
      </c>
      <c r="T144" s="62">
        <f t="shared" si="142"/>
        <v>287.12228849146032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16.468940071718613</v>
      </c>
      <c r="AA144" s="23">
        <f>EXP(-LN(2)/25)*AA143+(1-EXP(-LN(2)/25))/(LN(2)/25)*Calculateur!V144*Calculateur!X144*VLOOKUP('Données projet'!$B$9,Paramètres!$A$1:$I$88,3,0)*0.475*44/12</f>
        <v>2.4057148446255909</v>
      </c>
      <c r="AB144" s="23">
        <f>EXP(-LN(2)/2)*AB143+(1-EXP(-LN(2)/2))/(LN(2)/2)*V144*Y144*VLOOKUP('Données projet'!$B$9,Paramètres!$A$1:$I$88,3,0)*0.475*44/12</f>
        <v>3.9343670813228018E-13</v>
      </c>
      <c r="AC144" s="24">
        <f t="shared" si="111"/>
        <v>18.8746549163446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projet'!$B$10,Paramètres!$A$1:$I$88,3,0)*VLOOKUP('Données projet'!$B$10,Paramètres!$A$1:$I$88,5,0)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135.19533066605396</v>
      </c>
      <c r="AO144" s="62">
        <f t="shared" si="144"/>
        <v>213.60182977243113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11.802468771290602</v>
      </c>
      <c r="AV144" s="23">
        <f>EXP(-LN(2)/25)*AV143+(1-EXP(-LN(2)/25))/(LN(2)/25)*Calculateur!AQ144*Calculateur!AS144*VLOOKUP('Données projet'!$B$10,Paramètres!$A$1:$I$88,3,0)*0.475*44/12</f>
        <v>2.0506766888238146</v>
      </c>
      <c r="AW144" s="23">
        <f>EXP(-LN(2)/2)*AW143+(1-EXP(-LN(2)/2))/(LN(2)/2)*AQ144*AT144*VLOOKUP('Données projet'!$B$10,Paramètres!$A$1:$I$88,3,0)*0.475*44/12</f>
        <v>4.1251968295419821E-13</v>
      </c>
      <c r="AX144" s="23">
        <f t="shared" si="114"/>
        <v>13.853145460114829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1.7053025658242404E-13</v>
      </c>
      <c r="BE144" s="14">
        <f>BD144*VLOOKUP('Données projet'!$B$11,Paramètres!$A$1:$I$88,3,0)*VLOOKUP('Données projet'!$B$11,Paramètres!$A$1:$I$88,5,0)</f>
        <v>1.0197709343628959E-13</v>
      </c>
      <c r="BF144" s="14">
        <f t="shared" si="145"/>
        <v>1.5284983994279675E-12</v>
      </c>
      <c r="BG144" s="22">
        <f t="shared" si="115"/>
        <v>2.839744816738581E-12</v>
      </c>
      <c r="BH144" s="62">
        <f t="shared" si="116"/>
        <v>293.33333333333616</v>
      </c>
      <c r="BI144" s="62">
        <f ca="1">AVERAGE(OFFSET($BH$3,0,0,'Données projet'!$E$11+1,1))-AVERAGE(OFFSET($H$3,0,0,'Données projet'!$E$11+1,1))</f>
        <v>258.1884172762135</v>
      </c>
      <c r="BJ144" s="62">
        <f t="shared" si="146"/>
        <v>356.36714671797864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22.114444204258227</v>
      </c>
      <c r="BQ144" s="23">
        <f>EXP(-LN(2)/25)*BQ143+(1-EXP(-LN(2)/25))/(LN(2)/25)*Calculateur!BL144*Calculateur!BN144*VLOOKUP('Données projet'!$B$11,Paramètres!$A$1:$I$88,3,0)*0.475*44/12</f>
        <v>3.451251771405055</v>
      </c>
      <c r="BR144" s="23">
        <f>EXP(-LN(2)/2)*BR143+(1-EXP(-LN(2)/2))/(LN(2)/2)*BL144*BO144*VLOOKUP('Données projet'!$B$11,Paramètres!$A$1:$I$88,3,0)*0.475*44/12</f>
        <v>5.2632209062044709E-13</v>
      </c>
      <c r="BS144" s="24">
        <f t="shared" si="117"/>
        <v>25.565695975663807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projet'!$B$12,Paramètres!$A$1:$I$88,3,0)*VLOOKUP('Données projet'!$B$12,Paramètres!$A$1:$I$88,5,0)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201.94015973767443</v>
      </c>
      <c r="CE144" s="62">
        <f t="shared" si="148"/>
        <v>287.12228849146032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16.468940071718613</v>
      </c>
      <c r="CL144" s="23">
        <f>EXP(-LN(2)/25)*CL143+(1-EXP(-LN(2)/25))/(LN(2)/25)*Calculateur!CG144*Calculateur!CI144*VLOOKUP('Données projet'!$B$12,Paramètres!$A$1:$I$88,3,0)*0.475*44/12</f>
        <v>2.4057148446255909</v>
      </c>
      <c r="CM144" s="23">
        <f>EXP(-LN(2)/2)*CM143+(1-EXP(-LN(2)/2))/(LN(2)/2)*CG144*CJ144*VLOOKUP('Données projet'!$B$12,Paramètres!$A$1:$I$88,3,0)*0.475*44/12</f>
        <v>3.9343670813228018E-13</v>
      </c>
      <c r="CN144" s="24">
        <f t="shared" si="120"/>
        <v>18.8746549163446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201.94015973767443</v>
      </c>
      <c r="T145" s="62">
        <f t="shared" si="142"/>
        <v>287.12228849146032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16.145994201973789</v>
      </c>
      <c r="AA145" s="23">
        <f>EXP(-LN(2)/25)*AA144+(1-EXP(-LN(2)/25))/(LN(2)/25)*Calculateur!V145*Calculateur!X145*VLOOKUP('Données projet'!$B$9,Paramètres!$A$1:$I$88,3,0)*0.475*44/12</f>
        <v>2.3399304456882586</v>
      </c>
      <c r="AB145" s="23">
        <f>EXP(-LN(2)/2)*AB144+(1-EXP(-LN(2)/2))/(LN(2)/2)*V145*Y145*VLOOKUP('Données projet'!$B$9,Paramètres!$A$1:$I$88,3,0)*0.475*44/12</f>
        <v>2.782017642880478E-13</v>
      </c>
      <c r="AC145" s="24">
        <f t="shared" si="111"/>
        <v>18.485924647662323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projet'!$B$10,Paramètres!$A$1:$I$88,3,0)*VLOOKUP('Données projet'!$B$10,Paramètres!$A$1:$I$88,5,0)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135.19533066605396</v>
      </c>
      <c r="AO145" s="62">
        <f t="shared" si="144"/>
        <v>213.60182977243113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11.571029557480722</v>
      </c>
      <c r="AV145" s="23">
        <f>EXP(-LN(2)/25)*AV144+(1-EXP(-LN(2)/25))/(LN(2)/25)*Calculateur!AQ145*Calculateur!AS145*VLOOKUP('Données projet'!$B$10,Paramètres!$A$1:$I$88,3,0)*0.475*44/12</f>
        <v>1.9946008269275273</v>
      </c>
      <c r="AW145" s="23">
        <f>EXP(-LN(2)/2)*AW144+(1-EXP(-LN(2)/2))/(LN(2)/2)*AQ145*AT145*VLOOKUP('Données projet'!$B$10,Paramètres!$A$1:$I$88,3,0)*0.475*44/12</f>
        <v>2.9169546518983819E-13</v>
      </c>
      <c r="AX145" s="23">
        <f t="shared" si="114"/>
        <v>13.565630384408541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1.7053025658242404E-13</v>
      </c>
      <c r="BE145" s="14">
        <f>BD145*VLOOKUP('Données projet'!$B$11,Paramètres!$A$1:$I$88,3,0)*VLOOKUP('Données projet'!$B$11,Paramètres!$A$1:$I$88,5,0)</f>
        <v>1.0197709343628959E-13</v>
      </c>
      <c r="BF145" s="14">
        <f t="shared" si="145"/>
        <v>1.5284983994279675E-12</v>
      </c>
      <c r="BG145" s="22">
        <f t="shared" si="115"/>
        <v>2.839744816738581E-12</v>
      </c>
      <c r="BH145" s="62">
        <f t="shared" si="116"/>
        <v>293.33333333333616</v>
      </c>
      <c r="BI145" s="62">
        <f ca="1">AVERAGE(OFFSET($BH$3,0,0,'Données projet'!$E$11+1,1))-AVERAGE(OFFSET($H$3,0,0,'Données projet'!$E$11+1,1))</f>
        <v>258.1884172762135</v>
      </c>
      <c r="BJ145" s="62">
        <f t="shared" si="146"/>
        <v>356.36714671797864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21.680793441891812</v>
      </c>
      <c r="BQ145" s="23">
        <f>EXP(-LN(2)/25)*BQ144+(1-EXP(-LN(2)/25))/(LN(2)/25)*Calculateur!BL145*Calculateur!BN145*VLOOKUP('Données projet'!$B$11,Paramètres!$A$1:$I$88,3,0)*0.475*44/12</f>
        <v>3.3568771102225412</v>
      </c>
      <c r="BR145" s="23">
        <f>EXP(-LN(2)/2)*BR144+(1-EXP(-LN(2)/2))/(LN(2)/2)*BL145*BO145*VLOOKUP('Données projet'!$B$11,Paramètres!$A$1:$I$88,3,0)*0.475*44/12</f>
        <v>3.7216591936599872E-13</v>
      </c>
      <c r="BS145" s="24">
        <f t="shared" si="117"/>
        <v>25.037670552114726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projet'!$B$12,Paramètres!$A$1:$I$88,3,0)*VLOOKUP('Données projet'!$B$12,Paramètres!$A$1:$I$88,5,0)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201.94015973767443</v>
      </c>
      <c r="CE145" s="62">
        <f t="shared" si="148"/>
        <v>287.12228849146032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16.145994201973789</v>
      </c>
      <c r="CL145" s="23">
        <f>EXP(-LN(2)/25)*CL144+(1-EXP(-LN(2)/25))/(LN(2)/25)*Calculateur!CG145*Calculateur!CI145*VLOOKUP('Données projet'!$B$12,Paramètres!$A$1:$I$88,3,0)*0.475*44/12</f>
        <v>2.3399304456882586</v>
      </c>
      <c r="CM145" s="23">
        <f>EXP(-LN(2)/2)*CM144+(1-EXP(-LN(2)/2))/(LN(2)/2)*CG145*CJ145*VLOOKUP('Données projet'!$B$12,Paramètres!$A$1:$I$88,3,0)*0.475*44/12</f>
        <v>2.782017642880478E-13</v>
      </c>
      <c r="CN145" s="24">
        <f t="shared" si="120"/>
        <v>18.485924647662323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201.94015973767443</v>
      </c>
      <c r="T146" s="62">
        <f t="shared" si="142"/>
        <v>287.12228849146032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15.829381103757129</v>
      </c>
      <c r="AA146" s="23">
        <f>EXP(-LN(2)/25)*AA145+(1-EXP(-LN(2)/25))/(LN(2)/25)*Calculateur!V146*Calculateur!X146*VLOOKUP('Données projet'!$B$9,Paramètres!$A$1:$I$88,3,0)*0.475*44/12</f>
        <v>2.2759449245993189</v>
      </c>
      <c r="AB146" s="23">
        <f>EXP(-LN(2)/2)*AB145+(1-EXP(-LN(2)/2))/(LN(2)/2)*V146*Y146*VLOOKUP('Données projet'!$B$9,Paramètres!$A$1:$I$88,3,0)*0.475*44/12</f>
        <v>1.9671835406614009E-13</v>
      </c>
      <c r="AC146" s="24">
        <f t="shared" si="111"/>
        <v>18.105326028356643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projet'!$B$10,Paramètres!$A$1:$I$88,3,0)*VLOOKUP('Données projet'!$B$10,Paramètres!$A$1:$I$88,5,0)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135.19533066605396</v>
      </c>
      <c r="AO146" s="62">
        <f t="shared" si="144"/>
        <v>213.60182977243113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11.344128725489671</v>
      </c>
      <c r="AV146" s="23">
        <f>EXP(-LN(2)/25)*AV145+(1-EXP(-LN(2)/25))/(LN(2)/25)*Calculateur!AQ146*Calculateur!AS146*VLOOKUP('Données projet'!$B$10,Paramètres!$A$1:$I$88,3,0)*0.475*44/12</f>
        <v>1.9400583624236953</v>
      </c>
      <c r="AW146" s="23">
        <f>EXP(-LN(2)/2)*AW145+(1-EXP(-LN(2)/2))/(LN(2)/2)*AQ146*AT146*VLOOKUP('Données projet'!$B$10,Paramètres!$A$1:$I$88,3,0)*0.475*44/12</f>
        <v>2.0625984147709911E-13</v>
      </c>
      <c r="AX146" s="23">
        <f t="shared" si="114"/>
        <v>13.284187087913573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1.7053025658242404E-13</v>
      </c>
      <c r="BE146" s="14">
        <f>BD146*VLOOKUP('Données projet'!$B$11,Paramètres!$A$1:$I$88,3,0)*VLOOKUP('Données projet'!$B$11,Paramètres!$A$1:$I$88,5,0)</f>
        <v>1.0197709343628959E-13</v>
      </c>
      <c r="BF146" s="14">
        <f t="shared" si="145"/>
        <v>1.5284983994279675E-12</v>
      </c>
      <c r="BG146" s="22">
        <f t="shared" si="115"/>
        <v>2.839744816738581E-12</v>
      </c>
      <c r="BH146" s="62">
        <f t="shared" si="116"/>
        <v>293.33333333333616</v>
      </c>
      <c r="BI146" s="62">
        <f ca="1">AVERAGE(OFFSET($BH$3,0,0,'Données projet'!$E$11+1,1))-AVERAGE(OFFSET($H$3,0,0,'Données projet'!$E$11+1,1))</f>
        <v>258.1884172762135</v>
      </c>
      <c r="BJ146" s="62">
        <f t="shared" si="146"/>
        <v>356.36714671797864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21.255646306474553</v>
      </c>
      <c r="BQ146" s="23">
        <f>EXP(-LN(2)/25)*BQ145+(1-EXP(-LN(2)/25))/(LN(2)/25)*Calculateur!BL146*Calculateur!BN146*VLOOKUP('Données projet'!$B$11,Paramètres!$A$1:$I$88,3,0)*0.475*44/12</f>
        <v>3.2650831291130107</v>
      </c>
      <c r="BR146" s="23">
        <f>EXP(-LN(2)/2)*BR145+(1-EXP(-LN(2)/2))/(LN(2)/2)*BL146*BO146*VLOOKUP('Données projet'!$B$11,Paramètres!$A$1:$I$88,3,0)*0.475*44/12</f>
        <v>2.6316104531022355E-13</v>
      </c>
      <c r="BS146" s="24">
        <f t="shared" si="117"/>
        <v>24.520729435587825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projet'!$B$12,Paramètres!$A$1:$I$88,3,0)*VLOOKUP('Données projet'!$B$12,Paramètres!$A$1:$I$88,5,0)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201.94015973767443</v>
      </c>
      <c r="CE146" s="62">
        <f t="shared" si="148"/>
        <v>287.12228849146032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15.829381103757129</v>
      </c>
      <c r="CL146" s="23">
        <f>EXP(-LN(2)/25)*CL145+(1-EXP(-LN(2)/25))/(LN(2)/25)*Calculateur!CG146*Calculateur!CI146*VLOOKUP('Données projet'!$B$12,Paramètres!$A$1:$I$88,3,0)*0.475*44/12</f>
        <v>2.2759449245993189</v>
      </c>
      <c r="CM146" s="23">
        <f>EXP(-LN(2)/2)*CM145+(1-EXP(-LN(2)/2))/(LN(2)/2)*CG146*CJ146*VLOOKUP('Données projet'!$B$12,Paramètres!$A$1:$I$88,3,0)*0.475*44/12</f>
        <v>1.9671835406614009E-13</v>
      </c>
      <c r="CN146" s="24">
        <f t="shared" si="120"/>
        <v>18.105326028356643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201.94015973767443</v>
      </c>
      <c r="T147" s="62">
        <f t="shared" si="142"/>
        <v>287.12228849146032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15.518976595281575</v>
      </c>
      <c r="AA147" s="23">
        <f>EXP(-LN(2)/25)*AA146+(1-EXP(-LN(2)/25))/(LN(2)/25)*Calculateur!V147*Calculateur!X147*VLOOKUP('Données projet'!$B$9,Paramètres!$A$1:$I$88,3,0)*0.475*44/12</f>
        <v>2.2137090909494086</v>
      </c>
      <c r="AB147" s="23">
        <f>EXP(-LN(2)/2)*AB146+(1-EXP(-LN(2)/2))/(LN(2)/2)*V147*Y147*VLOOKUP('Données projet'!$B$9,Paramètres!$A$1:$I$88,3,0)*0.475*44/12</f>
        <v>1.391008821440239E-13</v>
      </c>
      <c r="AC147" s="24">
        <f t="shared" si="111"/>
        <v>17.732685686231122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projet'!$B$10,Paramètres!$A$1:$I$88,3,0)*VLOOKUP('Données projet'!$B$10,Paramètres!$A$1:$I$88,5,0)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135.19533066605396</v>
      </c>
      <c r="AO147" s="62">
        <f t="shared" si="144"/>
        <v>213.60182977243113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11.121677280418124</v>
      </c>
      <c r="AV147" s="23">
        <f>EXP(-LN(2)/25)*AV146+(1-EXP(-LN(2)/25))/(LN(2)/25)*Calculateur!AQ147*Calculateur!AS147*VLOOKUP('Données projet'!$B$10,Paramètres!$A$1:$I$88,3,0)*0.475*44/12</f>
        <v>1.8870073644799841</v>
      </c>
      <c r="AW147" s="23">
        <f>EXP(-LN(2)/2)*AW146+(1-EXP(-LN(2)/2))/(LN(2)/2)*AQ147*AT147*VLOOKUP('Données projet'!$B$10,Paramètres!$A$1:$I$88,3,0)*0.475*44/12</f>
        <v>1.4584773259491909E-13</v>
      </c>
      <c r="AX147" s="23">
        <f t="shared" si="114"/>
        <v>13.008684644898254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1.7053025658242404E-13</v>
      </c>
      <c r="BE147" s="14">
        <f>BD147*VLOOKUP('Données projet'!$B$11,Paramètres!$A$1:$I$88,3,0)*VLOOKUP('Données projet'!$B$11,Paramètres!$A$1:$I$88,5,0)</f>
        <v>1.0197709343628959E-13</v>
      </c>
      <c r="BF147" s="14">
        <f t="shared" si="145"/>
        <v>1.5284983994279675E-12</v>
      </c>
      <c r="BG147" s="22">
        <f t="shared" si="115"/>
        <v>2.839744816738581E-12</v>
      </c>
      <c r="BH147" s="62">
        <f t="shared" si="116"/>
        <v>293.33333333333616</v>
      </c>
      <c r="BI147" s="62">
        <f ca="1">AVERAGE(OFFSET($BH$3,0,0,'Données projet'!$E$11+1,1))-AVERAGE(OFFSET($H$3,0,0,'Données projet'!$E$11+1,1))</f>
        <v>258.1884172762135</v>
      </c>
      <c r="BJ147" s="62">
        <f t="shared" si="146"/>
        <v>356.36714671797864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20.838836047068678</v>
      </c>
      <c r="BQ147" s="23">
        <f>EXP(-LN(2)/25)*BQ146+(1-EXP(-LN(2)/25))/(LN(2)/25)*Calculateur!BL147*Calculateur!BN147*VLOOKUP('Données projet'!$B$11,Paramètres!$A$1:$I$88,3,0)*0.475*44/12</f>
        <v>3.175799259244156</v>
      </c>
      <c r="BR147" s="23">
        <f>EXP(-LN(2)/2)*BR146+(1-EXP(-LN(2)/2))/(LN(2)/2)*BL147*BO147*VLOOKUP('Données projet'!$B$11,Paramètres!$A$1:$I$88,3,0)*0.475*44/12</f>
        <v>1.8608295968299936E-13</v>
      </c>
      <c r="BS147" s="24">
        <f t="shared" si="117"/>
        <v>24.014635306313018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projet'!$B$12,Paramètres!$A$1:$I$88,3,0)*VLOOKUP('Données projet'!$B$12,Paramètres!$A$1:$I$88,5,0)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201.94015973767443</v>
      </c>
      <c r="CE147" s="62">
        <f t="shared" si="148"/>
        <v>287.12228849146032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15.518976595281575</v>
      </c>
      <c r="CL147" s="23">
        <f>EXP(-LN(2)/25)*CL146+(1-EXP(-LN(2)/25))/(LN(2)/25)*Calculateur!CG147*Calculateur!CI147*VLOOKUP('Données projet'!$B$12,Paramètres!$A$1:$I$88,3,0)*0.475*44/12</f>
        <v>2.2137090909494086</v>
      </c>
      <c r="CM147" s="23">
        <f>EXP(-LN(2)/2)*CM146+(1-EXP(-LN(2)/2))/(LN(2)/2)*CG147*CJ147*VLOOKUP('Données projet'!$B$12,Paramètres!$A$1:$I$88,3,0)*0.475*44/12</f>
        <v>1.391008821440239E-13</v>
      </c>
      <c r="CN147" s="24">
        <f t="shared" si="120"/>
        <v>17.732685686231122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201.94015973767443</v>
      </c>
      <c r="T148" s="62">
        <f t="shared" si="142"/>
        <v>287.12228849146032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15.214658929889172</v>
      </c>
      <c r="AA148" s="23">
        <f>EXP(-LN(2)/25)*AA147+(1-EXP(-LN(2)/25))/(LN(2)/25)*Calculateur!V148*Calculateur!X148*VLOOKUP('Données projet'!$B$9,Paramètres!$A$1:$I$88,3,0)*0.475*44/12</f>
        <v>2.1531750994434953</v>
      </c>
      <c r="AB148" s="23">
        <f>EXP(-LN(2)/2)*AB147+(1-EXP(-LN(2)/2))/(LN(2)/2)*V148*Y148*VLOOKUP('Données projet'!$B$9,Paramètres!$A$1:$I$88,3,0)*0.475*44/12</f>
        <v>9.8359177033070046E-14</v>
      </c>
      <c r="AC148" s="24">
        <f t="shared" si="111"/>
        <v>17.367834029332766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projet'!$B$10,Paramètres!$A$1:$I$88,3,0)*VLOOKUP('Données projet'!$B$10,Paramètres!$A$1:$I$88,5,0)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135.19533066605396</v>
      </c>
      <c r="AO148" s="62">
        <f t="shared" si="144"/>
        <v>213.60182977243113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10.903587972502446</v>
      </c>
      <c r="AV148" s="23">
        <f>EXP(-LN(2)/25)*AV147+(1-EXP(-LN(2)/25))/(LN(2)/25)*Calculateur!AQ148*Calculateur!AS148*VLOOKUP('Données projet'!$B$10,Paramètres!$A$1:$I$88,3,0)*0.475*44/12</f>
        <v>1.8354070488648744</v>
      </c>
      <c r="AW148" s="23">
        <f>EXP(-LN(2)/2)*AW147+(1-EXP(-LN(2)/2))/(LN(2)/2)*AQ148*AT148*VLOOKUP('Données projet'!$B$10,Paramètres!$A$1:$I$88,3,0)*0.475*44/12</f>
        <v>1.0312992073854955E-13</v>
      </c>
      <c r="AX148" s="23">
        <f t="shared" si="114"/>
        <v>12.738995021367424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1.7053025658242404E-13</v>
      </c>
      <c r="BE148" s="14">
        <f>BD148*VLOOKUP('Données projet'!$B$11,Paramètres!$A$1:$I$88,3,0)*VLOOKUP('Données projet'!$B$11,Paramètres!$A$1:$I$88,5,0)</f>
        <v>1.0197709343628959E-13</v>
      </c>
      <c r="BF148" s="14">
        <f t="shared" si="145"/>
        <v>1.5284983994279675E-12</v>
      </c>
      <c r="BG148" s="22">
        <f t="shared" si="115"/>
        <v>2.839744816738581E-12</v>
      </c>
      <c r="BH148" s="62">
        <f t="shared" si="116"/>
        <v>293.33333333333616</v>
      </c>
      <c r="BI148" s="62">
        <f ca="1">AVERAGE(OFFSET($BH$3,0,0,'Données projet'!$E$11+1,1))-AVERAGE(OFFSET($H$3,0,0,'Données projet'!$E$11+1,1))</f>
        <v>258.1884172762135</v>
      </c>
      <c r="BJ148" s="62">
        <f t="shared" si="146"/>
        <v>356.36714671797864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20.430199182620598</v>
      </c>
      <c r="BQ148" s="23">
        <f>EXP(-LN(2)/25)*BQ147+(1-EXP(-LN(2)/25))/(LN(2)/25)*Calculateur!BL148*Calculateur!BN148*VLOOKUP('Données projet'!$B$11,Paramètres!$A$1:$I$88,3,0)*0.475*44/12</f>
        <v>3.0889568614920999</v>
      </c>
      <c r="BR148" s="23">
        <f>EXP(-LN(2)/2)*BR147+(1-EXP(-LN(2)/2))/(LN(2)/2)*BL148*BO148*VLOOKUP('Données projet'!$B$11,Paramètres!$A$1:$I$88,3,0)*0.475*44/12</f>
        <v>1.3158052265511177E-13</v>
      </c>
      <c r="BS148" s="24">
        <f t="shared" si="117"/>
        <v>23.51915604411283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projet'!$B$12,Paramètres!$A$1:$I$88,3,0)*VLOOKUP('Données projet'!$B$12,Paramètres!$A$1:$I$88,5,0)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201.94015973767443</v>
      </c>
      <c r="CE148" s="62">
        <f t="shared" si="148"/>
        <v>287.12228849146032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15.214658929889172</v>
      </c>
      <c r="CL148" s="23">
        <f>EXP(-LN(2)/25)*CL147+(1-EXP(-LN(2)/25))/(LN(2)/25)*Calculateur!CG148*Calculateur!CI148*VLOOKUP('Données projet'!$B$12,Paramètres!$A$1:$I$88,3,0)*0.475*44/12</f>
        <v>2.1531750994434953</v>
      </c>
      <c r="CM148" s="23">
        <f>EXP(-LN(2)/2)*CM147+(1-EXP(-LN(2)/2))/(LN(2)/2)*CG148*CJ148*VLOOKUP('Données projet'!$B$12,Paramètres!$A$1:$I$88,3,0)*0.475*44/12</f>
        <v>9.8359177033070046E-14</v>
      </c>
      <c r="CN148" s="24">
        <f t="shared" si="120"/>
        <v>17.367834029332766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201.94015973767443</v>
      </c>
      <c r="T149" s="62">
        <f t="shared" si="142"/>
        <v>287.12228849146032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14.916308748299667</v>
      </c>
      <c r="AA149" s="23">
        <f>EXP(-LN(2)/25)*AA148+(1-EXP(-LN(2)/25))/(LN(2)/25)*Calculateur!V149*Calculateur!X149*VLOOKUP('Données projet'!$B$9,Paramètres!$A$1:$I$88,3,0)*0.475*44/12</f>
        <v>2.0942964131186557</v>
      </c>
      <c r="AB149" s="23">
        <f>EXP(-LN(2)/2)*AB148+(1-EXP(-LN(2)/2))/(LN(2)/2)*V149*Y149*VLOOKUP('Données projet'!$B$9,Paramètres!$A$1:$I$88,3,0)*0.475*44/12</f>
        <v>6.9550441072011951E-14</v>
      </c>
      <c r="AC149" s="24">
        <f t="shared" si="111"/>
        <v>17.010605161418393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projet'!$B$10,Paramètres!$A$1:$I$88,3,0)*VLOOKUP('Données projet'!$B$10,Paramètres!$A$1:$I$88,5,0)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135.19533066605396</v>
      </c>
      <c r="AO149" s="62">
        <f t="shared" si="144"/>
        <v>213.60182977243113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10.689775262893651</v>
      </c>
      <c r="AV149" s="23">
        <f>EXP(-LN(2)/25)*AV148+(1-EXP(-LN(2)/25))/(LN(2)/25)*Calculateur!AQ149*Calculateur!AS149*VLOOKUP('Données projet'!$B$10,Paramètres!$A$1:$I$88,3,0)*0.475*44/12</f>
        <v>1.7852177465938026</v>
      </c>
      <c r="AW149" s="23">
        <f>EXP(-LN(2)/2)*AW148+(1-EXP(-LN(2)/2))/(LN(2)/2)*AQ149*AT149*VLOOKUP('Données projet'!$B$10,Paramètres!$A$1:$I$88,3,0)*0.475*44/12</f>
        <v>7.2923866297459547E-14</v>
      </c>
      <c r="AX149" s="23">
        <f t="shared" si="114"/>
        <v>12.474993009487527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1.7053025658242404E-13</v>
      </c>
      <c r="BE149" s="14">
        <f>BD149*VLOOKUP('Données projet'!$B$11,Paramètres!$A$1:$I$88,3,0)*VLOOKUP('Données projet'!$B$11,Paramètres!$A$1:$I$88,5,0)</f>
        <v>1.0197709343628959E-13</v>
      </c>
      <c r="BF149" s="14">
        <f t="shared" si="145"/>
        <v>1.5284983994279675E-12</v>
      </c>
      <c r="BG149" s="22">
        <f t="shared" si="115"/>
        <v>2.839744816738581E-12</v>
      </c>
      <c r="BH149" s="62">
        <f t="shared" si="116"/>
        <v>293.33333333333616</v>
      </c>
      <c r="BI149" s="62">
        <f ca="1">AVERAGE(OFFSET($BH$3,0,0,'Données projet'!$E$11+1,1))-AVERAGE(OFFSET($H$3,0,0,'Données projet'!$E$11+1,1))</f>
        <v>258.1884172762135</v>
      </c>
      <c r="BJ149" s="62">
        <f t="shared" si="146"/>
        <v>356.36714671797864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20.029575437840467</v>
      </c>
      <c r="BQ149" s="23">
        <f>EXP(-LN(2)/25)*BQ148+(1-EXP(-LN(2)/25))/(LN(2)/25)*Calculateur!BL149*Calculateur!BN149*VLOOKUP('Données projet'!$B$11,Paramètres!$A$1:$I$88,3,0)*0.475*44/12</f>
        <v>3.0044891736734169</v>
      </c>
      <c r="BR149" s="23">
        <f>EXP(-LN(2)/2)*BR148+(1-EXP(-LN(2)/2))/(LN(2)/2)*BL149*BO149*VLOOKUP('Données projet'!$B$11,Paramètres!$A$1:$I$88,3,0)*0.475*44/12</f>
        <v>9.304147984149968E-14</v>
      </c>
      <c r="BS149" s="24">
        <f t="shared" si="117"/>
        <v>23.034064611513976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projet'!$B$12,Paramètres!$A$1:$I$88,3,0)*VLOOKUP('Données projet'!$B$12,Paramètres!$A$1:$I$88,5,0)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201.94015973767443</v>
      </c>
      <c r="CE149" s="62">
        <f t="shared" si="148"/>
        <v>287.12228849146032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14.916308748299667</v>
      </c>
      <c r="CL149" s="23">
        <f>EXP(-LN(2)/25)*CL148+(1-EXP(-LN(2)/25))/(LN(2)/25)*Calculateur!CG149*Calculateur!CI149*VLOOKUP('Données projet'!$B$12,Paramètres!$A$1:$I$88,3,0)*0.475*44/12</f>
        <v>2.0942964131186557</v>
      </c>
      <c r="CM149" s="23">
        <f>EXP(-LN(2)/2)*CM148+(1-EXP(-LN(2)/2))/(LN(2)/2)*CG149*CJ149*VLOOKUP('Données projet'!$B$12,Paramètres!$A$1:$I$88,3,0)*0.475*44/12</f>
        <v>6.9550441072011951E-14</v>
      </c>
      <c r="CN149" s="24">
        <f t="shared" si="120"/>
        <v>17.010605161418393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201.94015973767443</v>
      </c>
      <c r="T150" s="62">
        <f t="shared" si="142"/>
        <v>287.12228849146032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14.623809031795489</v>
      </c>
      <c r="AA150" s="23">
        <f>EXP(-LN(2)/25)*AA149+(1-EXP(-LN(2)/25))/(LN(2)/25)*Calculateur!V150*Calculateur!X150*VLOOKUP('Données projet'!$B$9,Paramètres!$A$1:$I$88,3,0)*0.475*44/12</f>
        <v>2.0370277675676642</v>
      </c>
      <c r="AB150" s="23">
        <f>EXP(-LN(2)/2)*AB149+(1-EXP(-LN(2)/2))/(LN(2)/2)*V150*Y150*VLOOKUP('Données projet'!$B$9,Paramètres!$A$1:$I$88,3,0)*0.475*44/12</f>
        <v>4.9179588516535023E-14</v>
      </c>
      <c r="AC150" s="24">
        <f t="shared" si="111"/>
        <v>16.660836799363203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projet'!$B$10,Paramètres!$A$1:$I$88,3,0)*VLOOKUP('Données projet'!$B$10,Paramètres!$A$1:$I$88,5,0)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135.19533066605396</v>
      </c>
      <c r="AO150" s="62">
        <f t="shared" si="144"/>
        <v>213.60182977243113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10.480155290107408</v>
      </c>
      <c r="AV150" s="23">
        <f>EXP(-LN(2)/25)*AV149+(1-EXP(-LN(2)/25))/(LN(2)/25)*Calculateur!AQ150*Calculateur!AS150*VLOOKUP('Données projet'!$B$10,Paramètres!$A$1:$I$88,3,0)*0.475*44/12</f>
        <v>1.7364008734326739</v>
      </c>
      <c r="AW150" s="23">
        <f>EXP(-LN(2)/2)*AW149+(1-EXP(-LN(2)/2))/(LN(2)/2)*AQ150*AT150*VLOOKUP('Données projet'!$B$10,Paramètres!$A$1:$I$88,3,0)*0.475*44/12</f>
        <v>5.1564960369274776E-14</v>
      </c>
      <c r="AX150" s="23">
        <f t="shared" si="114"/>
        <v>12.216556163540133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1.7053025658242404E-13</v>
      </c>
      <c r="BE150" s="14">
        <f>BD150*VLOOKUP('Données projet'!$B$11,Paramètres!$A$1:$I$88,3,0)*VLOOKUP('Données projet'!$B$11,Paramètres!$A$1:$I$88,5,0)</f>
        <v>1.0197709343628959E-13</v>
      </c>
      <c r="BF150" s="14">
        <f t="shared" si="145"/>
        <v>1.5284983994279675E-12</v>
      </c>
      <c r="BG150" s="22">
        <f t="shared" si="115"/>
        <v>2.839744816738581E-12</v>
      </c>
      <c r="BH150" s="62">
        <f t="shared" si="116"/>
        <v>293.33333333333616</v>
      </c>
      <c r="BI150" s="62">
        <f ca="1">AVERAGE(OFFSET($BH$3,0,0,'Données projet'!$E$11+1,1))-AVERAGE(OFFSET($H$3,0,0,'Données projet'!$E$11+1,1))</f>
        <v>258.1884172762135</v>
      </c>
      <c r="BJ150" s="62">
        <f t="shared" si="146"/>
        <v>356.36714671797864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19.636807680339121</v>
      </c>
      <c r="BQ150" s="23">
        <f>EXP(-LN(2)/25)*BQ149+(1-EXP(-LN(2)/25))/(LN(2)/25)*Calculateur!BL150*Calculateur!BN150*VLOOKUP('Données projet'!$B$11,Paramètres!$A$1:$I$88,3,0)*0.475*44/12</f>
        <v>2.9223312592200985</v>
      </c>
      <c r="BR150" s="23">
        <f>EXP(-LN(2)/2)*BR149+(1-EXP(-LN(2)/2))/(LN(2)/2)*BL150*BO150*VLOOKUP('Données projet'!$B$11,Paramètres!$A$1:$I$88,3,0)*0.475*44/12</f>
        <v>6.5790261327555886E-14</v>
      </c>
      <c r="BS150" s="24">
        <f t="shared" si="117"/>
        <v>22.559138939559286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projet'!$B$12,Paramètres!$A$1:$I$88,3,0)*VLOOKUP('Données projet'!$B$12,Paramètres!$A$1:$I$88,5,0)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201.94015973767443</v>
      </c>
      <c r="CE150" s="62">
        <f t="shared" si="148"/>
        <v>287.12228849146032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14.623809031795489</v>
      </c>
      <c r="CL150" s="23">
        <f>EXP(-LN(2)/25)*CL149+(1-EXP(-LN(2)/25))/(LN(2)/25)*Calculateur!CG150*Calculateur!CI150*VLOOKUP('Données projet'!$B$12,Paramètres!$A$1:$I$88,3,0)*0.475*44/12</f>
        <v>2.0370277675676642</v>
      </c>
      <c r="CM150" s="23">
        <f>EXP(-LN(2)/2)*CM149+(1-EXP(-LN(2)/2))/(LN(2)/2)*CG150*CJ150*VLOOKUP('Données projet'!$B$12,Paramètres!$A$1:$I$88,3,0)*0.475*44/12</f>
        <v>4.9179588516535023E-14</v>
      </c>
      <c r="CN150" s="24">
        <f t="shared" si="120"/>
        <v>16.660836799363203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201.94015973767443</v>
      </c>
      <c r="T151" s="62">
        <f t="shared" si="142"/>
        <v>287.12228849146032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14.337045056324747</v>
      </c>
      <c r="AA151" s="23">
        <f>EXP(-LN(2)/25)*AA150+(1-EXP(-LN(2)/25))/(LN(2)/25)*Calculateur!V151*Calculateur!X151*VLOOKUP('Données projet'!$B$9,Paramètres!$A$1:$I$88,3,0)*0.475*44/12</f>
        <v>1.9813251361408919</v>
      </c>
      <c r="AB151" s="23">
        <f>EXP(-LN(2)/2)*AB150+(1-EXP(-LN(2)/2))/(LN(2)/2)*V151*Y151*VLOOKUP('Données projet'!$B$9,Paramètres!$A$1:$I$88,3,0)*0.475*44/12</f>
        <v>3.4775220536005975E-14</v>
      </c>
      <c r="AC151" s="24">
        <f t="shared" si="111"/>
        <v>16.318370192465675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projet'!$B$10,Paramètres!$A$1:$I$88,3,0)*VLOOKUP('Données projet'!$B$10,Paramètres!$A$1:$I$88,5,0)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135.19533066605396</v>
      </c>
      <c r="AO151" s="62">
        <f t="shared" si="144"/>
        <v>213.60182977243113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10.274645837131946</v>
      </c>
      <c r="AV151" s="23">
        <f>EXP(-LN(2)/25)*AV150+(1-EXP(-LN(2)/25))/(LN(2)/25)*Calculateur!AQ151*Calculateur!AS151*VLOOKUP('Données projet'!$B$10,Paramètres!$A$1:$I$88,3,0)*0.475*44/12</f>
        <v>1.688918900235304</v>
      </c>
      <c r="AW151" s="23">
        <f>EXP(-LN(2)/2)*AW150+(1-EXP(-LN(2)/2))/(LN(2)/2)*AQ151*AT151*VLOOKUP('Données projet'!$B$10,Paramètres!$A$1:$I$88,3,0)*0.475*44/12</f>
        <v>3.6461933148729774E-14</v>
      </c>
      <c r="AX151" s="23">
        <f t="shared" si="114"/>
        <v>11.963564737367287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1.7053025658242404E-13</v>
      </c>
      <c r="BE151" s="14">
        <f>BD151*VLOOKUP('Données projet'!$B$11,Paramètres!$A$1:$I$88,3,0)*VLOOKUP('Données projet'!$B$11,Paramètres!$A$1:$I$88,5,0)</f>
        <v>1.0197709343628959E-13</v>
      </c>
      <c r="BF151" s="14">
        <f t="shared" si="145"/>
        <v>1.5284983994279675E-12</v>
      </c>
      <c r="BG151" s="22">
        <f t="shared" si="115"/>
        <v>2.839744816738581E-12</v>
      </c>
      <c r="BH151" s="62">
        <f t="shared" si="116"/>
        <v>293.33333333333616</v>
      </c>
      <c r="BI151" s="62">
        <f ca="1">AVERAGE(OFFSET($BH$3,0,0,'Données projet'!$E$11+1,1))-AVERAGE(OFFSET($H$3,0,0,'Données projet'!$E$11+1,1))</f>
        <v>258.1884172762135</v>
      </c>
      <c r="BJ151" s="62">
        <f t="shared" si="146"/>
        <v>356.36714671797864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19.251741858997701</v>
      </c>
      <c r="BQ151" s="23">
        <f>EXP(-LN(2)/25)*BQ150+(1-EXP(-LN(2)/25))/(LN(2)/25)*Calculateur!BL151*Calculateur!BN151*VLOOKUP('Données projet'!$B$11,Paramètres!$A$1:$I$88,3,0)*0.475*44/12</f>
        <v>2.8424199572580031</v>
      </c>
      <c r="BR151" s="23">
        <f>EXP(-LN(2)/2)*BR150+(1-EXP(-LN(2)/2))/(LN(2)/2)*BL151*BO151*VLOOKUP('Données projet'!$B$11,Paramètres!$A$1:$I$88,3,0)*0.475*44/12</f>
        <v>4.652073992074984E-14</v>
      </c>
      <c r="BS151" s="24">
        <f t="shared" si="117"/>
        <v>22.094161816255749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projet'!$B$12,Paramètres!$A$1:$I$88,3,0)*VLOOKUP('Données projet'!$B$12,Paramètres!$A$1:$I$88,5,0)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201.94015973767443</v>
      </c>
      <c r="CE151" s="62">
        <f t="shared" si="148"/>
        <v>287.12228849146032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14.337045056324747</v>
      </c>
      <c r="CL151" s="23">
        <f>EXP(-LN(2)/25)*CL150+(1-EXP(-LN(2)/25))/(LN(2)/25)*Calculateur!CG151*Calculateur!CI151*VLOOKUP('Données projet'!$B$12,Paramètres!$A$1:$I$88,3,0)*0.475*44/12</f>
        <v>1.9813251361408919</v>
      </c>
      <c r="CM151" s="23">
        <f>EXP(-LN(2)/2)*CM150+(1-EXP(-LN(2)/2))/(LN(2)/2)*CG151*CJ151*VLOOKUP('Données projet'!$B$12,Paramètres!$A$1:$I$88,3,0)*0.475*44/12</f>
        <v>3.4775220536005975E-14</v>
      </c>
      <c r="CN151" s="24">
        <f t="shared" si="120"/>
        <v>16.318370192465675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201.94015973767443</v>
      </c>
      <c r="T152" s="62">
        <f t="shared" si="142"/>
        <v>287.12228849146032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14.055904347504233</v>
      </c>
      <c r="AA152" s="23">
        <f>EXP(-LN(2)/25)*AA151+(1-EXP(-LN(2)/25))/(LN(2)/25)*Calculateur!V152*Calculateur!X152*VLOOKUP('Données projet'!$B$9,Paramètres!$A$1:$I$88,3,0)*0.475*44/12</f>
        <v>1.9271456960997586</v>
      </c>
      <c r="AB152" s="23">
        <f>EXP(-LN(2)/2)*AB151+(1-EXP(-LN(2)/2))/(LN(2)/2)*V152*Y152*VLOOKUP('Données projet'!$B$9,Paramètres!$A$1:$I$88,3,0)*0.475*44/12</f>
        <v>2.4589794258267512E-14</v>
      </c>
      <c r="AC152" s="24">
        <f t="shared" si="111"/>
        <v>15.983050043604017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projet'!$B$10,Paramètres!$A$1:$I$88,3,0)*VLOOKUP('Données projet'!$B$10,Paramètres!$A$1:$I$88,5,0)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135.19533066605396</v>
      </c>
      <c r="AO152" s="62">
        <f t="shared" si="144"/>
        <v>213.60182977243113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10.073166299180942</v>
      </c>
      <c r="AV152" s="23">
        <f>EXP(-LN(2)/25)*AV151+(1-EXP(-LN(2)/25))/(LN(2)/25)*Calculateur!AQ152*Calculateur!AS152*VLOOKUP('Données projet'!$B$10,Paramètres!$A$1:$I$88,3,0)*0.475*44/12</f>
        <v>1.6427353240919846</v>
      </c>
      <c r="AW152" s="23">
        <f>EXP(-LN(2)/2)*AW151+(1-EXP(-LN(2)/2))/(LN(2)/2)*AQ152*AT152*VLOOKUP('Données projet'!$B$10,Paramètres!$A$1:$I$88,3,0)*0.475*44/12</f>
        <v>2.5782480184637388E-14</v>
      </c>
      <c r="AX152" s="23">
        <f t="shared" si="114"/>
        <v>11.715901623272954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1.7053025658242404E-13</v>
      </c>
      <c r="BE152" s="14">
        <f>BD152*VLOOKUP('Données projet'!$B$11,Paramètres!$A$1:$I$88,3,0)*VLOOKUP('Données projet'!$B$11,Paramètres!$A$1:$I$88,5,0)</f>
        <v>1.0197709343628959E-13</v>
      </c>
      <c r="BF152" s="14">
        <f t="shared" si="145"/>
        <v>1.5284983994279675E-12</v>
      </c>
      <c r="BG152" s="22">
        <f t="shared" si="115"/>
        <v>2.839744816738581E-12</v>
      </c>
      <c r="BH152" s="62">
        <f t="shared" si="116"/>
        <v>293.33333333333616</v>
      </c>
      <c r="BI152" s="62">
        <f ca="1">AVERAGE(OFFSET($BH$3,0,0,'Données projet'!$E$11+1,1))-AVERAGE(OFFSET($H$3,0,0,'Données projet'!$E$11+1,1))</f>
        <v>258.1884172762135</v>
      </c>
      <c r="BJ152" s="62">
        <f t="shared" si="146"/>
        <v>356.36714671797864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18.874226943545825</v>
      </c>
      <c r="BQ152" s="23">
        <f>EXP(-LN(2)/25)*BQ151+(1-EXP(-LN(2)/25))/(LN(2)/25)*Calculateur!BL152*Calculateur!BN152*VLOOKUP('Données projet'!$B$11,Paramètres!$A$1:$I$88,3,0)*0.475*44/12</f>
        <v>2.7646938340504139</v>
      </c>
      <c r="BR152" s="23">
        <f>EXP(-LN(2)/2)*BR151+(1-EXP(-LN(2)/2))/(LN(2)/2)*BL152*BO152*VLOOKUP('Données projet'!$B$11,Paramètres!$A$1:$I$88,3,0)*0.475*44/12</f>
        <v>3.2895130663777943E-14</v>
      </c>
      <c r="BS152" s="24">
        <f t="shared" si="117"/>
        <v>21.638920777596272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projet'!$B$12,Paramètres!$A$1:$I$88,3,0)*VLOOKUP('Données projet'!$B$12,Paramètres!$A$1:$I$88,5,0)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201.94015973767443</v>
      </c>
      <c r="CE152" s="62">
        <f t="shared" si="148"/>
        <v>287.12228849146032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14.055904347504233</v>
      </c>
      <c r="CL152" s="23">
        <f>EXP(-LN(2)/25)*CL151+(1-EXP(-LN(2)/25))/(LN(2)/25)*Calculateur!CG152*Calculateur!CI152*VLOOKUP('Données projet'!$B$12,Paramètres!$A$1:$I$88,3,0)*0.475*44/12</f>
        <v>1.9271456960997586</v>
      </c>
      <c r="CM152" s="23">
        <f>EXP(-LN(2)/2)*CM151+(1-EXP(-LN(2)/2))/(LN(2)/2)*CG152*CJ152*VLOOKUP('Données projet'!$B$12,Paramètres!$A$1:$I$88,3,0)*0.475*44/12</f>
        <v>2.4589794258267512E-14</v>
      </c>
      <c r="CN152" s="24">
        <f t="shared" si="120"/>
        <v>15.983050043604017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201.94015973767443</v>
      </c>
      <c r="T153" s="62">
        <f t="shared" si="142"/>
        <v>287.12228849146032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13.780276636504789</v>
      </c>
      <c r="AA153" s="23">
        <f>EXP(-LN(2)/25)*AA152+(1-EXP(-LN(2)/25))/(LN(2)/25)*Calculateur!V153*Calculateur!X153*VLOOKUP('Données projet'!$B$9,Paramètres!$A$1:$I$88,3,0)*0.475*44/12</f>
        <v>1.8744477956957231</v>
      </c>
      <c r="AB153" s="23">
        <f>EXP(-LN(2)/2)*AB152+(1-EXP(-LN(2)/2))/(LN(2)/2)*V153*Y153*VLOOKUP('Données projet'!$B$9,Paramètres!$A$1:$I$88,3,0)*0.475*44/12</f>
        <v>1.7387610268002988E-14</v>
      </c>
      <c r="AC153" s="24">
        <f t="shared" si="111"/>
        <v>15.654724432200529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projet'!$B$10,Paramètres!$A$1:$I$88,3,0)*VLOOKUP('Données projet'!$B$10,Paramètres!$A$1:$I$88,5,0)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135.19533066605396</v>
      </c>
      <c r="AO153" s="62">
        <f t="shared" si="144"/>
        <v>213.60182977243113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9.8756376520787743</v>
      </c>
      <c r="AV153" s="23">
        <f>EXP(-LN(2)/25)*AV152+(1-EXP(-LN(2)/25))/(LN(2)/25)*Calculateur!AQ153*Calculateur!AS153*VLOOKUP('Données projet'!$B$10,Paramètres!$A$1:$I$88,3,0)*0.475*44/12</f>
        <v>1.597814640266993</v>
      </c>
      <c r="AW153" s="23">
        <f>EXP(-LN(2)/2)*AW152+(1-EXP(-LN(2)/2))/(LN(2)/2)*AQ153*AT153*VLOOKUP('Données projet'!$B$10,Paramètres!$A$1:$I$88,3,0)*0.475*44/12</f>
        <v>1.8230966574364887E-14</v>
      </c>
      <c r="AX153" s="23">
        <f t="shared" si="114"/>
        <v>11.473452292345785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1.7053025658242404E-13</v>
      </c>
      <c r="BE153" s="14">
        <f>BD153*VLOOKUP('Données projet'!$B$11,Paramètres!$A$1:$I$88,3,0)*VLOOKUP('Données projet'!$B$11,Paramètres!$A$1:$I$88,5,0)</f>
        <v>1.0197709343628959E-13</v>
      </c>
      <c r="BF153" s="14">
        <f t="shared" si="145"/>
        <v>1.5284983994279675E-12</v>
      </c>
      <c r="BG153" s="22">
        <f t="shared" si="115"/>
        <v>2.839744816738581E-12</v>
      </c>
      <c r="BH153" s="62">
        <f t="shared" si="116"/>
        <v>293.33333333333616</v>
      </c>
      <c r="BI153" s="62">
        <f ca="1">AVERAGE(OFFSET($BH$3,0,0,'Données projet'!$E$11+1,1))-AVERAGE(OFFSET($H$3,0,0,'Données projet'!$E$11+1,1))</f>
        <v>258.1884172762135</v>
      </c>
      <c r="BJ153" s="62">
        <f t="shared" si="146"/>
        <v>356.36714671797864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18.504114865324595</v>
      </c>
      <c r="BQ153" s="23">
        <f>EXP(-LN(2)/25)*BQ152+(1-EXP(-LN(2)/25))/(LN(2)/25)*Calculateur!BL153*Calculateur!BN153*VLOOKUP('Données projet'!$B$11,Paramètres!$A$1:$I$88,3,0)*0.475*44/12</f>
        <v>2.6890931357693755</v>
      </c>
      <c r="BR153" s="23">
        <f>EXP(-LN(2)/2)*BR152+(1-EXP(-LN(2)/2))/(LN(2)/2)*BL153*BO153*VLOOKUP('Données projet'!$B$11,Paramètres!$A$1:$I$88,3,0)*0.475*44/12</f>
        <v>2.326036996037492E-14</v>
      </c>
      <c r="BS153" s="24">
        <f t="shared" si="117"/>
        <v>21.193208001093996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projet'!$B$12,Paramètres!$A$1:$I$88,3,0)*VLOOKUP('Données projet'!$B$12,Paramètres!$A$1:$I$88,5,0)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201.94015973767443</v>
      </c>
      <c r="CE153" s="62">
        <f t="shared" si="148"/>
        <v>287.12228849146032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13.780276636504789</v>
      </c>
      <c r="CL153" s="23">
        <f>EXP(-LN(2)/25)*CL152+(1-EXP(-LN(2)/25))/(LN(2)/25)*Calculateur!CG153*Calculateur!CI153*VLOOKUP('Données projet'!$B$12,Paramètres!$A$1:$I$88,3,0)*0.475*44/12</f>
        <v>1.8744477956957231</v>
      </c>
      <c r="CM153" s="23">
        <f>EXP(-LN(2)/2)*CM152+(1-EXP(-LN(2)/2))/(LN(2)/2)*CG153*CJ153*VLOOKUP('Données projet'!$B$12,Paramètres!$A$1:$I$88,3,0)*0.475*44/12</f>
        <v>1.7387610268002988E-14</v>
      </c>
      <c r="CN153" s="24">
        <f t="shared" si="120"/>
        <v>15.654724432200529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201.94015973767443</v>
      </c>
      <c r="T154" s="62">
        <f t="shared" si="142"/>
        <v>287.12228849146032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13.51005381680174</v>
      </c>
      <c r="AA154" s="23">
        <f>EXP(-LN(2)/25)*AA153+(1-EXP(-LN(2)/25))/(LN(2)/25)*Calculateur!V154*Calculateur!X154*VLOOKUP('Données projet'!$B$9,Paramètres!$A$1:$I$88,3,0)*0.475*44/12</f>
        <v>1.823190922149498</v>
      </c>
      <c r="AB154" s="23">
        <f>EXP(-LN(2)/2)*AB153+(1-EXP(-LN(2)/2))/(LN(2)/2)*V154*Y154*VLOOKUP('Données projet'!$B$9,Paramètres!$A$1:$I$88,3,0)*0.475*44/12</f>
        <v>1.2294897129133756E-14</v>
      </c>
      <c r="AC154" s="24">
        <f t="shared" ref="AC154:AC203" si="163">SUM(Z154:AB154)</f>
        <v>15.333244738951251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projet'!$B$10,Paramètres!$A$1:$I$88,3,0)*VLOOKUP('Données projet'!$B$10,Paramètres!$A$1:$I$88,5,0)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135.19533066605396</v>
      </c>
      <c r="AO154" s="62">
        <f t="shared" si="144"/>
        <v>213.60182977243113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9.6819824212657011</v>
      </c>
      <c r="AV154" s="23">
        <f>EXP(-LN(2)/25)*AV153+(1-EXP(-LN(2)/25))/(LN(2)/25)*Calculateur!AQ154*Calculateur!AS154*VLOOKUP('Données projet'!$B$10,Paramètres!$A$1:$I$88,3,0)*0.475*44/12</f>
        <v>1.554122314903472</v>
      </c>
      <c r="AW154" s="23">
        <f>EXP(-LN(2)/2)*AW153+(1-EXP(-LN(2)/2))/(LN(2)/2)*AQ154*AT154*VLOOKUP('Données projet'!$B$10,Paramètres!$A$1:$I$88,3,0)*0.475*44/12</f>
        <v>1.2891240092318694E-14</v>
      </c>
      <c r="AX154" s="23">
        <f t="shared" ref="AX154:AX203" si="166">SUM(AU154:AW154)</f>
        <v>11.236104736169185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1.7053025658242404E-13</v>
      </c>
      <c r="BE154" s="14">
        <f>BD154*VLOOKUP('Données projet'!$B$11,Paramètres!$A$1:$I$88,3,0)*VLOOKUP('Données projet'!$B$11,Paramètres!$A$1:$I$88,5,0)</f>
        <v>1.0197709343628959E-13</v>
      </c>
      <c r="BF154" s="14">
        <f t="shared" ref="BF154:BF203" si="167">EXP(-1.0587+0.8836*LN(BE154)+0.284)</f>
        <v>1.5284983994279675E-12</v>
      </c>
      <c r="BG154" s="22">
        <f t="shared" ref="BG154:BG203" si="168">(BE154+BF154)*0.475*44/12</f>
        <v>2.839744816738581E-12</v>
      </c>
      <c r="BH154" s="62">
        <f t="shared" si="116"/>
        <v>293.33333333333616</v>
      </c>
      <c r="BI154" s="62">
        <f ca="1">AVERAGE(OFFSET($BH$3,0,0,'Données projet'!$E$11+1,1))-AVERAGE(OFFSET($H$3,0,0,'Données projet'!$E$11+1,1))</f>
        <v>258.1884172762135</v>
      </c>
      <c r="BJ154" s="62">
        <f t="shared" si="146"/>
        <v>356.36714671797864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18.14126045921121</v>
      </c>
      <c r="BQ154" s="23">
        <f>EXP(-LN(2)/25)*BQ153+(1-EXP(-LN(2)/25))/(LN(2)/25)*Calculateur!BL154*Calculateur!BN154*VLOOKUP('Données projet'!$B$11,Paramètres!$A$1:$I$88,3,0)*0.475*44/12</f>
        <v>2.6155597425584998</v>
      </c>
      <c r="BR154" s="23">
        <f>EXP(-LN(2)/2)*BR153+(1-EXP(-LN(2)/2))/(LN(2)/2)*BL154*BO154*VLOOKUP('Données projet'!$B$11,Paramètres!$A$1:$I$88,3,0)*0.475*44/12</f>
        <v>1.6447565331888972E-14</v>
      </c>
      <c r="BS154" s="24">
        <f t="shared" ref="BS154:BS203" si="169">SUM(BP154:BR154)</f>
        <v>20.756820201769727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projet'!$B$12,Paramètres!$A$1:$I$88,3,0)*VLOOKUP('Données projet'!$B$12,Paramètres!$A$1:$I$88,5,0)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201.94015973767443</v>
      </c>
      <c r="CE154" s="62">
        <f t="shared" si="148"/>
        <v>287.12228849146032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13.51005381680174</v>
      </c>
      <c r="CL154" s="23">
        <f>EXP(-LN(2)/25)*CL153+(1-EXP(-LN(2)/25))/(LN(2)/25)*Calculateur!CG154*Calculateur!CI154*VLOOKUP('Données projet'!$B$12,Paramètres!$A$1:$I$88,3,0)*0.475*44/12</f>
        <v>1.823190922149498</v>
      </c>
      <c r="CM154" s="23">
        <f>EXP(-LN(2)/2)*CM153+(1-EXP(-LN(2)/2))/(LN(2)/2)*CG154*CJ154*VLOOKUP('Données projet'!$B$12,Paramètres!$A$1:$I$88,3,0)*0.475*44/12</f>
        <v>1.2294897129133756E-14</v>
      </c>
      <c r="CN154" s="24">
        <f t="shared" ref="CN154:CN203" si="172">SUM(CK154:CM154)</f>
        <v>15.333244738951251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201.94015973767443</v>
      </c>
      <c r="T155" s="62">
        <f t="shared" si="142"/>
        <v>287.12228849146032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13.245129901773423</v>
      </c>
      <c r="AA155" s="23">
        <f>EXP(-LN(2)/25)*AA154+(1-EXP(-LN(2)/25))/(LN(2)/25)*Calculateur!V155*Calculateur!X155*VLOOKUP('Données projet'!$B$9,Paramètres!$A$1:$I$88,3,0)*0.475*44/12</f>
        <v>1.7733356705058763</v>
      </c>
      <c r="AB155" s="23">
        <f>EXP(-LN(2)/2)*AB154+(1-EXP(-LN(2)/2))/(LN(2)/2)*V155*Y155*VLOOKUP('Données projet'!$B$9,Paramètres!$A$1:$I$88,3,0)*0.475*44/12</f>
        <v>8.6938051340014938E-15</v>
      </c>
      <c r="AC155" s="24">
        <f t="shared" si="163"/>
        <v>15.018465572279307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projet'!$B$10,Paramètres!$A$1:$I$88,3,0)*VLOOKUP('Données projet'!$B$10,Paramètres!$A$1:$I$88,5,0)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135.19533066605396</v>
      </c>
      <c r="AO155" s="62">
        <f t="shared" si="144"/>
        <v>213.60182977243113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9.4921246514108457</v>
      </c>
      <c r="AV155" s="23">
        <f>EXP(-LN(2)/25)*AV154+(1-EXP(-LN(2)/25))/(LN(2)/25)*Calculateur!AQ155*Calculateur!AS155*VLOOKUP('Données projet'!$B$10,Paramètres!$A$1:$I$88,3,0)*0.475*44/12</f>
        <v>1.511624758474696</v>
      </c>
      <c r="AW155" s="23">
        <f>EXP(-LN(2)/2)*AW154+(1-EXP(-LN(2)/2))/(LN(2)/2)*AQ155*AT155*VLOOKUP('Données projet'!$B$10,Paramètres!$A$1:$I$88,3,0)*0.475*44/12</f>
        <v>9.1154832871824434E-15</v>
      </c>
      <c r="AX155" s="23">
        <f t="shared" si="166"/>
        <v>11.00374940988555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1.7053025658242404E-13</v>
      </c>
      <c r="BE155" s="14">
        <f>BD155*VLOOKUP('Données projet'!$B$11,Paramètres!$A$1:$I$88,3,0)*VLOOKUP('Données projet'!$B$11,Paramètres!$A$1:$I$88,5,0)</f>
        <v>1.0197709343628959E-13</v>
      </c>
      <c r="BF155" s="14">
        <f t="shared" si="167"/>
        <v>1.5284983994279675E-12</v>
      </c>
      <c r="BG155" s="22">
        <f t="shared" si="168"/>
        <v>2.839744816738581E-12</v>
      </c>
      <c r="BH155" s="62">
        <f t="shared" si="116"/>
        <v>293.33333333333616</v>
      </c>
      <c r="BI155" s="62">
        <f ca="1">AVERAGE(OFFSET($BH$3,0,0,'Données projet'!$E$11+1,1))-AVERAGE(OFFSET($H$3,0,0,'Données projet'!$E$11+1,1))</f>
        <v>258.1884172762135</v>
      </c>
      <c r="BJ155" s="62">
        <f t="shared" si="146"/>
        <v>356.36714671797864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17.785521406682374</v>
      </c>
      <c r="BQ155" s="23">
        <f>EXP(-LN(2)/25)*BQ154+(1-EXP(-LN(2)/25))/(LN(2)/25)*Calculateur!BL155*Calculateur!BN155*VLOOKUP('Données projet'!$B$11,Paramètres!$A$1:$I$88,3,0)*0.475*44/12</f>
        <v>2.5440371238519286</v>
      </c>
      <c r="BR155" s="23">
        <f>EXP(-LN(2)/2)*BR154+(1-EXP(-LN(2)/2))/(LN(2)/2)*BL155*BO155*VLOOKUP('Données projet'!$B$11,Paramètres!$A$1:$I$88,3,0)*0.475*44/12</f>
        <v>1.163018498018746E-14</v>
      </c>
      <c r="BS155" s="24">
        <f t="shared" si="169"/>
        <v>20.329558530534314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projet'!$B$12,Paramètres!$A$1:$I$88,3,0)*VLOOKUP('Données projet'!$B$12,Paramètres!$A$1:$I$88,5,0)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201.94015973767443</v>
      </c>
      <c r="CE155" s="62">
        <f t="shared" si="148"/>
        <v>287.12228849146032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13.245129901773423</v>
      </c>
      <c r="CL155" s="23">
        <f>EXP(-LN(2)/25)*CL154+(1-EXP(-LN(2)/25))/(LN(2)/25)*Calculateur!CG155*Calculateur!CI155*VLOOKUP('Données projet'!$B$12,Paramètres!$A$1:$I$88,3,0)*0.475*44/12</f>
        <v>1.7733356705058763</v>
      </c>
      <c r="CM155" s="23">
        <f>EXP(-LN(2)/2)*CM154+(1-EXP(-LN(2)/2))/(LN(2)/2)*CG155*CJ155*VLOOKUP('Données projet'!$B$12,Paramètres!$A$1:$I$88,3,0)*0.475*44/12</f>
        <v>8.6938051340014938E-15</v>
      </c>
      <c r="CN155" s="24">
        <f t="shared" si="172"/>
        <v>15.018465572279307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201.94015973767443</v>
      </c>
      <c r="T156" s="62">
        <f t="shared" si="142"/>
        <v>287.12228849146032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12.985400983131177</v>
      </c>
      <c r="AA156" s="23">
        <f>EXP(-LN(2)/25)*AA155+(1-EXP(-LN(2)/25))/(LN(2)/25)*Calculateur!V156*Calculateur!X156*VLOOKUP('Données projet'!$B$9,Paramètres!$A$1:$I$88,3,0)*0.475*44/12</f>
        <v>1.7248437133402232</v>
      </c>
      <c r="AB156" s="23">
        <f>EXP(-LN(2)/2)*AB155+(1-EXP(-LN(2)/2))/(LN(2)/2)*V156*Y156*VLOOKUP('Données projet'!$B$9,Paramètres!$A$1:$I$88,3,0)*0.475*44/12</f>
        <v>6.1474485645668779E-15</v>
      </c>
      <c r="AC156" s="24">
        <f t="shared" si="163"/>
        <v>14.710244696471404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projet'!$B$10,Paramètres!$A$1:$I$88,3,0)*VLOOKUP('Données projet'!$B$10,Paramètres!$A$1:$I$88,5,0)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135.19533066605396</v>
      </c>
      <c r="AO156" s="62">
        <f t="shared" si="144"/>
        <v>213.60182977243113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9.3059898766210392</v>
      </c>
      <c r="AV156" s="23">
        <f>EXP(-LN(2)/25)*AV155+(1-EXP(-LN(2)/25))/(LN(2)/25)*Calculateur!AQ156*Calculateur!AS156*VLOOKUP('Données projet'!$B$10,Paramètres!$A$1:$I$88,3,0)*0.475*44/12</f>
        <v>1.4702892999613142</v>
      </c>
      <c r="AW156" s="23">
        <f>EXP(-LN(2)/2)*AW155+(1-EXP(-LN(2)/2))/(LN(2)/2)*AQ156*AT156*VLOOKUP('Données projet'!$B$10,Paramètres!$A$1:$I$88,3,0)*0.475*44/12</f>
        <v>6.4456200461593471E-15</v>
      </c>
      <c r="AX156" s="23">
        <f t="shared" si="166"/>
        <v>10.77627917658236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1.7053025658242404E-13</v>
      </c>
      <c r="BE156" s="14">
        <f>BD156*VLOOKUP('Données projet'!$B$11,Paramètres!$A$1:$I$88,3,0)*VLOOKUP('Données projet'!$B$11,Paramètres!$A$1:$I$88,5,0)</f>
        <v>1.0197709343628959E-13</v>
      </c>
      <c r="BF156" s="14">
        <f t="shared" si="167"/>
        <v>1.5284983994279675E-12</v>
      </c>
      <c r="BG156" s="22">
        <f t="shared" si="168"/>
        <v>2.839744816738581E-12</v>
      </c>
      <c r="BH156" s="62">
        <f t="shared" si="116"/>
        <v>293.33333333333616</v>
      </c>
      <c r="BI156" s="62">
        <f ca="1">AVERAGE(OFFSET($BH$3,0,0,'Données projet'!$E$11+1,1))-AVERAGE(OFFSET($H$3,0,0,'Données projet'!$E$11+1,1))</f>
        <v>258.1884172762135</v>
      </c>
      <c r="BJ156" s="62">
        <f t="shared" si="146"/>
        <v>356.36714671797864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17.436758179994229</v>
      </c>
      <c r="BQ156" s="23">
        <f>EXP(-LN(2)/25)*BQ155+(1-EXP(-LN(2)/25))/(LN(2)/25)*Calculateur!BL156*Calculateur!BN156*VLOOKUP('Données projet'!$B$11,Paramètres!$A$1:$I$88,3,0)*0.475*44/12</f>
        <v>2.4744702949150996</v>
      </c>
      <c r="BR156" s="23">
        <f>EXP(-LN(2)/2)*BR155+(1-EXP(-LN(2)/2))/(LN(2)/2)*BL156*BO156*VLOOKUP('Données projet'!$B$11,Paramètres!$A$1:$I$88,3,0)*0.475*44/12</f>
        <v>8.2237826659444858E-15</v>
      </c>
      <c r="BS156" s="24">
        <f t="shared" si="169"/>
        <v>19.911228474909336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projet'!$B$12,Paramètres!$A$1:$I$88,3,0)*VLOOKUP('Données projet'!$B$12,Paramètres!$A$1:$I$88,5,0)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201.94015973767443</v>
      </c>
      <c r="CE156" s="62">
        <f t="shared" si="148"/>
        <v>287.12228849146032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12.985400983131177</v>
      </c>
      <c r="CL156" s="23">
        <f>EXP(-LN(2)/25)*CL155+(1-EXP(-LN(2)/25))/(LN(2)/25)*Calculateur!CG156*Calculateur!CI156*VLOOKUP('Données projet'!$B$12,Paramètres!$A$1:$I$88,3,0)*0.475*44/12</f>
        <v>1.7248437133402232</v>
      </c>
      <c r="CM156" s="23">
        <f>EXP(-LN(2)/2)*CM155+(1-EXP(-LN(2)/2))/(LN(2)/2)*CG156*CJ156*VLOOKUP('Données projet'!$B$12,Paramètres!$A$1:$I$88,3,0)*0.475*44/12</f>
        <v>6.1474485645668779E-15</v>
      </c>
      <c r="CN156" s="24">
        <f t="shared" si="172"/>
        <v>14.710244696471404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201.94015973767443</v>
      </c>
      <c r="T157" s="62">
        <f t="shared" si="142"/>
        <v>287.12228849146032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12.730765190164508</v>
      </c>
      <c r="AA157" s="23">
        <f>EXP(-LN(2)/25)*AA156+(1-EXP(-LN(2)/25))/(LN(2)/25)*Calculateur!V157*Calculateur!X157*VLOOKUP('Données projet'!$B$9,Paramètres!$A$1:$I$88,3,0)*0.475*44/12</f>
        <v>1.6776777712933462</v>
      </c>
      <c r="AB157" s="23">
        <f>EXP(-LN(2)/2)*AB156+(1-EXP(-LN(2)/2))/(LN(2)/2)*V157*Y157*VLOOKUP('Données projet'!$B$9,Paramètres!$A$1:$I$88,3,0)*0.475*44/12</f>
        <v>4.3469025670007469E-15</v>
      </c>
      <c r="AC157" s="24">
        <f t="shared" si="163"/>
        <v>14.408442961457858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projet'!$B$10,Paramètres!$A$1:$I$88,3,0)*VLOOKUP('Données projet'!$B$10,Paramètres!$A$1:$I$88,5,0)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135.19533066605396</v>
      </c>
      <c r="AO157" s="62">
        <f t="shared" si="144"/>
        <v>213.60182977243113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9.1235050912338576</v>
      </c>
      <c r="AV157" s="23">
        <f>EXP(-LN(2)/25)*AV156+(1-EXP(-LN(2)/25))/(LN(2)/25)*Calculateur!AQ157*Calculateur!AS157*VLOOKUP('Données projet'!$B$10,Paramètres!$A$1:$I$88,3,0)*0.475*44/12</f>
        <v>1.4300841617347182</v>
      </c>
      <c r="AW157" s="23">
        <f>EXP(-LN(2)/2)*AW156+(1-EXP(-LN(2)/2))/(LN(2)/2)*AQ157*AT157*VLOOKUP('Données projet'!$B$10,Paramètres!$A$1:$I$88,3,0)*0.475*44/12</f>
        <v>4.5577416435912217E-15</v>
      </c>
      <c r="AX157" s="23">
        <f t="shared" si="166"/>
        <v>10.553589252968582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1.7053025658242404E-13</v>
      </c>
      <c r="BE157" s="14">
        <f>BD157*VLOOKUP('Données projet'!$B$11,Paramètres!$A$1:$I$88,3,0)*VLOOKUP('Données projet'!$B$11,Paramètres!$A$1:$I$88,5,0)</f>
        <v>1.0197709343628959E-13</v>
      </c>
      <c r="BF157" s="14">
        <f t="shared" si="167"/>
        <v>1.5284983994279675E-12</v>
      </c>
      <c r="BG157" s="22">
        <f t="shared" si="168"/>
        <v>2.839744816738581E-12</v>
      </c>
      <c r="BH157" s="62">
        <f t="shared" si="116"/>
        <v>293.33333333333616</v>
      </c>
      <c r="BI157" s="62">
        <f ca="1">AVERAGE(OFFSET($BH$3,0,0,'Données projet'!$E$11+1,1))-AVERAGE(OFFSET($H$3,0,0,'Données projet'!$E$11+1,1))</f>
        <v>258.1884172762135</v>
      </c>
      <c r="BJ157" s="62">
        <f t="shared" si="146"/>
        <v>356.36714671797864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17.094833987456877</v>
      </c>
      <c r="BQ157" s="23">
        <f>EXP(-LN(2)/25)*BQ156+(1-EXP(-LN(2)/25))/(LN(2)/25)*Calculateur!BL157*Calculateur!BN157*VLOOKUP('Données projet'!$B$11,Paramètres!$A$1:$I$88,3,0)*0.475*44/12</f>
        <v>2.4068057745739089</v>
      </c>
      <c r="BR157" s="23">
        <f>EXP(-LN(2)/2)*BR156+(1-EXP(-LN(2)/2))/(LN(2)/2)*BL157*BO157*VLOOKUP('Données projet'!$B$11,Paramètres!$A$1:$I$88,3,0)*0.475*44/12</f>
        <v>5.81509249009373E-15</v>
      </c>
      <c r="BS157" s="24">
        <f t="shared" si="169"/>
        <v>19.501639762030791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projet'!$B$12,Paramètres!$A$1:$I$88,3,0)*VLOOKUP('Données projet'!$B$12,Paramètres!$A$1:$I$88,5,0)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201.94015973767443</v>
      </c>
      <c r="CE157" s="62">
        <f t="shared" si="148"/>
        <v>287.12228849146032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12.730765190164508</v>
      </c>
      <c r="CL157" s="23">
        <f>EXP(-LN(2)/25)*CL156+(1-EXP(-LN(2)/25))/(LN(2)/25)*Calculateur!CG157*Calculateur!CI157*VLOOKUP('Données projet'!$B$12,Paramètres!$A$1:$I$88,3,0)*0.475*44/12</f>
        <v>1.6776777712933462</v>
      </c>
      <c r="CM157" s="23">
        <f>EXP(-LN(2)/2)*CM156+(1-EXP(-LN(2)/2))/(LN(2)/2)*CG157*CJ157*VLOOKUP('Données projet'!$B$12,Paramètres!$A$1:$I$88,3,0)*0.475*44/12</f>
        <v>4.3469025670007469E-15</v>
      </c>
      <c r="CN157" s="24">
        <f t="shared" si="172"/>
        <v>14.408442961457858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201.94015973767443</v>
      </c>
      <c r="T158" s="62">
        <f t="shared" si="142"/>
        <v>287.12228849146032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12.481122649785418</v>
      </c>
      <c r="AA158" s="23">
        <f>EXP(-LN(2)/25)*AA157+(1-EXP(-LN(2)/25))/(LN(2)/25)*Calculateur!V158*Calculateur!X158*VLOOKUP('Données projet'!$B$9,Paramètres!$A$1:$I$88,3,0)*0.475*44/12</f>
        <v>1.6318015844120901</v>
      </c>
      <c r="AB158" s="23">
        <f>EXP(-LN(2)/2)*AB157+(1-EXP(-LN(2)/2))/(LN(2)/2)*V158*Y158*VLOOKUP('Données projet'!$B$9,Paramètres!$A$1:$I$88,3,0)*0.475*44/12</f>
        <v>3.0737242822834389E-15</v>
      </c>
      <c r="AC158" s="24">
        <f t="shared" si="163"/>
        <v>14.112924234197511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projet'!$B$10,Paramètres!$A$1:$I$88,3,0)*VLOOKUP('Données projet'!$B$10,Paramètres!$A$1:$I$88,5,0)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135.19533066605396</v>
      </c>
      <c r="AO158" s="62">
        <f t="shared" si="144"/>
        <v>213.60182977243113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8.9445987211833895</v>
      </c>
      <c r="AV158" s="23">
        <f>EXP(-LN(2)/25)*AV157+(1-EXP(-LN(2)/25))/(LN(2)/25)*Calculateur!AQ158*Calculateur!AS158*VLOOKUP('Données projet'!$B$10,Paramètres!$A$1:$I$88,3,0)*0.475*44/12</f>
        <v>1.3909784351272247</v>
      </c>
      <c r="AW158" s="23">
        <f>EXP(-LN(2)/2)*AW157+(1-EXP(-LN(2)/2))/(LN(2)/2)*AQ158*AT158*VLOOKUP('Données projet'!$B$10,Paramètres!$A$1:$I$88,3,0)*0.475*44/12</f>
        <v>3.2228100230796735E-15</v>
      </c>
      <c r="AX158" s="23">
        <f t="shared" si="166"/>
        <v>10.335577156310618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1.7053025658242404E-13</v>
      </c>
      <c r="BE158" s="14">
        <f>BD158*VLOOKUP('Données projet'!$B$11,Paramètres!$A$1:$I$88,3,0)*VLOOKUP('Données projet'!$B$11,Paramètres!$A$1:$I$88,5,0)</f>
        <v>1.0197709343628959E-13</v>
      </c>
      <c r="BF158" s="14">
        <f t="shared" si="167"/>
        <v>1.5284983994279675E-12</v>
      </c>
      <c r="BG158" s="22">
        <f t="shared" si="168"/>
        <v>2.839744816738581E-12</v>
      </c>
      <c r="BH158" s="62">
        <f t="shared" si="116"/>
        <v>293.33333333333616</v>
      </c>
      <c r="BI158" s="62">
        <f ca="1">AVERAGE(OFFSET($BH$3,0,0,'Données projet'!$E$11+1,1))-AVERAGE(OFFSET($H$3,0,0,'Données projet'!$E$11+1,1))</f>
        <v>258.1884172762135</v>
      </c>
      <c r="BJ158" s="62">
        <f t="shared" si="146"/>
        <v>356.36714671797864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16.759614719782018</v>
      </c>
      <c r="BQ158" s="23">
        <f>EXP(-LN(2)/25)*BQ157+(1-EXP(-LN(2)/25))/(LN(2)/25)*Calculateur!BL158*Calculateur!BN158*VLOOKUP('Données projet'!$B$11,Paramètres!$A$1:$I$88,3,0)*0.475*44/12</f>
        <v>2.3409915440997704</v>
      </c>
      <c r="BR158" s="23">
        <f>EXP(-LN(2)/2)*BR157+(1-EXP(-LN(2)/2))/(LN(2)/2)*BL158*BO158*VLOOKUP('Données projet'!$B$11,Paramètres!$A$1:$I$88,3,0)*0.475*44/12</f>
        <v>4.1118913329722429E-15</v>
      </c>
      <c r="BS158" s="24">
        <f t="shared" si="169"/>
        <v>19.10060626388179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projet'!$B$12,Paramètres!$A$1:$I$88,3,0)*VLOOKUP('Données projet'!$B$12,Paramètres!$A$1:$I$88,5,0)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201.94015973767443</v>
      </c>
      <c r="CE158" s="62">
        <f t="shared" si="148"/>
        <v>287.12228849146032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12.481122649785418</v>
      </c>
      <c r="CL158" s="23">
        <f>EXP(-LN(2)/25)*CL157+(1-EXP(-LN(2)/25))/(LN(2)/25)*Calculateur!CG158*Calculateur!CI158*VLOOKUP('Données projet'!$B$12,Paramètres!$A$1:$I$88,3,0)*0.475*44/12</f>
        <v>1.6318015844120901</v>
      </c>
      <c r="CM158" s="23">
        <f>EXP(-LN(2)/2)*CM157+(1-EXP(-LN(2)/2))/(LN(2)/2)*CG158*CJ158*VLOOKUP('Données projet'!$B$12,Paramètres!$A$1:$I$88,3,0)*0.475*44/12</f>
        <v>3.0737242822834389E-15</v>
      </c>
      <c r="CN158" s="24">
        <f t="shared" si="172"/>
        <v>14.112924234197511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201.94015973767443</v>
      </c>
      <c r="T159" s="62">
        <f t="shared" si="142"/>
        <v>287.12228849146032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12.236375447356247</v>
      </c>
      <c r="AA159" s="23">
        <f>EXP(-LN(2)/25)*AA158+(1-EXP(-LN(2)/25))/(LN(2)/25)*Calculateur!V159*Calculateur!X159*VLOOKUP('Données projet'!$B$9,Paramètres!$A$1:$I$88,3,0)*0.475*44/12</f>
        <v>1.5871798842736258</v>
      </c>
      <c r="AB159" s="23">
        <f>EXP(-LN(2)/2)*AB158+(1-EXP(-LN(2)/2))/(LN(2)/2)*V159*Y159*VLOOKUP('Données projet'!$B$9,Paramètres!$A$1:$I$88,3,0)*0.475*44/12</f>
        <v>2.1734512835003735E-15</v>
      </c>
      <c r="AC159" s="24">
        <f t="shared" si="163"/>
        <v>13.823555331629874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projet'!$B$10,Paramètres!$A$1:$I$88,3,0)*VLOOKUP('Données projet'!$B$10,Paramètres!$A$1:$I$88,5,0)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135.19533066605396</v>
      </c>
      <c r="AO159" s="62">
        <f t="shared" si="144"/>
        <v>213.60182977243113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8.7692005959275008</v>
      </c>
      <c r="AV159" s="23">
        <f>EXP(-LN(2)/25)*AV158+(1-EXP(-LN(2)/25))/(LN(2)/25)*Calculateur!AQ159*Calculateur!AS159*VLOOKUP('Données projet'!$B$10,Paramètres!$A$1:$I$88,3,0)*0.475*44/12</f>
        <v>1.3529420566702941</v>
      </c>
      <c r="AW159" s="23">
        <f>EXP(-LN(2)/2)*AW158+(1-EXP(-LN(2)/2))/(LN(2)/2)*AQ159*AT159*VLOOKUP('Données projet'!$B$10,Paramètres!$A$1:$I$88,3,0)*0.475*44/12</f>
        <v>2.2788708217956109E-15</v>
      </c>
      <c r="AX159" s="23">
        <f t="shared" si="166"/>
        <v>10.122142652597796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1.7053025658242404E-13</v>
      </c>
      <c r="BE159" s="14">
        <f>BD159*VLOOKUP('Données projet'!$B$11,Paramètres!$A$1:$I$88,3,0)*VLOOKUP('Données projet'!$B$11,Paramètres!$A$1:$I$88,5,0)</f>
        <v>1.0197709343628959E-13</v>
      </c>
      <c r="BF159" s="14">
        <f t="shared" si="167"/>
        <v>1.5284983994279675E-12</v>
      </c>
      <c r="BG159" s="22">
        <f t="shared" si="168"/>
        <v>2.839744816738581E-12</v>
      </c>
      <c r="BH159" s="62">
        <f t="shared" si="116"/>
        <v>293.33333333333616</v>
      </c>
      <c r="BI159" s="62">
        <f ca="1">AVERAGE(OFFSET($BH$3,0,0,'Données projet'!$E$11+1,1))-AVERAGE(OFFSET($H$3,0,0,'Données projet'!$E$11+1,1))</f>
        <v>258.1884172762135</v>
      </c>
      <c r="BJ159" s="62">
        <f t="shared" si="146"/>
        <v>356.36714671797864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16.430968897482696</v>
      </c>
      <c r="BQ159" s="23">
        <f>EXP(-LN(2)/25)*BQ158+(1-EXP(-LN(2)/25))/(LN(2)/25)*Calculateur!BL159*Calculateur!BN159*VLOOKUP('Données projet'!$B$11,Paramètres!$A$1:$I$88,3,0)*0.475*44/12</f>
        <v>2.2769770072189672</v>
      </c>
      <c r="BR159" s="23">
        <f>EXP(-LN(2)/2)*BR158+(1-EXP(-LN(2)/2))/(LN(2)/2)*BL159*BO159*VLOOKUP('Données projet'!$B$11,Paramètres!$A$1:$I$88,3,0)*0.475*44/12</f>
        <v>2.907546245046865E-15</v>
      </c>
      <c r="BS159" s="24">
        <f t="shared" si="169"/>
        <v>18.707945904701667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projet'!$B$12,Paramètres!$A$1:$I$88,3,0)*VLOOKUP('Données projet'!$B$12,Paramètres!$A$1:$I$88,5,0)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201.94015973767443</v>
      </c>
      <c r="CE159" s="62">
        <f t="shared" si="148"/>
        <v>287.12228849146032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12.236375447356247</v>
      </c>
      <c r="CL159" s="23">
        <f>EXP(-LN(2)/25)*CL158+(1-EXP(-LN(2)/25))/(LN(2)/25)*Calculateur!CG159*Calculateur!CI159*VLOOKUP('Données projet'!$B$12,Paramètres!$A$1:$I$88,3,0)*0.475*44/12</f>
        <v>1.5871798842736258</v>
      </c>
      <c r="CM159" s="23">
        <f>EXP(-LN(2)/2)*CM158+(1-EXP(-LN(2)/2))/(LN(2)/2)*CG159*CJ159*VLOOKUP('Données projet'!$B$12,Paramètres!$A$1:$I$88,3,0)*0.475*44/12</f>
        <v>2.1734512835003735E-15</v>
      </c>
      <c r="CN159" s="24">
        <f t="shared" si="172"/>
        <v>13.823555331629874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201.94015973767443</v>
      </c>
      <c r="T160" s="62">
        <f t="shared" si="142"/>
        <v>287.12228849146032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11.996427588285659</v>
      </c>
      <c r="AA160" s="23">
        <f>EXP(-LN(2)/25)*AA159+(1-EXP(-LN(2)/25))/(LN(2)/25)*Calculateur!V160*Calculateur!X160*VLOOKUP('Données projet'!$B$9,Paramètres!$A$1:$I$88,3,0)*0.475*44/12</f>
        <v>1.5437783668720009</v>
      </c>
      <c r="AB160" s="23">
        <f>EXP(-LN(2)/2)*AB159+(1-EXP(-LN(2)/2))/(LN(2)/2)*V160*Y160*VLOOKUP('Données projet'!$B$9,Paramètres!$A$1:$I$88,3,0)*0.475*44/12</f>
        <v>1.5368621411417195E-15</v>
      </c>
      <c r="AC160" s="24">
        <f t="shared" si="163"/>
        <v>13.540205955157662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projet'!$B$10,Paramètres!$A$1:$I$88,3,0)*VLOOKUP('Données projet'!$B$10,Paramètres!$A$1:$I$88,5,0)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135.19533066605396</v>
      </c>
      <c r="AO160" s="62">
        <f t="shared" si="144"/>
        <v>213.60182977243113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8.5972419209255868</v>
      </c>
      <c r="AV160" s="23">
        <f>EXP(-LN(2)/25)*AV159+(1-EXP(-LN(2)/25))/(LN(2)/25)*Calculateur!AQ160*Calculateur!AS160*VLOOKUP('Données projet'!$B$10,Paramètres!$A$1:$I$88,3,0)*0.475*44/12</f>
        <v>1.3159457849825142</v>
      </c>
      <c r="AW160" s="23">
        <f>EXP(-LN(2)/2)*AW159+(1-EXP(-LN(2)/2))/(LN(2)/2)*AQ160*AT160*VLOOKUP('Données projet'!$B$10,Paramètres!$A$1:$I$88,3,0)*0.475*44/12</f>
        <v>1.6114050115398368E-15</v>
      </c>
      <c r="AX160" s="23">
        <f t="shared" si="166"/>
        <v>9.9131877059081024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1.7053025658242404E-13</v>
      </c>
      <c r="BE160" s="14">
        <f>BD160*VLOOKUP('Données projet'!$B$11,Paramètres!$A$1:$I$88,3,0)*VLOOKUP('Données projet'!$B$11,Paramètres!$A$1:$I$88,5,0)</f>
        <v>1.0197709343628959E-13</v>
      </c>
      <c r="BF160" s="14">
        <f t="shared" si="167"/>
        <v>1.5284983994279675E-12</v>
      </c>
      <c r="BG160" s="22">
        <f t="shared" si="168"/>
        <v>2.839744816738581E-12</v>
      </c>
      <c r="BH160" s="62">
        <f t="shared" si="116"/>
        <v>293.33333333333616</v>
      </c>
      <c r="BI160" s="62">
        <f ca="1">AVERAGE(OFFSET($BH$3,0,0,'Données projet'!$E$11+1,1))-AVERAGE(OFFSET($H$3,0,0,'Données projet'!$E$11+1,1))</f>
        <v>258.1884172762135</v>
      </c>
      <c r="BJ160" s="62">
        <f t="shared" si="146"/>
        <v>356.36714671797864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16.108767619304508</v>
      </c>
      <c r="BQ160" s="23">
        <f>EXP(-LN(2)/25)*BQ159+(1-EXP(-LN(2)/25))/(LN(2)/25)*Calculateur!BL160*Calculateur!BN160*VLOOKUP('Données projet'!$B$11,Paramètres!$A$1:$I$88,3,0)*0.475*44/12</f>
        <v>2.2147129512155477</v>
      </c>
      <c r="BR160" s="23">
        <f>EXP(-LN(2)/2)*BR159+(1-EXP(-LN(2)/2))/(LN(2)/2)*BL160*BO160*VLOOKUP('Données projet'!$B$11,Paramètres!$A$1:$I$88,3,0)*0.475*44/12</f>
        <v>2.0559456664861215E-15</v>
      </c>
      <c r="BS160" s="24">
        <f t="shared" si="169"/>
        <v>18.323480570520058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projet'!$B$12,Paramètres!$A$1:$I$88,3,0)*VLOOKUP('Données projet'!$B$12,Paramètres!$A$1:$I$88,5,0)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201.94015973767443</v>
      </c>
      <c r="CE160" s="62">
        <f t="shared" si="148"/>
        <v>287.12228849146032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11.996427588285659</v>
      </c>
      <c r="CL160" s="23">
        <f>EXP(-LN(2)/25)*CL159+(1-EXP(-LN(2)/25))/(LN(2)/25)*Calculateur!CG160*Calculateur!CI160*VLOOKUP('Données projet'!$B$12,Paramètres!$A$1:$I$88,3,0)*0.475*44/12</f>
        <v>1.5437783668720009</v>
      </c>
      <c r="CM160" s="23">
        <f>EXP(-LN(2)/2)*CM159+(1-EXP(-LN(2)/2))/(LN(2)/2)*CG160*CJ160*VLOOKUP('Données projet'!$B$12,Paramètres!$A$1:$I$88,3,0)*0.475*44/12</f>
        <v>1.5368621411417195E-15</v>
      </c>
      <c r="CN160" s="24">
        <f t="shared" si="172"/>
        <v>13.540205955157662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201.94015973767443</v>
      </c>
      <c r="T161" s="62">
        <f t="shared" si="142"/>
        <v>287.12228849146032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11.761184960377703</v>
      </c>
      <c r="AA161" s="23">
        <f>EXP(-LN(2)/25)*AA160+(1-EXP(-LN(2)/25))/(LN(2)/25)*Calculateur!V161*Calculateur!X161*VLOOKUP('Données projet'!$B$9,Paramètres!$A$1:$I$88,3,0)*0.475*44/12</f>
        <v>1.50156366624611</v>
      </c>
      <c r="AB161" s="23">
        <f>EXP(-LN(2)/2)*AB160+(1-EXP(-LN(2)/2))/(LN(2)/2)*V161*Y161*VLOOKUP('Données projet'!$B$9,Paramètres!$A$1:$I$88,3,0)*0.475*44/12</f>
        <v>1.0867256417501867E-15</v>
      </c>
      <c r="AC161" s="24">
        <f t="shared" si="163"/>
        <v>13.262748626623814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projet'!$B$10,Paramètres!$A$1:$I$88,3,0)*VLOOKUP('Données projet'!$B$10,Paramètres!$A$1:$I$88,5,0)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135.19533066605396</v>
      </c>
      <c r="AO161" s="62">
        <f t="shared" si="144"/>
        <v>213.60182977243113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8.4286552506560248</v>
      </c>
      <c r="AV161" s="23">
        <f>EXP(-LN(2)/25)*AV160+(1-EXP(-LN(2)/25))/(LN(2)/25)*Calculateur!AQ161*Calculateur!AS161*VLOOKUP('Données projet'!$B$10,Paramètres!$A$1:$I$88,3,0)*0.475*44/12</f>
        <v>1.2799611782895861</v>
      </c>
      <c r="AW161" s="23">
        <f>EXP(-LN(2)/2)*AW160+(1-EXP(-LN(2)/2))/(LN(2)/2)*AQ161*AT161*VLOOKUP('Données projet'!$B$10,Paramètres!$A$1:$I$88,3,0)*0.475*44/12</f>
        <v>1.1394354108978054E-15</v>
      </c>
      <c r="AX161" s="23">
        <f t="shared" si="166"/>
        <v>9.7086164289456125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1.7053025658242404E-13</v>
      </c>
      <c r="BE161" s="14">
        <f>BD161*VLOOKUP('Données projet'!$B$11,Paramètres!$A$1:$I$88,3,0)*VLOOKUP('Données projet'!$B$11,Paramètres!$A$1:$I$88,5,0)</f>
        <v>1.0197709343628959E-13</v>
      </c>
      <c r="BF161" s="14">
        <f t="shared" si="167"/>
        <v>1.5284983994279675E-12</v>
      </c>
      <c r="BG161" s="22">
        <f t="shared" si="168"/>
        <v>2.839744816738581E-12</v>
      </c>
      <c r="BH161" s="62">
        <f t="shared" si="116"/>
        <v>293.33333333333616</v>
      </c>
      <c r="BI161" s="62">
        <f ca="1">AVERAGE(OFFSET($BH$3,0,0,'Données projet'!$E$11+1,1))-AVERAGE(OFFSET($H$3,0,0,'Données projet'!$E$11+1,1))</f>
        <v>258.1884172762135</v>
      </c>
      <c r="BJ161" s="62">
        <f t="shared" si="146"/>
        <v>356.36714671797864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15.792884511668019</v>
      </c>
      <c r="BQ161" s="23">
        <f>EXP(-LN(2)/25)*BQ160+(1-EXP(-LN(2)/25))/(LN(2)/25)*Calculateur!BL161*Calculateur!BN161*VLOOKUP('Données projet'!$B$11,Paramètres!$A$1:$I$88,3,0)*0.475*44/12</f>
        <v>2.1541515090978662</v>
      </c>
      <c r="BR161" s="23">
        <f>EXP(-LN(2)/2)*BR160+(1-EXP(-LN(2)/2))/(LN(2)/2)*BL161*BO161*VLOOKUP('Données projet'!$B$11,Paramètres!$A$1:$I$88,3,0)*0.475*44/12</f>
        <v>1.4537731225234325E-15</v>
      </c>
      <c r="BS161" s="24">
        <f t="shared" si="169"/>
        <v>17.947036020765886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projet'!$B$12,Paramètres!$A$1:$I$88,3,0)*VLOOKUP('Données projet'!$B$12,Paramètres!$A$1:$I$88,5,0)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201.94015973767443</v>
      </c>
      <c r="CE161" s="62">
        <f t="shared" si="148"/>
        <v>287.12228849146032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11.761184960377703</v>
      </c>
      <c r="CL161" s="23">
        <f>EXP(-LN(2)/25)*CL160+(1-EXP(-LN(2)/25))/(LN(2)/25)*Calculateur!CG161*Calculateur!CI161*VLOOKUP('Données projet'!$B$12,Paramètres!$A$1:$I$88,3,0)*0.475*44/12</f>
        <v>1.50156366624611</v>
      </c>
      <c r="CM161" s="23">
        <f>EXP(-LN(2)/2)*CM160+(1-EXP(-LN(2)/2))/(LN(2)/2)*CG161*CJ161*VLOOKUP('Données projet'!$B$12,Paramètres!$A$1:$I$88,3,0)*0.475*44/12</f>
        <v>1.0867256417501867E-15</v>
      </c>
      <c r="CN161" s="24">
        <f t="shared" si="172"/>
        <v>13.262748626623814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201.94015973767443</v>
      </c>
      <c r="T162" s="62">
        <f t="shared" si="142"/>
        <v>287.12228849146032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11.530555296919186</v>
      </c>
      <c r="AA162" s="23">
        <f>EXP(-LN(2)/25)*AA161+(1-EXP(-LN(2)/25))/(LN(2)/25)*Calculateur!V162*Calculateur!X162*VLOOKUP('Données projet'!$B$9,Paramètres!$A$1:$I$88,3,0)*0.475*44/12</f>
        <v>1.4605033288288087</v>
      </c>
      <c r="AB162" s="23">
        <f>EXP(-LN(2)/2)*AB161+(1-EXP(-LN(2)/2))/(LN(2)/2)*V162*Y162*VLOOKUP('Données projet'!$B$9,Paramètres!$A$1:$I$88,3,0)*0.475*44/12</f>
        <v>7.6843107057085974E-16</v>
      </c>
      <c r="AC162" s="24">
        <f t="shared" si="163"/>
        <v>12.991058625747995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projet'!$B$10,Paramètres!$A$1:$I$88,3,0)*VLOOKUP('Données projet'!$B$10,Paramètres!$A$1:$I$88,5,0)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135.19533066605396</v>
      </c>
      <c r="AO162" s="62">
        <f t="shared" si="144"/>
        <v>213.60182977243113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8.2633744621627336</v>
      </c>
      <c r="AV162" s="23">
        <f>EXP(-LN(2)/25)*AV161+(1-EXP(-LN(2)/25))/(LN(2)/25)*Calculateur!AQ162*Calculateur!AS162*VLOOKUP('Données projet'!$B$10,Paramètres!$A$1:$I$88,3,0)*0.475*44/12</f>
        <v>1.2449605725590245</v>
      </c>
      <c r="AW162" s="23">
        <f>EXP(-LN(2)/2)*AW161+(1-EXP(-LN(2)/2))/(LN(2)/2)*AQ162*AT162*VLOOKUP('Données projet'!$B$10,Paramètres!$A$1:$I$88,3,0)*0.475*44/12</f>
        <v>8.0570250576991838E-16</v>
      </c>
      <c r="AX162" s="23">
        <f t="shared" si="166"/>
        <v>9.5083350347217586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1.7053025658242404E-13</v>
      </c>
      <c r="BE162" s="14">
        <f>BD162*VLOOKUP('Données projet'!$B$11,Paramètres!$A$1:$I$88,3,0)*VLOOKUP('Données projet'!$B$11,Paramètres!$A$1:$I$88,5,0)</f>
        <v>1.0197709343628959E-13</v>
      </c>
      <c r="BF162" s="14">
        <f t="shared" si="167"/>
        <v>1.5284983994279675E-12</v>
      </c>
      <c r="BG162" s="22">
        <f t="shared" si="168"/>
        <v>2.839744816738581E-12</v>
      </c>
      <c r="BH162" s="62">
        <f t="shared" si="116"/>
        <v>293.33333333333616</v>
      </c>
      <c r="BI162" s="62">
        <f ca="1">AVERAGE(OFFSET($BH$3,0,0,'Données projet'!$E$11+1,1))-AVERAGE(OFFSET($H$3,0,0,'Données projet'!$E$11+1,1))</f>
        <v>258.1884172762135</v>
      </c>
      <c r="BJ162" s="62">
        <f t="shared" si="146"/>
        <v>356.36714671797864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15.483195679102611</v>
      </c>
      <c r="BQ162" s="23">
        <f>EXP(-LN(2)/25)*BQ161+(1-EXP(-LN(2)/25))/(LN(2)/25)*Calculateur!BL162*Calculateur!BN162*VLOOKUP('Données projet'!$B$11,Paramètres!$A$1:$I$88,3,0)*0.475*44/12</f>
        <v>2.0952461227996806</v>
      </c>
      <c r="BR162" s="23">
        <f>EXP(-LN(2)/2)*BR161+(1-EXP(-LN(2)/2))/(LN(2)/2)*BL162*BO162*VLOOKUP('Données projet'!$B$11,Paramètres!$A$1:$I$88,3,0)*0.475*44/12</f>
        <v>1.0279728332430607E-15</v>
      </c>
      <c r="BS162" s="24">
        <f t="shared" si="169"/>
        <v>17.57844180190229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projet'!$B$12,Paramètres!$A$1:$I$88,3,0)*VLOOKUP('Données projet'!$B$12,Paramètres!$A$1:$I$88,5,0)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201.94015973767443</v>
      </c>
      <c r="CE162" s="62">
        <f t="shared" si="148"/>
        <v>287.12228849146032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11.530555296919186</v>
      </c>
      <c r="CL162" s="23">
        <f>EXP(-LN(2)/25)*CL161+(1-EXP(-LN(2)/25))/(LN(2)/25)*Calculateur!CG162*Calculateur!CI162*VLOOKUP('Données projet'!$B$12,Paramètres!$A$1:$I$88,3,0)*0.475*44/12</f>
        <v>1.4605033288288087</v>
      </c>
      <c r="CM162" s="23">
        <f>EXP(-LN(2)/2)*CM161+(1-EXP(-LN(2)/2))/(LN(2)/2)*CG162*CJ162*VLOOKUP('Données projet'!$B$12,Paramètres!$A$1:$I$88,3,0)*0.475*44/12</f>
        <v>7.6843107057085974E-16</v>
      </c>
      <c r="CN162" s="24">
        <f t="shared" si="172"/>
        <v>12.991058625747995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201.94015973767443</v>
      </c>
      <c r="T163" s="62">
        <f t="shared" si="142"/>
        <v>287.12228849146032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11.304448140490885</v>
      </c>
      <c r="AA163" s="23">
        <f>EXP(-LN(2)/25)*AA162+(1-EXP(-LN(2)/25))/(LN(2)/25)*Calculateur!V163*Calculateur!X163*VLOOKUP('Données projet'!$B$9,Paramètres!$A$1:$I$88,3,0)*0.475*44/12</f>
        <v>1.420565788497453</v>
      </c>
      <c r="AB163" s="23">
        <f>EXP(-LN(2)/2)*AB162+(1-EXP(-LN(2)/2))/(LN(2)/2)*V163*Y163*VLOOKUP('Données projet'!$B$9,Paramètres!$A$1:$I$88,3,0)*0.475*44/12</f>
        <v>5.4336282087509336E-16</v>
      </c>
      <c r="AC163" s="24">
        <f t="shared" si="163"/>
        <v>12.725013928988339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projet'!$B$10,Paramètres!$A$1:$I$88,3,0)*VLOOKUP('Données projet'!$B$10,Paramètres!$A$1:$I$88,5,0)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135.19533066605396</v>
      </c>
      <c r="AO163" s="62">
        <f t="shared" si="144"/>
        <v>213.60182977243113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8.1013347291204703</v>
      </c>
      <c r="AV163" s="23">
        <f>EXP(-LN(2)/25)*AV162+(1-EXP(-LN(2)/25))/(LN(2)/25)*Calculateur!AQ163*Calculateur!AS163*VLOOKUP('Données projet'!$B$10,Paramètres!$A$1:$I$88,3,0)*0.475*44/12</f>
        <v>1.2109170602327668</v>
      </c>
      <c r="AW163" s="23">
        <f>EXP(-LN(2)/2)*AW162+(1-EXP(-LN(2)/2))/(LN(2)/2)*AQ163*AT163*VLOOKUP('Données projet'!$B$10,Paramètres!$A$1:$I$88,3,0)*0.475*44/12</f>
        <v>5.6971770544890271E-16</v>
      </c>
      <c r="AX163" s="23">
        <f t="shared" si="166"/>
        <v>9.3122517893532368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1.7053025658242404E-13</v>
      </c>
      <c r="BE163" s="14">
        <f>BD163*VLOOKUP('Données projet'!$B$11,Paramètres!$A$1:$I$88,3,0)*VLOOKUP('Données projet'!$B$11,Paramètres!$A$1:$I$88,5,0)</f>
        <v>1.0197709343628959E-13</v>
      </c>
      <c r="BF163" s="14">
        <f t="shared" si="167"/>
        <v>1.5284983994279675E-12</v>
      </c>
      <c r="BG163" s="22">
        <f t="shared" si="168"/>
        <v>2.839744816738581E-12</v>
      </c>
      <c r="BH163" s="62">
        <f t="shared" si="116"/>
        <v>293.33333333333616</v>
      </c>
      <c r="BI163" s="62">
        <f ca="1">AVERAGE(OFFSET($BH$3,0,0,'Données projet'!$E$11+1,1))-AVERAGE(OFFSET($H$3,0,0,'Données projet'!$E$11+1,1))</f>
        <v>258.1884172762135</v>
      </c>
      <c r="BJ163" s="62">
        <f t="shared" si="146"/>
        <v>356.36714671797864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15.179579655652274</v>
      </c>
      <c r="BQ163" s="23">
        <f>EXP(-LN(2)/25)*BQ162+(1-EXP(-LN(2)/25))/(LN(2)/25)*Calculateur!BL163*Calculateur!BN163*VLOOKUP('Données projet'!$B$11,Paramètres!$A$1:$I$88,3,0)*0.475*44/12</f>
        <v>2.0379515073875183</v>
      </c>
      <c r="BR163" s="23">
        <f>EXP(-LN(2)/2)*BR162+(1-EXP(-LN(2)/2))/(LN(2)/2)*BL163*BO163*VLOOKUP('Données projet'!$B$11,Paramètres!$A$1:$I$88,3,0)*0.475*44/12</f>
        <v>7.2688656126171625E-16</v>
      </c>
      <c r="BS163" s="24">
        <f t="shared" si="169"/>
        <v>17.217531163039794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projet'!$B$12,Paramètres!$A$1:$I$88,3,0)*VLOOKUP('Données projet'!$B$12,Paramètres!$A$1:$I$88,5,0)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201.94015973767443</v>
      </c>
      <c r="CE163" s="62">
        <f t="shared" si="148"/>
        <v>287.12228849146032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11.304448140490885</v>
      </c>
      <c r="CL163" s="23">
        <f>EXP(-LN(2)/25)*CL162+(1-EXP(-LN(2)/25))/(LN(2)/25)*Calculateur!CG163*Calculateur!CI163*VLOOKUP('Données projet'!$B$12,Paramètres!$A$1:$I$88,3,0)*0.475*44/12</f>
        <v>1.420565788497453</v>
      </c>
      <c r="CM163" s="23">
        <f>EXP(-LN(2)/2)*CM162+(1-EXP(-LN(2)/2))/(LN(2)/2)*CG163*CJ163*VLOOKUP('Données projet'!$B$12,Paramètres!$A$1:$I$88,3,0)*0.475*44/12</f>
        <v>5.4336282087509336E-16</v>
      </c>
      <c r="CN163" s="24">
        <f t="shared" si="172"/>
        <v>12.725013928988339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201.94015973767443</v>
      </c>
      <c r="T164" s="62">
        <f t="shared" si="142"/>
        <v>287.12228849146032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11.082774807488397</v>
      </c>
      <c r="AA164" s="23">
        <f>EXP(-LN(2)/25)*AA163+(1-EXP(-LN(2)/25))/(LN(2)/25)*Calculateur!V164*Calculateur!X164*VLOOKUP('Données projet'!$B$9,Paramètres!$A$1:$I$88,3,0)*0.475*44/12</f>
        <v>1.3817203423066819</v>
      </c>
      <c r="AB164" s="23">
        <f>EXP(-LN(2)/2)*AB163+(1-EXP(-LN(2)/2))/(LN(2)/2)*V164*Y164*VLOOKUP('Données projet'!$B$9,Paramètres!$A$1:$I$88,3,0)*0.475*44/12</f>
        <v>3.8421553528542987E-16</v>
      </c>
      <c r="AC164" s="24">
        <f t="shared" si="163"/>
        <v>12.464495149795079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projet'!$B$10,Paramètres!$A$1:$I$88,3,0)*VLOOKUP('Données projet'!$B$10,Paramètres!$A$1:$I$88,5,0)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135.19533066605396</v>
      </c>
      <c r="AO164" s="62">
        <f t="shared" si="144"/>
        <v>213.60182977243113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7.942472496408687</v>
      </c>
      <c r="AV164" s="23">
        <f>EXP(-LN(2)/25)*AV163+(1-EXP(-LN(2)/25))/(LN(2)/25)*Calculateur!AQ164*Calculateur!AS164*VLOOKUP('Données projet'!$B$10,Paramètres!$A$1:$I$88,3,0)*0.475*44/12</f>
        <v>1.1778044695413412</v>
      </c>
      <c r="AW164" s="23">
        <f>EXP(-LN(2)/2)*AW163+(1-EXP(-LN(2)/2))/(LN(2)/2)*AQ164*AT164*VLOOKUP('Données projet'!$B$10,Paramètres!$A$1:$I$88,3,0)*0.475*44/12</f>
        <v>4.0285125288495919E-16</v>
      </c>
      <c r="AX164" s="23">
        <f t="shared" si="166"/>
        <v>9.120276965950028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1.7053025658242404E-13</v>
      </c>
      <c r="BE164" s="14">
        <f>BD164*VLOOKUP('Données projet'!$B$11,Paramètres!$A$1:$I$88,3,0)*VLOOKUP('Données projet'!$B$11,Paramètres!$A$1:$I$88,5,0)</f>
        <v>1.0197709343628959E-13</v>
      </c>
      <c r="BF164" s="14">
        <f t="shared" si="167"/>
        <v>1.5284983994279675E-12</v>
      </c>
      <c r="BG164" s="22">
        <f t="shared" si="168"/>
        <v>2.839744816738581E-12</v>
      </c>
      <c r="BH164" s="62">
        <f t="shared" si="116"/>
        <v>293.33333333333616</v>
      </c>
      <c r="BI164" s="62">
        <f ca="1">AVERAGE(OFFSET($BH$3,0,0,'Données projet'!$E$11+1,1))-AVERAGE(OFFSET($H$3,0,0,'Données projet'!$E$11+1,1))</f>
        <v>258.1884172762135</v>
      </c>
      <c r="BJ164" s="62">
        <f t="shared" si="146"/>
        <v>356.36714671797864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14.881917357234309</v>
      </c>
      <c r="BQ164" s="23">
        <f>EXP(-LN(2)/25)*BQ163+(1-EXP(-LN(2)/25))/(LN(2)/25)*Calculateur!BL164*Calculateur!BN164*VLOOKUP('Données projet'!$B$11,Paramètres!$A$1:$I$88,3,0)*0.475*44/12</f>
        <v>1.9822236162467946</v>
      </c>
      <c r="BR164" s="23">
        <f>EXP(-LN(2)/2)*BR163+(1-EXP(-LN(2)/2))/(LN(2)/2)*BL164*BO164*VLOOKUP('Données projet'!$B$11,Paramètres!$A$1:$I$88,3,0)*0.475*44/12</f>
        <v>5.1398641662153036E-16</v>
      </c>
      <c r="BS164" s="24">
        <f t="shared" si="169"/>
        <v>16.864140973481103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projet'!$B$12,Paramètres!$A$1:$I$88,3,0)*VLOOKUP('Données projet'!$B$12,Paramètres!$A$1:$I$88,5,0)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201.94015973767443</v>
      </c>
      <c r="CE164" s="62">
        <f t="shared" si="148"/>
        <v>287.12228849146032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11.082774807488397</v>
      </c>
      <c r="CL164" s="23">
        <f>EXP(-LN(2)/25)*CL163+(1-EXP(-LN(2)/25))/(LN(2)/25)*Calculateur!CG164*Calculateur!CI164*VLOOKUP('Données projet'!$B$12,Paramètres!$A$1:$I$88,3,0)*0.475*44/12</f>
        <v>1.3817203423066819</v>
      </c>
      <c r="CM164" s="23">
        <f>EXP(-LN(2)/2)*CM163+(1-EXP(-LN(2)/2))/(LN(2)/2)*CG164*CJ164*VLOOKUP('Données projet'!$B$12,Paramètres!$A$1:$I$88,3,0)*0.475*44/12</f>
        <v>3.8421553528542987E-16</v>
      </c>
      <c r="CN164" s="24">
        <f t="shared" si="172"/>
        <v>12.464495149795079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201.94015973767443</v>
      </c>
      <c r="T165" s="62">
        <f t="shared" si="142"/>
        <v>287.12228849146032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10.865448353338705</v>
      </c>
      <c r="AA165" s="23">
        <f>EXP(-LN(2)/25)*AA164+(1-EXP(-LN(2)/25))/(LN(2)/25)*Calculateur!V165*Calculateur!X165*VLOOKUP('Données projet'!$B$9,Paramètres!$A$1:$I$88,3,0)*0.475*44/12</f>
        <v>1.3439371268847908</v>
      </c>
      <c r="AB165" s="23">
        <f>EXP(-LN(2)/2)*AB164+(1-EXP(-LN(2)/2))/(LN(2)/2)*V165*Y165*VLOOKUP('Données projet'!$B$9,Paramètres!$A$1:$I$88,3,0)*0.475*44/12</f>
        <v>2.7168141043754668E-16</v>
      </c>
      <c r="AC165" s="24">
        <f t="shared" si="163"/>
        <v>12.209385480223496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projet'!$B$10,Paramètres!$A$1:$I$88,3,0)*VLOOKUP('Données projet'!$B$10,Paramètres!$A$1:$I$88,5,0)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135.19533066605396</v>
      </c>
      <c r="AO165" s="62">
        <f t="shared" si="144"/>
        <v>213.60182977243113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7.786725455183988</v>
      </c>
      <c r="AV165" s="23">
        <f>EXP(-LN(2)/25)*AV164+(1-EXP(-LN(2)/25))/(LN(2)/25)*Calculateur!AQ165*Calculateur!AS165*VLOOKUP('Données projet'!$B$10,Paramètres!$A$1:$I$88,3,0)*0.475*44/12</f>
        <v>1.145597344383688</v>
      </c>
      <c r="AW165" s="23">
        <f>EXP(-LN(2)/2)*AW164+(1-EXP(-LN(2)/2))/(LN(2)/2)*AQ165*AT165*VLOOKUP('Données projet'!$B$10,Paramètres!$A$1:$I$88,3,0)*0.475*44/12</f>
        <v>2.8485885272445136E-16</v>
      </c>
      <c r="AX165" s="23">
        <f t="shared" si="166"/>
        <v>8.9323227995676753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1.7053025658242404E-13</v>
      </c>
      <c r="BE165" s="14">
        <f>BD165*VLOOKUP('Données projet'!$B$11,Paramètres!$A$1:$I$88,3,0)*VLOOKUP('Données projet'!$B$11,Paramètres!$A$1:$I$88,5,0)</f>
        <v>1.0197709343628959E-13</v>
      </c>
      <c r="BF165" s="14">
        <f t="shared" si="167"/>
        <v>1.5284983994279675E-12</v>
      </c>
      <c r="BG165" s="22">
        <f t="shared" si="168"/>
        <v>2.839744816738581E-12</v>
      </c>
      <c r="BH165" s="62">
        <f t="shared" si="116"/>
        <v>293.33333333333616</v>
      </c>
      <c r="BI165" s="62">
        <f ca="1">AVERAGE(OFFSET($BH$3,0,0,'Données projet'!$E$11+1,1))-AVERAGE(OFFSET($H$3,0,0,'Données projet'!$E$11+1,1))</f>
        <v>258.1884172762135</v>
      </c>
      <c r="BJ165" s="62">
        <f t="shared" si="146"/>
        <v>356.36714671797864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14.590092034932246</v>
      </c>
      <c r="BQ165" s="23">
        <f>EXP(-LN(2)/25)*BQ164+(1-EXP(-LN(2)/25))/(LN(2)/25)*Calculateur!BL165*Calculateur!BN165*VLOOKUP('Données projet'!$B$11,Paramètres!$A$1:$I$88,3,0)*0.475*44/12</f>
        <v>1.9280196072199165</v>
      </c>
      <c r="BR165" s="23">
        <f>EXP(-LN(2)/2)*BR164+(1-EXP(-LN(2)/2))/(LN(2)/2)*BL165*BO165*VLOOKUP('Données projet'!$B$11,Paramètres!$A$1:$I$88,3,0)*0.475*44/12</f>
        <v>3.6344328063085813E-16</v>
      </c>
      <c r="BS165" s="24">
        <f t="shared" si="169"/>
        <v>16.518111642152164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projet'!$B$12,Paramètres!$A$1:$I$88,3,0)*VLOOKUP('Données projet'!$B$12,Paramètres!$A$1:$I$88,5,0)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201.94015973767443</v>
      </c>
      <c r="CE165" s="62">
        <f t="shared" si="148"/>
        <v>287.12228849146032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10.865448353338705</v>
      </c>
      <c r="CL165" s="23">
        <f>EXP(-LN(2)/25)*CL164+(1-EXP(-LN(2)/25))/(LN(2)/25)*Calculateur!CG165*Calculateur!CI165*VLOOKUP('Données projet'!$B$12,Paramètres!$A$1:$I$88,3,0)*0.475*44/12</f>
        <v>1.3439371268847908</v>
      </c>
      <c r="CM165" s="23">
        <f>EXP(-LN(2)/2)*CM164+(1-EXP(-LN(2)/2))/(LN(2)/2)*CG165*CJ165*VLOOKUP('Données projet'!$B$12,Paramètres!$A$1:$I$88,3,0)*0.475*44/12</f>
        <v>2.7168141043754668E-16</v>
      </c>
      <c r="CN165" s="24">
        <f t="shared" si="172"/>
        <v>12.209385480223496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201.94015973767443</v>
      </c>
      <c r="T166" s="62">
        <f t="shared" si="142"/>
        <v>287.12228849146032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10.652383538398841</v>
      </c>
      <c r="AA166" s="23">
        <f>EXP(-LN(2)/25)*AA165+(1-EXP(-LN(2)/25))/(LN(2)/25)*Calculateur!V166*Calculateur!X166*VLOOKUP('Données projet'!$B$9,Paramètres!$A$1:$I$88,3,0)*0.475*44/12</f>
        <v>1.3071870954755442</v>
      </c>
      <c r="AB166" s="23">
        <f>EXP(-LN(2)/2)*AB165+(1-EXP(-LN(2)/2))/(LN(2)/2)*V166*Y166*VLOOKUP('Données projet'!$B$9,Paramètres!$A$1:$I$88,3,0)*0.475*44/12</f>
        <v>1.9210776764271493E-16</v>
      </c>
      <c r="AC166" s="24">
        <f t="shared" si="163"/>
        <v>11.959570633874385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projet'!$B$10,Paramètres!$A$1:$I$88,3,0)*VLOOKUP('Données projet'!$B$10,Paramètres!$A$1:$I$88,5,0)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135.19533066605396</v>
      </c>
      <c r="AO166" s="62">
        <f t="shared" si="144"/>
        <v>213.60182977243113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7.6340325184413897</v>
      </c>
      <c r="AV166" s="23">
        <f>EXP(-LN(2)/25)*AV165+(1-EXP(-LN(2)/25))/(LN(2)/25)*Calculateur!AQ166*Calculateur!AS166*VLOOKUP('Données projet'!$B$10,Paramètres!$A$1:$I$88,3,0)*0.475*44/12</f>
        <v>1.11427092475717</v>
      </c>
      <c r="AW166" s="23">
        <f>EXP(-LN(2)/2)*AW165+(1-EXP(-LN(2)/2))/(LN(2)/2)*AQ166*AT166*VLOOKUP('Données projet'!$B$10,Paramètres!$A$1:$I$88,3,0)*0.475*44/12</f>
        <v>2.014256264424796E-16</v>
      </c>
      <c r="AX166" s="23">
        <f t="shared" si="166"/>
        <v>8.7483034431985605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1.7053025658242404E-13</v>
      </c>
      <c r="BE166" s="14">
        <f>BD166*VLOOKUP('Données projet'!$B$11,Paramètres!$A$1:$I$88,3,0)*VLOOKUP('Données projet'!$B$11,Paramètres!$A$1:$I$88,5,0)</f>
        <v>1.0197709343628959E-13</v>
      </c>
      <c r="BF166" s="14">
        <f t="shared" si="167"/>
        <v>1.5284983994279675E-12</v>
      </c>
      <c r="BG166" s="22">
        <f t="shared" si="168"/>
        <v>2.839744816738581E-12</v>
      </c>
      <c r="BH166" s="62">
        <f t="shared" si="116"/>
        <v>293.33333333333616</v>
      </c>
      <c r="BI166" s="62">
        <f ca="1">AVERAGE(OFFSET($BH$3,0,0,'Données projet'!$E$11+1,1))-AVERAGE(OFFSET($H$3,0,0,'Données projet'!$E$11+1,1))</f>
        <v>258.1884172762135</v>
      </c>
      <c r="BJ166" s="62">
        <f t="shared" si="146"/>
        <v>356.36714671797864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14.303989229204655</v>
      </c>
      <c r="BQ166" s="23">
        <f>EXP(-LN(2)/25)*BQ165+(1-EXP(-LN(2)/25))/(LN(2)/25)*Calculateur!BL166*Calculateur!BN166*VLOOKUP('Données projet'!$B$11,Paramètres!$A$1:$I$88,3,0)*0.475*44/12</f>
        <v>1.8752978096703432</v>
      </c>
      <c r="BR166" s="23">
        <f>EXP(-LN(2)/2)*BR165+(1-EXP(-LN(2)/2))/(LN(2)/2)*BL166*BO166*VLOOKUP('Données projet'!$B$11,Paramètres!$A$1:$I$88,3,0)*0.475*44/12</f>
        <v>2.5699320831076518E-16</v>
      </c>
      <c r="BS166" s="24">
        <f t="shared" si="169"/>
        <v>16.179287038875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projet'!$B$12,Paramètres!$A$1:$I$88,3,0)*VLOOKUP('Données projet'!$B$12,Paramètres!$A$1:$I$88,5,0)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201.94015973767443</v>
      </c>
      <c r="CE166" s="62">
        <f t="shared" si="148"/>
        <v>287.12228849146032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10.652383538398841</v>
      </c>
      <c r="CL166" s="23">
        <f>EXP(-LN(2)/25)*CL165+(1-EXP(-LN(2)/25))/(LN(2)/25)*Calculateur!CG166*Calculateur!CI166*VLOOKUP('Données projet'!$B$12,Paramètres!$A$1:$I$88,3,0)*0.475*44/12</f>
        <v>1.3071870954755442</v>
      </c>
      <c r="CM166" s="23">
        <f>EXP(-LN(2)/2)*CM165+(1-EXP(-LN(2)/2))/(LN(2)/2)*CG166*CJ166*VLOOKUP('Données projet'!$B$12,Paramètres!$A$1:$I$88,3,0)*0.475*44/12</f>
        <v>1.9210776764271493E-16</v>
      </c>
      <c r="CN166" s="24">
        <f t="shared" si="172"/>
        <v>11.959570633874385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201.94015973767443</v>
      </c>
      <c r="T167" s="62">
        <f t="shared" si="142"/>
        <v>287.12228849146032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10.443496794523242</v>
      </c>
      <c r="AA167" s="23">
        <f>EXP(-LN(2)/25)*AA166+(1-EXP(-LN(2)/25))/(LN(2)/25)*Calculateur!V167*Calculateur!X167*VLOOKUP('Données projet'!$B$9,Paramètres!$A$1:$I$88,3,0)*0.475*44/12</f>
        <v>1.2714419956077838</v>
      </c>
      <c r="AB167" s="23">
        <f>EXP(-LN(2)/2)*AB166+(1-EXP(-LN(2)/2))/(LN(2)/2)*V167*Y167*VLOOKUP('Données projet'!$B$9,Paramètres!$A$1:$I$88,3,0)*0.475*44/12</f>
        <v>1.3584070521877334E-16</v>
      </c>
      <c r="AC167" s="24">
        <f t="shared" si="163"/>
        <v>11.714938790131026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projet'!$B$10,Paramètres!$A$1:$I$88,3,0)*VLOOKUP('Données projet'!$B$10,Paramètres!$A$1:$I$88,5,0)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135.19533066605396</v>
      </c>
      <c r="AO167" s="62">
        <f t="shared" si="144"/>
        <v>213.60182977243113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7.4843337970548189</v>
      </c>
      <c r="AV167" s="23">
        <f>EXP(-LN(2)/25)*AV166+(1-EXP(-LN(2)/25))/(LN(2)/25)*Calculateur!AQ167*Calculateur!AS167*VLOOKUP('Données projet'!$B$10,Paramètres!$A$1:$I$88,3,0)*0.475*44/12</f>
        <v>1.083801127722724</v>
      </c>
      <c r="AW167" s="23">
        <f>EXP(-LN(2)/2)*AW166+(1-EXP(-LN(2)/2))/(LN(2)/2)*AQ167*AT167*VLOOKUP('Données projet'!$B$10,Paramètres!$A$1:$I$88,3,0)*0.475*44/12</f>
        <v>1.4242942636222568E-16</v>
      </c>
      <c r="AX167" s="23">
        <f t="shared" si="166"/>
        <v>8.5681349247775422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1.7053025658242404E-13</v>
      </c>
      <c r="BE167" s="14">
        <f>BD167*VLOOKUP('Données projet'!$B$11,Paramètres!$A$1:$I$88,3,0)*VLOOKUP('Données projet'!$B$11,Paramètres!$A$1:$I$88,5,0)</f>
        <v>1.0197709343628959E-13</v>
      </c>
      <c r="BF167" s="14">
        <f t="shared" si="167"/>
        <v>1.5284983994279675E-12</v>
      </c>
      <c r="BG167" s="22">
        <f t="shared" si="168"/>
        <v>2.839744816738581E-12</v>
      </c>
      <c r="BH167" s="62">
        <f t="shared" si="116"/>
        <v>293.33333333333616</v>
      </c>
      <c r="BI167" s="62">
        <f ca="1">AVERAGE(OFFSET($BH$3,0,0,'Données projet'!$E$11+1,1))-AVERAGE(OFFSET($H$3,0,0,'Données projet'!$E$11+1,1))</f>
        <v>258.1884172762135</v>
      </c>
      <c r="BJ167" s="62">
        <f t="shared" si="146"/>
        <v>356.36714671797864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14.023496724991901</v>
      </c>
      <c r="BQ167" s="23">
        <f>EXP(-LN(2)/25)*BQ166+(1-EXP(-LN(2)/25))/(LN(2)/25)*Calculateur!BL167*Calculateur!BN167*VLOOKUP('Données projet'!$B$11,Paramètres!$A$1:$I$88,3,0)*0.475*44/12</f>
        <v>1.824017692447282</v>
      </c>
      <c r="BR167" s="23">
        <f>EXP(-LN(2)/2)*BR166+(1-EXP(-LN(2)/2))/(LN(2)/2)*BL167*BO167*VLOOKUP('Données projet'!$B$11,Paramètres!$A$1:$I$88,3,0)*0.475*44/12</f>
        <v>1.8172164031542906E-16</v>
      </c>
      <c r="BS167" s="24">
        <f t="shared" si="169"/>
        <v>15.847514417439182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projet'!$B$12,Paramètres!$A$1:$I$88,3,0)*VLOOKUP('Données projet'!$B$12,Paramètres!$A$1:$I$88,5,0)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201.94015973767443</v>
      </c>
      <c r="CE167" s="62">
        <f t="shared" si="148"/>
        <v>287.12228849146032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10.443496794523242</v>
      </c>
      <c r="CL167" s="23">
        <f>EXP(-LN(2)/25)*CL166+(1-EXP(-LN(2)/25))/(LN(2)/25)*Calculateur!CG167*Calculateur!CI167*VLOOKUP('Données projet'!$B$12,Paramètres!$A$1:$I$88,3,0)*0.475*44/12</f>
        <v>1.2714419956077838</v>
      </c>
      <c r="CM167" s="23">
        <f>EXP(-LN(2)/2)*CM166+(1-EXP(-LN(2)/2))/(LN(2)/2)*CG167*CJ167*VLOOKUP('Données projet'!$B$12,Paramètres!$A$1:$I$88,3,0)*0.475*44/12</f>
        <v>1.3584070521877334E-16</v>
      </c>
      <c r="CN167" s="24">
        <f t="shared" si="172"/>
        <v>11.714938790131026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201.94015973767443</v>
      </c>
      <c r="T168" s="62">
        <f t="shared" si="142"/>
        <v>287.12228849146032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10.23870619228671</v>
      </c>
      <c r="AA168" s="23">
        <f>EXP(-LN(2)/25)*AA167+(1-EXP(-LN(2)/25))/(LN(2)/25)*Calculateur!V168*Calculateur!X168*VLOOKUP('Données projet'!$B$9,Paramètres!$A$1:$I$88,3,0)*0.475*44/12</f>
        <v>1.2366743473756603</v>
      </c>
      <c r="AB168" s="23">
        <f>EXP(-LN(2)/2)*AB167+(1-EXP(-LN(2)/2))/(LN(2)/2)*V168*Y168*VLOOKUP('Données projet'!$B$9,Paramètres!$A$1:$I$88,3,0)*0.475*44/12</f>
        <v>9.6053883821357467E-17</v>
      </c>
      <c r="AC168" s="24">
        <f t="shared" si="163"/>
        <v>11.475380539662369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projet'!$B$10,Paramètres!$A$1:$I$88,3,0)*VLOOKUP('Données projet'!$B$10,Paramètres!$A$1:$I$88,5,0)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135.19533066605396</v>
      </c>
      <c r="AO168" s="62">
        <f t="shared" si="144"/>
        <v>213.60182977243113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7.3375705762874341</v>
      </c>
      <c r="AV168" s="23">
        <f>EXP(-LN(2)/25)*AV167+(1-EXP(-LN(2)/25))/(LN(2)/25)*Calculateur!AQ168*Calculateur!AS168*VLOOKUP('Données projet'!$B$10,Paramètres!$A$1:$I$88,3,0)*0.475*44/12</f>
        <v>1.0541645288905219</v>
      </c>
      <c r="AW168" s="23">
        <f>EXP(-LN(2)/2)*AW167+(1-EXP(-LN(2)/2))/(LN(2)/2)*AQ168*AT168*VLOOKUP('Données projet'!$B$10,Paramètres!$A$1:$I$88,3,0)*0.475*44/12</f>
        <v>1.007128132212398E-16</v>
      </c>
      <c r="AX168" s="23">
        <f t="shared" si="166"/>
        <v>8.3917351051779558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1.7053025658242404E-13</v>
      </c>
      <c r="BE168" s="14">
        <f>BD168*VLOOKUP('Données projet'!$B$11,Paramètres!$A$1:$I$88,3,0)*VLOOKUP('Données projet'!$B$11,Paramètres!$A$1:$I$88,5,0)</f>
        <v>1.0197709343628959E-13</v>
      </c>
      <c r="BF168" s="14">
        <f t="shared" si="167"/>
        <v>1.5284983994279675E-12</v>
      </c>
      <c r="BG168" s="22">
        <f t="shared" si="168"/>
        <v>2.839744816738581E-12</v>
      </c>
      <c r="BH168" s="62">
        <f t="shared" si="116"/>
        <v>293.33333333333616</v>
      </c>
      <c r="BI168" s="62">
        <f ca="1">AVERAGE(OFFSET($BH$3,0,0,'Données projet'!$E$11+1,1))-AVERAGE(OFFSET($H$3,0,0,'Données projet'!$E$11+1,1))</f>
        <v>258.1884172762135</v>
      </c>
      <c r="BJ168" s="62">
        <f t="shared" si="146"/>
        <v>356.36714671797864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13.748504507703226</v>
      </c>
      <c r="BQ168" s="23">
        <f>EXP(-LN(2)/25)*BQ167+(1-EXP(-LN(2)/25))/(LN(2)/25)*Calculateur!BL168*Calculateur!BN168*VLOOKUP('Données projet'!$B$11,Paramètres!$A$1:$I$88,3,0)*0.475*44/12</f>
        <v>1.7741398327263895</v>
      </c>
      <c r="BR168" s="23">
        <f>EXP(-LN(2)/2)*BR167+(1-EXP(-LN(2)/2))/(LN(2)/2)*BL168*BO168*VLOOKUP('Données projet'!$B$11,Paramètres!$A$1:$I$88,3,0)*0.475*44/12</f>
        <v>1.2849660415538259E-16</v>
      </c>
      <c r="BS168" s="24">
        <f t="shared" si="169"/>
        <v>15.522644340429615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projet'!$B$12,Paramètres!$A$1:$I$88,3,0)*VLOOKUP('Données projet'!$B$12,Paramètres!$A$1:$I$88,5,0)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201.94015973767443</v>
      </c>
      <c r="CE168" s="62">
        <f t="shared" si="148"/>
        <v>287.12228849146032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10.23870619228671</v>
      </c>
      <c r="CL168" s="23">
        <f>EXP(-LN(2)/25)*CL167+(1-EXP(-LN(2)/25))/(LN(2)/25)*Calculateur!CG168*Calculateur!CI168*VLOOKUP('Données projet'!$B$12,Paramètres!$A$1:$I$88,3,0)*0.475*44/12</f>
        <v>1.2366743473756603</v>
      </c>
      <c r="CM168" s="23">
        <f>EXP(-LN(2)/2)*CM167+(1-EXP(-LN(2)/2))/(LN(2)/2)*CG168*CJ168*VLOOKUP('Données projet'!$B$12,Paramètres!$A$1:$I$88,3,0)*0.475*44/12</f>
        <v>9.6053883821357467E-17</v>
      </c>
      <c r="CN168" s="24">
        <f t="shared" si="172"/>
        <v>11.475380539662369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201.94015973767443</v>
      </c>
      <c r="T169" s="62">
        <f t="shared" si="142"/>
        <v>287.12228849146032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10.037931408850103</v>
      </c>
      <c r="AA169" s="23">
        <f>EXP(-LN(2)/25)*AA168+(1-EXP(-LN(2)/25))/(LN(2)/25)*Calculateur!V169*Calculateur!X169*VLOOKUP('Données projet'!$B$9,Paramètres!$A$1:$I$88,3,0)*0.475*44/12</f>
        <v>1.2028574223127955</v>
      </c>
      <c r="AB169" s="23">
        <f>EXP(-LN(2)/2)*AB168+(1-EXP(-LN(2)/2))/(LN(2)/2)*V169*Y169*VLOOKUP('Données projet'!$B$9,Paramètres!$A$1:$I$88,3,0)*0.475*44/12</f>
        <v>6.7920352609386671E-17</v>
      </c>
      <c r="AC169" s="24">
        <f t="shared" si="163"/>
        <v>11.240788831162899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projet'!$B$10,Paramètres!$A$1:$I$88,3,0)*VLOOKUP('Données projet'!$B$10,Paramètres!$A$1:$I$88,5,0)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135.19533066605396</v>
      </c>
      <c r="AO169" s="62">
        <f t="shared" si="144"/>
        <v>213.60182977243113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7.1936852927625727</v>
      </c>
      <c r="AV169" s="23">
        <f>EXP(-LN(2)/25)*AV168+(1-EXP(-LN(2)/25))/(LN(2)/25)*Calculateur!AQ169*Calculateur!AS169*VLOOKUP('Données projet'!$B$10,Paramètres!$A$1:$I$88,3,0)*0.475*44/12</f>
        <v>1.0253383444119073</v>
      </c>
      <c r="AW169" s="23">
        <f>EXP(-LN(2)/2)*AW168+(1-EXP(-LN(2)/2))/(LN(2)/2)*AQ169*AT169*VLOOKUP('Données projet'!$B$10,Paramètres!$A$1:$I$88,3,0)*0.475*44/12</f>
        <v>7.1214713181112839E-17</v>
      </c>
      <c r="AX169" s="23">
        <f t="shared" si="166"/>
        <v>8.2190236371744803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1.7053025658242404E-13</v>
      </c>
      <c r="BE169" s="14">
        <f>BD169*VLOOKUP('Données projet'!$B$11,Paramètres!$A$1:$I$88,3,0)*VLOOKUP('Données projet'!$B$11,Paramètres!$A$1:$I$88,5,0)</f>
        <v>1.0197709343628959E-13</v>
      </c>
      <c r="BF169" s="14">
        <f t="shared" si="167"/>
        <v>1.5284983994279675E-12</v>
      </c>
      <c r="BG169" s="22">
        <f t="shared" si="168"/>
        <v>2.839744816738581E-12</v>
      </c>
      <c r="BH169" s="62">
        <f t="shared" si="116"/>
        <v>293.33333333333616</v>
      </c>
      <c r="BI169" s="62">
        <f ca="1">AVERAGE(OFFSET($BH$3,0,0,'Données projet'!$E$11+1,1))-AVERAGE(OFFSET($H$3,0,0,'Données projet'!$E$11+1,1))</f>
        <v>258.1884172762135</v>
      </c>
      <c r="BJ169" s="62">
        <f t="shared" si="146"/>
        <v>356.36714671797864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13.47890472006689</v>
      </c>
      <c r="BQ169" s="23">
        <f>EXP(-LN(2)/25)*BQ168+(1-EXP(-LN(2)/25))/(LN(2)/25)*Calculateur!BL169*Calculateur!BN169*VLOOKUP('Données projet'!$B$11,Paramètres!$A$1:$I$88,3,0)*0.475*44/12</f>
        <v>1.7256258857025275</v>
      </c>
      <c r="BR169" s="23">
        <f>EXP(-LN(2)/2)*BR168+(1-EXP(-LN(2)/2))/(LN(2)/2)*BL169*BO169*VLOOKUP('Données projet'!$B$11,Paramètres!$A$1:$I$88,3,0)*0.475*44/12</f>
        <v>9.0860820157714532E-17</v>
      </c>
      <c r="BS169" s="24">
        <f t="shared" si="169"/>
        <v>15.204530605769417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projet'!$B$12,Paramètres!$A$1:$I$88,3,0)*VLOOKUP('Données projet'!$B$12,Paramètres!$A$1:$I$88,5,0)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201.94015973767443</v>
      </c>
      <c r="CE169" s="62">
        <f t="shared" si="148"/>
        <v>287.12228849146032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10.037931408850103</v>
      </c>
      <c r="CL169" s="23">
        <f>EXP(-LN(2)/25)*CL168+(1-EXP(-LN(2)/25))/(LN(2)/25)*Calculateur!CG169*Calculateur!CI169*VLOOKUP('Données projet'!$B$12,Paramètres!$A$1:$I$88,3,0)*0.475*44/12</f>
        <v>1.2028574223127955</v>
      </c>
      <c r="CM169" s="23">
        <f>EXP(-LN(2)/2)*CM168+(1-EXP(-LN(2)/2))/(LN(2)/2)*CG169*CJ169*VLOOKUP('Données projet'!$B$12,Paramètres!$A$1:$I$88,3,0)*0.475*44/12</f>
        <v>6.7920352609386671E-17</v>
      </c>
      <c r="CN169" s="24">
        <f t="shared" si="172"/>
        <v>11.240788831162899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201.94015973767443</v>
      </c>
      <c r="T170" s="62">
        <f t="shared" si="142"/>
        <v>287.12228849146032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9.8410936964561611</v>
      </c>
      <c r="AA170" s="23">
        <f>EXP(-LN(2)/25)*AA169+(1-EXP(-LN(2)/25))/(LN(2)/25)*Calculateur!V170*Calculateur!X170*VLOOKUP('Données projet'!$B$9,Paramètres!$A$1:$I$88,3,0)*0.475*44/12</f>
        <v>1.1699652228441293</v>
      </c>
      <c r="AB170" s="23">
        <f>EXP(-LN(2)/2)*AB169+(1-EXP(-LN(2)/2))/(LN(2)/2)*V170*Y170*VLOOKUP('Données projet'!$B$9,Paramètres!$A$1:$I$88,3,0)*0.475*44/12</f>
        <v>4.8026941910678733E-17</v>
      </c>
      <c r="AC170" s="24">
        <f t="shared" si="163"/>
        <v>11.011058919300289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projet'!$B$10,Paramètres!$A$1:$I$88,3,0)*VLOOKUP('Données projet'!$B$10,Paramètres!$A$1:$I$88,5,0)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135.19533066605396</v>
      </c>
      <c r="AO170" s="62">
        <f t="shared" si="144"/>
        <v>213.60182977243113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7.0526215118862767</v>
      </c>
      <c r="AV170" s="23">
        <f>EXP(-LN(2)/25)*AV169+(1-EXP(-LN(2)/25))/(LN(2)/25)*Calculateur!AQ170*Calculateur!AS170*VLOOKUP('Données projet'!$B$10,Paramètres!$A$1:$I$88,3,0)*0.475*44/12</f>
        <v>0.99730041346376364</v>
      </c>
      <c r="AW170" s="23">
        <f>EXP(-LN(2)/2)*AW169+(1-EXP(-LN(2)/2))/(LN(2)/2)*AQ170*AT170*VLOOKUP('Données projet'!$B$10,Paramètres!$A$1:$I$88,3,0)*0.475*44/12</f>
        <v>5.0356406610619899E-17</v>
      </c>
      <c r="AX170" s="23">
        <f t="shared" si="166"/>
        <v>8.0499219253500396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1.7053025658242404E-13</v>
      </c>
      <c r="BE170" s="14">
        <f>BD170*VLOOKUP('Données projet'!$B$11,Paramètres!$A$1:$I$88,3,0)*VLOOKUP('Données projet'!$B$11,Paramètres!$A$1:$I$88,5,0)</f>
        <v>1.0197709343628959E-13</v>
      </c>
      <c r="BF170" s="14">
        <f t="shared" si="167"/>
        <v>1.5284983994279675E-12</v>
      </c>
      <c r="BG170" s="22">
        <f t="shared" si="168"/>
        <v>2.839744816738581E-12</v>
      </c>
      <c r="BH170" s="62">
        <f t="shared" si="116"/>
        <v>293.33333333333616</v>
      </c>
      <c r="BI170" s="62">
        <f ca="1">AVERAGE(OFFSET($BH$3,0,0,'Données projet'!$E$11+1,1))-AVERAGE(OFFSET($H$3,0,0,'Données projet'!$E$11+1,1))</f>
        <v>258.1884172762135</v>
      </c>
      <c r="BJ170" s="62">
        <f t="shared" si="146"/>
        <v>356.36714671797864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13.21459161982647</v>
      </c>
      <c r="BQ170" s="23">
        <f>EXP(-LN(2)/25)*BQ169+(1-EXP(-LN(2)/25))/(LN(2)/25)*Calculateur!BL170*Calculateur!BN170*VLOOKUP('Données projet'!$B$11,Paramètres!$A$1:$I$88,3,0)*0.475*44/12</f>
        <v>1.6784385551112706</v>
      </c>
      <c r="BR170" s="23">
        <f>EXP(-LN(2)/2)*BR169+(1-EXP(-LN(2)/2))/(LN(2)/2)*BL170*BO170*VLOOKUP('Données projet'!$B$11,Paramètres!$A$1:$I$88,3,0)*0.475*44/12</f>
        <v>6.4248302077691295E-17</v>
      </c>
      <c r="BS170" s="24">
        <f t="shared" si="169"/>
        <v>14.89303017493774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projet'!$B$12,Paramètres!$A$1:$I$88,3,0)*VLOOKUP('Données projet'!$B$12,Paramètres!$A$1:$I$88,5,0)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201.94015973767443</v>
      </c>
      <c r="CE170" s="62">
        <f t="shared" si="148"/>
        <v>287.12228849146032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9.8410936964561611</v>
      </c>
      <c r="CL170" s="23">
        <f>EXP(-LN(2)/25)*CL169+(1-EXP(-LN(2)/25))/(LN(2)/25)*Calculateur!CG170*Calculateur!CI170*VLOOKUP('Données projet'!$B$12,Paramètres!$A$1:$I$88,3,0)*0.475*44/12</f>
        <v>1.1699652228441293</v>
      </c>
      <c r="CM170" s="23">
        <f>EXP(-LN(2)/2)*CM169+(1-EXP(-LN(2)/2))/(LN(2)/2)*CG170*CJ170*VLOOKUP('Données projet'!$B$12,Paramètres!$A$1:$I$88,3,0)*0.475*44/12</f>
        <v>4.8026941910678733E-17</v>
      </c>
      <c r="CN170" s="24">
        <f t="shared" si="172"/>
        <v>11.011058919300289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201.94015973767443</v>
      </c>
      <c r="T171" s="62">
        <f t="shared" si="142"/>
        <v>287.12228849146032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9.6481158515431158</v>
      </c>
      <c r="AA171" s="23">
        <f>EXP(-LN(2)/25)*AA170+(1-EXP(-LN(2)/25))/(LN(2)/25)*Calculateur!V171*Calculateur!X171*VLOOKUP('Données projet'!$B$9,Paramètres!$A$1:$I$88,3,0)*0.475*44/12</f>
        <v>1.1379724622996594</v>
      </c>
      <c r="AB171" s="23">
        <f>EXP(-LN(2)/2)*AB170+(1-EXP(-LN(2)/2))/(LN(2)/2)*V171*Y171*VLOOKUP('Données projet'!$B$9,Paramètres!$A$1:$I$88,3,0)*0.475*44/12</f>
        <v>3.3960176304693335E-17</v>
      </c>
      <c r="AC171" s="24">
        <f t="shared" si="163"/>
        <v>10.786088313842775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projet'!$B$10,Paramètres!$A$1:$I$88,3,0)*VLOOKUP('Données projet'!$B$10,Paramètres!$A$1:$I$88,5,0)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135.19533066605396</v>
      </c>
      <c r="AO171" s="62">
        <f t="shared" si="144"/>
        <v>213.60182977243113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6.9143239057125543</v>
      </c>
      <c r="AV171" s="23">
        <f>EXP(-LN(2)/25)*AV170+(1-EXP(-LN(2)/25))/(LN(2)/25)*Calculateur!AQ171*Calculateur!AS171*VLOOKUP('Données projet'!$B$10,Paramètres!$A$1:$I$88,3,0)*0.475*44/12</f>
        <v>0.97002918121184767</v>
      </c>
      <c r="AW171" s="23">
        <f>EXP(-LN(2)/2)*AW170+(1-EXP(-LN(2)/2))/(LN(2)/2)*AQ171*AT171*VLOOKUP('Données projet'!$B$10,Paramètres!$A$1:$I$88,3,0)*0.475*44/12</f>
        <v>3.560735659055642E-17</v>
      </c>
      <c r="AX171" s="23">
        <f t="shared" si="166"/>
        <v>7.8843530869244018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1.7053025658242404E-13</v>
      </c>
      <c r="BE171" s="14">
        <f>BD171*VLOOKUP('Données projet'!$B$11,Paramètres!$A$1:$I$88,3,0)*VLOOKUP('Données projet'!$B$11,Paramètres!$A$1:$I$88,5,0)</f>
        <v>1.0197709343628959E-13</v>
      </c>
      <c r="BF171" s="14">
        <f t="shared" si="167"/>
        <v>1.5284983994279675E-12</v>
      </c>
      <c r="BG171" s="22">
        <f t="shared" si="168"/>
        <v>2.839744816738581E-12</v>
      </c>
      <c r="BH171" s="62">
        <f t="shared" si="116"/>
        <v>293.33333333333616</v>
      </c>
      <c r="BI171" s="62">
        <f ca="1">AVERAGE(OFFSET($BH$3,0,0,'Données projet'!$E$11+1,1))-AVERAGE(OFFSET($H$3,0,0,'Données projet'!$E$11+1,1))</f>
        <v>258.1884172762135</v>
      </c>
      <c r="BJ171" s="62">
        <f t="shared" si="146"/>
        <v>356.36714671797864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12.955461538266691</v>
      </c>
      <c r="BQ171" s="23">
        <f>EXP(-LN(2)/25)*BQ170+(1-EXP(-LN(2)/25))/(LN(2)/25)*Calculateur!BL171*Calculateur!BN171*VLOOKUP('Données projet'!$B$11,Paramètres!$A$1:$I$88,3,0)*0.475*44/12</f>
        <v>1.6325415645565053</v>
      </c>
      <c r="BR171" s="23">
        <f>EXP(-LN(2)/2)*BR170+(1-EXP(-LN(2)/2))/(LN(2)/2)*BL171*BO171*VLOOKUP('Données projet'!$B$11,Paramètres!$A$1:$I$88,3,0)*0.475*44/12</f>
        <v>4.5430410078857266E-17</v>
      </c>
      <c r="BS171" s="24">
        <f t="shared" si="169"/>
        <v>14.588003102823198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projet'!$B$12,Paramètres!$A$1:$I$88,3,0)*VLOOKUP('Données projet'!$B$12,Paramètres!$A$1:$I$88,5,0)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201.94015973767443</v>
      </c>
      <c r="CE171" s="62">
        <f t="shared" si="148"/>
        <v>287.12228849146032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9.6481158515431158</v>
      </c>
      <c r="CL171" s="23">
        <f>EXP(-LN(2)/25)*CL170+(1-EXP(-LN(2)/25))/(LN(2)/25)*Calculateur!CG171*Calculateur!CI171*VLOOKUP('Données projet'!$B$12,Paramètres!$A$1:$I$88,3,0)*0.475*44/12</f>
        <v>1.1379724622996594</v>
      </c>
      <c r="CM171" s="23">
        <f>EXP(-LN(2)/2)*CM170+(1-EXP(-LN(2)/2))/(LN(2)/2)*CG171*CJ171*VLOOKUP('Données projet'!$B$12,Paramètres!$A$1:$I$88,3,0)*0.475*44/12</f>
        <v>3.3960176304693335E-17</v>
      </c>
      <c r="CN171" s="24">
        <f t="shared" si="172"/>
        <v>10.786088313842775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201.94015973767443</v>
      </c>
      <c r="T172" s="62">
        <f t="shared" si="142"/>
        <v>287.12228849146032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9.4589221844639528</v>
      </c>
      <c r="AA172" s="23">
        <f>EXP(-LN(2)/25)*AA171+(1-EXP(-LN(2)/25))/(LN(2)/25)*Calculateur!V172*Calculateur!X172*VLOOKUP('Données projet'!$B$9,Paramètres!$A$1:$I$88,3,0)*0.475*44/12</f>
        <v>1.1068545454747043</v>
      </c>
      <c r="AB172" s="23">
        <f>EXP(-LN(2)/2)*AB171+(1-EXP(-LN(2)/2))/(LN(2)/2)*V172*Y172*VLOOKUP('Données projet'!$B$9,Paramètres!$A$1:$I$88,3,0)*0.475*44/12</f>
        <v>2.4013470955339367E-17</v>
      </c>
      <c r="AC172" s="24">
        <f t="shared" si="163"/>
        <v>10.565776729938657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projet'!$B$10,Paramètres!$A$1:$I$88,3,0)*VLOOKUP('Données projet'!$B$10,Paramètres!$A$1:$I$88,5,0)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135.19533066605396</v>
      </c>
      <c r="AO172" s="62">
        <f t="shared" si="144"/>
        <v>213.60182977243113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6.7787382312426878</v>
      </c>
      <c r="AV172" s="23">
        <f>EXP(-LN(2)/25)*AV171+(1-EXP(-LN(2)/25))/(LN(2)/25)*Calculateur!AQ172*Calculateur!AS172*VLOOKUP('Données projet'!$B$10,Paramètres!$A$1:$I$88,3,0)*0.475*44/12</f>
        <v>0.94350368223999204</v>
      </c>
      <c r="AW172" s="23">
        <f>EXP(-LN(2)/2)*AW171+(1-EXP(-LN(2)/2))/(LN(2)/2)*AQ172*AT172*VLOOKUP('Données projet'!$B$10,Paramètres!$A$1:$I$88,3,0)*0.475*44/12</f>
        <v>2.5178203305309949E-17</v>
      </c>
      <c r="AX172" s="23">
        <f t="shared" si="166"/>
        <v>7.7222419134826801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1.7053025658242404E-13</v>
      </c>
      <c r="BE172" s="14">
        <f>BD172*VLOOKUP('Données projet'!$B$11,Paramètres!$A$1:$I$88,3,0)*VLOOKUP('Données projet'!$B$11,Paramètres!$A$1:$I$88,5,0)</f>
        <v>1.0197709343628959E-13</v>
      </c>
      <c r="BF172" s="14">
        <f t="shared" si="167"/>
        <v>1.5284983994279675E-12</v>
      </c>
      <c r="BG172" s="22">
        <f t="shared" si="168"/>
        <v>2.839744816738581E-12</v>
      </c>
      <c r="BH172" s="62">
        <f t="shared" si="116"/>
        <v>293.33333333333616</v>
      </c>
      <c r="BI172" s="62">
        <f ca="1">AVERAGE(OFFSET($BH$3,0,0,'Données projet'!$E$11+1,1))-AVERAGE(OFFSET($H$3,0,0,'Données projet'!$E$11+1,1))</f>
        <v>258.1884172762135</v>
      </c>
      <c r="BJ172" s="62">
        <f t="shared" si="146"/>
        <v>356.36714671797864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12.701412839552557</v>
      </c>
      <c r="BQ172" s="23">
        <f>EXP(-LN(2)/25)*BQ171+(1-EXP(-LN(2)/25))/(LN(2)/25)*Calculateur!BL172*Calculateur!BN172*VLOOKUP('Données projet'!$B$11,Paramètres!$A$1:$I$88,3,0)*0.475*44/12</f>
        <v>1.587899629622078</v>
      </c>
      <c r="BR172" s="23">
        <f>EXP(-LN(2)/2)*BR171+(1-EXP(-LN(2)/2))/(LN(2)/2)*BL172*BO172*VLOOKUP('Données projet'!$B$11,Paramètres!$A$1:$I$88,3,0)*0.475*44/12</f>
        <v>3.2124151038845648E-17</v>
      </c>
      <c r="BS172" s="24">
        <f t="shared" si="169"/>
        <v>14.289312469174634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projet'!$B$12,Paramètres!$A$1:$I$88,3,0)*VLOOKUP('Données projet'!$B$12,Paramètres!$A$1:$I$88,5,0)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201.94015973767443</v>
      </c>
      <c r="CE172" s="62">
        <f t="shared" si="148"/>
        <v>287.12228849146032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9.4589221844639528</v>
      </c>
      <c r="CL172" s="23">
        <f>EXP(-LN(2)/25)*CL171+(1-EXP(-LN(2)/25))/(LN(2)/25)*Calculateur!CG172*Calculateur!CI172*VLOOKUP('Données projet'!$B$12,Paramètres!$A$1:$I$88,3,0)*0.475*44/12</f>
        <v>1.1068545454747043</v>
      </c>
      <c r="CM172" s="23">
        <f>EXP(-LN(2)/2)*CM171+(1-EXP(-LN(2)/2))/(LN(2)/2)*CG172*CJ172*VLOOKUP('Données projet'!$B$12,Paramètres!$A$1:$I$88,3,0)*0.475*44/12</f>
        <v>2.4013470955339367E-17</v>
      </c>
      <c r="CN172" s="24">
        <f t="shared" si="172"/>
        <v>10.565776729938657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201.94015973767443</v>
      </c>
      <c r="T173" s="62">
        <f t="shared" si="142"/>
        <v>287.12228849146032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9.2734384897994691</v>
      </c>
      <c r="AA173" s="23">
        <f>EXP(-LN(2)/25)*AA172+(1-EXP(-LN(2)/25))/(LN(2)/25)*Calculateur!V173*Calculateur!X173*VLOOKUP('Données projet'!$B$9,Paramètres!$A$1:$I$88,3,0)*0.475*44/12</f>
        <v>1.0765875497217476</v>
      </c>
      <c r="AB173" s="23">
        <f>EXP(-LN(2)/2)*AB172+(1-EXP(-LN(2)/2))/(LN(2)/2)*V173*Y173*VLOOKUP('Données projet'!$B$9,Paramètres!$A$1:$I$88,3,0)*0.475*44/12</f>
        <v>1.6980088152346668E-17</v>
      </c>
      <c r="AC173" s="24">
        <f t="shared" si="163"/>
        <v>10.350026039521216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projet'!$B$10,Paramètres!$A$1:$I$88,3,0)*VLOOKUP('Données projet'!$B$10,Paramètres!$A$1:$I$88,5,0)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135.19533066605396</v>
      </c>
      <c r="AO173" s="62">
        <f t="shared" si="144"/>
        <v>213.60182977243113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6.6458113091500799</v>
      </c>
      <c r="AV173" s="23">
        <f>EXP(-LN(2)/25)*AV172+(1-EXP(-LN(2)/25))/(LN(2)/25)*Calculateur!AQ173*Calculateur!AS173*VLOOKUP('Données projet'!$B$10,Paramètres!$A$1:$I$88,3,0)*0.475*44/12</f>
        <v>0.91770352443243719</v>
      </c>
      <c r="AW173" s="23">
        <f>EXP(-LN(2)/2)*AW172+(1-EXP(-LN(2)/2))/(LN(2)/2)*AQ173*AT173*VLOOKUP('Données projet'!$B$10,Paramètres!$A$1:$I$88,3,0)*0.475*44/12</f>
        <v>1.780367829527821E-17</v>
      </c>
      <c r="AX173" s="23">
        <f t="shared" si="166"/>
        <v>7.5635148335825173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1.7053025658242404E-13</v>
      </c>
      <c r="BE173" s="14">
        <f>BD173*VLOOKUP('Données projet'!$B$11,Paramètres!$A$1:$I$88,3,0)*VLOOKUP('Données projet'!$B$11,Paramètres!$A$1:$I$88,5,0)</f>
        <v>1.0197709343628959E-13</v>
      </c>
      <c r="BF173" s="14">
        <f t="shared" si="167"/>
        <v>1.5284983994279675E-12</v>
      </c>
      <c r="BG173" s="22">
        <f t="shared" si="168"/>
        <v>2.839744816738581E-12</v>
      </c>
      <c r="BH173" s="62">
        <f t="shared" si="116"/>
        <v>293.33333333333616</v>
      </c>
      <c r="BI173" s="62">
        <f ca="1">AVERAGE(OFFSET($BH$3,0,0,'Données projet'!$E$11+1,1))-AVERAGE(OFFSET($H$3,0,0,'Données projet'!$E$11+1,1))</f>
        <v>258.1884172762135</v>
      </c>
      <c r="BJ173" s="62">
        <f t="shared" si="146"/>
        <v>356.36714671797864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12.452345880865801</v>
      </c>
      <c r="BQ173" s="23">
        <f>EXP(-LN(2)/25)*BQ172+(1-EXP(-LN(2)/25))/(LN(2)/25)*Calculateur!BL173*Calculateur!BN173*VLOOKUP('Données projet'!$B$11,Paramètres!$A$1:$I$88,3,0)*0.475*44/12</f>
        <v>1.54447843074605</v>
      </c>
      <c r="BR173" s="23">
        <f>EXP(-LN(2)/2)*BR172+(1-EXP(-LN(2)/2))/(LN(2)/2)*BL173*BO173*VLOOKUP('Données projet'!$B$11,Paramètres!$A$1:$I$88,3,0)*0.475*44/12</f>
        <v>2.2715205039428633E-17</v>
      </c>
      <c r="BS173" s="24">
        <f t="shared" si="169"/>
        <v>13.996824311611851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projet'!$B$12,Paramètres!$A$1:$I$88,3,0)*VLOOKUP('Données projet'!$B$12,Paramètres!$A$1:$I$88,5,0)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201.94015973767443</v>
      </c>
      <c r="CE173" s="62">
        <f t="shared" si="148"/>
        <v>287.12228849146032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9.2734384897994691</v>
      </c>
      <c r="CL173" s="23">
        <f>EXP(-LN(2)/25)*CL172+(1-EXP(-LN(2)/25))/(LN(2)/25)*Calculateur!CG173*Calculateur!CI173*VLOOKUP('Données projet'!$B$12,Paramètres!$A$1:$I$88,3,0)*0.475*44/12</f>
        <v>1.0765875497217476</v>
      </c>
      <c r="CM173" s="23">
        <f>EXP(-LN(2)/2)*CM172+(1-EXP(-LN(2)/2))/(LN(2)/2)*CG173*CJ173*VLOOKUP('Données projet'!$B$12,Paramètres!$A$1:$I$88,3,0)*0.475*44/12</f>
        <v>1.6980088152346668E-17</v>
      </c>
      <c r="CN173" s="24">
        <f t="shared" si="172"/>
        <v>10.350026039521216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201.94015973767443</v>
      </c>
      <c r="T174" s="62">
        <f t="shared" si="142"/>
        <v>287.12228849146032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9.0915920172534737</v>
      </c>
      <c r="AA174" s="23">
        <f>EXP(-LN(2)/25)*AA173+(1-EXP(-LN(2)/25))/(LN(2)/25)*Calculateur!V174*Calculateur!X174*VLOOKUP('Données projet'!$B$9,Paramètres!$A$1:$I$88,3,0)*0.475*44/12</f>
        <v>1.0471482065593278</v>
      </c>
      <c r="AB174" s="23">
        <f>EXP(-LN(2)/2)*AB173+(1-EXP(-LN(2)/2))/(LN(2)/2)*V174*Y174*VLOOKUP('Données projet'!$B$9,Paramètres!$A$1:$I$88,3,0)*0.475*44/12</f>
        <v>1.2006735477669683E-17</v>
      </c>
      <c r="AC174" s="24">
        <f t="shared" si="163"/>
        <v>10.138740223812801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projet'!$B$10,Paramètres!$A$1:$I$88,3,0)*VLOOKUP('Données projet'!$B$10,Paramètres!$A$1:$I$88,5,0)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135.19533066605396</v>
      </c>
      <c r="AO174" s="62">
        <f t="shared" si="144"/>
        <v>213.60182977243113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6.5154910029222908</v>
      </c>
      <c r="AV174" s="23">
        <f>EXP(-LN(2)/25)*AV173+(1-EXP(-LN(2)/25))/(LN(2)/25)*Calculateur!AQ174*Calculateur!AS174*VLOOKUP('Données projet'!$B$10,Paramètres!$A$1:$I$88,3,0)*0.475*44/12</f>
        <v>0.89260887329690131</v>
      </c>
      <c r="AW174" s="23">
        <f>EXP(-LN(2)/2)*AW173+(1-EXP(-LN(2)/2))/(LN(2)/2)*AQ174*AT174*VLOOKUP('Données projet'!$B$10,Paramètres!$A$1:$I$88,3,0)*0.475*44/12</f>
        <v>1.2589101652654975E-17</v>
      </c>
      <c r="AX174" s="23">
        <f t="shared" si="166"/>
        <v>7.4080998762191923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1.7053025658242404E-13</v>
      </c>
      <c r="BE174" s="14">
        <f>BD174*VLOOKUP('Données projet'!$B$11,Paramètres!$A$1:$I$88,3,0)*VLOOKUP('Données projet'!$B$11,Paramètres!$A$1:$I$88,5,0)</f>
        <v>1.0197709343628959E-13</v>
      </c>
      <c r="BF174" s="14">
        <f t="shared" si="167"/>
        <v>1.5284983994279675E-12</v>
      </c>
      <c r="BG174" s="22">
        <f t="shared" si="168"/>
        <v>2.839744816738581E-12</v>
      </c>
      <c r="BH174" s="62">
        <f t="shared" si="116"/>
        <v>293.33333333333616</v>
      </c>
      <c r="BI174" s="62">
        <f ca="1">AVERAGE(OFFSET($BH$3,0,0,'Données projet'!$E$11+1,1))-AVERAGE(OFFSET($H$3,0,0,'Données projet'!$E$11+1,1))</f>
        <v>258.1884172762135</v>
      </c>
      <c r="BJ174" s="62">
        <f t="shared" si="146"/>
        <v>356.36714671797864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12.208162973323049</v>
      </c>
      <c r="BQ174" s="23">
        <f>EXP(-LN(2)/25)*BQ173+(1-EXP(-LN(2)/25))/(LN(2)/25)*Calculateur!BL174*Calculateur!BN174*VLOOKUP('Données projet'!$B$11,Paramètres!$A$1:$I$88,3,0)*0.475*44/12</f>
        <v>1.5022445868367085</v>
      </c>
      <c r="BR174" s="23">
        <f>EXP(-LN(2)/2)*BR173+(1-EXP(-LN(2)/2))/(LN(2)/2)*BL174*BO174*VLOOKUP('Données projet'!$B$11,Paramètres!$A$1:$I$88,3,0)*0.475*44/12</f>
        <v>1.6062075519422824E-17</v>
      </c>
      <c r="BS174" s="24">
        <f t="shared" si="169"/>
        <v>13.710407560159757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projet'!$B$12,Paramètres!$A$1:$I$88,3,0)*VLOOKUP('Données projet'!$B$12,Paramètres!$A$1:$I$88,5,0)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201.94015973767443</v>
      </c>
      <c r="CE174" s="62">
        <f t="shared" si="148"/>
        <v>287.12228849146032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9.0915920172534737</v>
      </c>
      <c r="CL174" s="23">
        <f>EXP(-LN(2)/25)*CL173+(1-EXP(-LN(2)/25))/(LN(2)/25)*Calculateur!CG174*Calculateur!CI174*VLOOKUP('Données projet'!$B$12,Paramètres!$A$1:$I$88,3,0)*0.475*44/12</f>
        <v>1.0471482065593278</v>
      </c>
      <c r="CM174" s="23">
        <f>EXP(-LN(2)/2)*CM173+(1-EXP(-LN(2)/2))/(LN(2)/2)*CG174*CJ174*VLOOKUP('Données projet'!$B$12,Paramètres!$A$1:$I$88,3,0)*0.475*44/12</f>
        <v>1.2006735477669683E-17</v>
      </c>
      <c r="CN174" s="24">
        <f t="shared" si="172"/>
        <v>10.138740223812801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201.94015973767443</v>
      </c>
      <c r="T175" s="62">
        <f t="shared" si="142"/>
        <v>287.12228849146032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8.9133114431187082</v>
      </c>
      <c r="AA175" s="23">
        <f>EXP(-LN(2)/25)*AA174+(1-EXP(-LN(2)/25))/(LN(2)/25)*Calculateur!V175*Calculateur!X175*VLOOKUP('Données projet'!$B$9,Paramètres!$A$1:$I$88,3,0)*0.475*44/12</f>
        <v>1.0185138837838321</v>
      </c>
      <c r="AB175" s="23">
        <f>EXP(-LN(2)/2)*AB174+(1-EXP(-LN(2)/2))/(LN(2)/2)*V175*Y175*VLOOKUP('Données projet'!$B$9,Paramètres!$A$1:$I$88,3,0)*0.475*44/12</f>
        <v>8.4900440761733338E-18</v>
      </c>
      <c r="AC175" s="24">
        <f t="shared" si="163"/>
        <v>9.9318253269025405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projet'!$B$10,Paramètres!$A$1:$I$88,3,0)*VLOOKUP('Données projet'!$B$10,Paramètres!$A$1:$I$88,5,0)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135.19533066605396</v>
      </c>
      <c r="AO175" s="62">
        <f t="shared" si="144"/>
        <v>213.60182977243113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6.387726198412091</v>
      </c>
      <c r="AV175" s="23">
        <f>EXP(-LN(2)/25)*AV174+(1-EXP(-LN(2)/25))/(LN(2)/25)*Calculateur!AQ175*Calculateur!AS175*VLOOKUP('Données projet'!$B$10,Paramètres!$A$1:$I$88,3,0)*0.475*44/12</f>
        <v>0.86820043671633695</v>
      </c>
      <c r="AW175" s="23">
        <f>EXP(-LN(2)/2)*AW174+(1-EXP(-LN(2)/2))/(LN(2)/2)*AQ175*AT175*VLOOKUP('Données projet'!$B$10,Paramètres!$A$1:$I$88,3,0)*0.475*44/12</f>
        <v>8.9018391476391049E-18</v>
      </c>
      <c r="AX175" s="23">
        <f t="shared" si="166"/>
        <v>7.2559266351284277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1.7053025658242404E-13</v>
      </c>
      <c r="BE175" s="14">
        <f>BD175*VLOOKUP('Données projet'!$B$11,Paramètres!$A$1:$I$88,3,0)*VLOOKUP('Données projet'!$B$11,Paramètres!$A$1:$I$88,5,0)</f>
        <v>1.0197709343628959E-13</v>
      </c>
      <c r="BF175" s="14">
        <f t="shared" si="167"/>
        <v>1.5284983994279675E-12</v>
      </c>
      <c r="BG175" s="22">
        <f t="shared" si="168"/>
        <v>2.839744816738581E-12</v>
      </c>
      <c r="BH175" s="62">
        <f t="shared" si="116"/>
        <v>293.33333333333616</v>
      </c>
      <c r="BI175" s="62">
        <f ca="1">AVERAGE(OFFSET($BH$3,0,0,'Données projet'!$E$11+1,1))-AVERAGE(OFFSET($H$3,0,0,'Données projet'!$E$11+1,1))</f>
        <v>258.1884172762135</v>
      </c>
      <c r="BJ175" s="62">
        <f t="shared" si="146"/>
        <v>356.36714671797864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11.968768343660342</v>
      </c>
      <c r="BQ175" s="23">
        <f>EXP(-LN(2)/25)*BQ174+(1-EXP(-LN(2)/25))/(LN(2)/25)*Calculateur!BL175*Calculateur!BN175*VLOOKUP('Données projet'!$B$11,Paramètres!$A$1:$I$88,3,0)*0.475*44/12</f>
        <v>1.4611656296100493</v>
      </c>
      <c r="BR175" s="23">
        <f>EXP(-LN(2)/2)*BR174+(1-EXP(-LN(2)/2))/(LN(2)/2)*BL175*BO175*VLOOKUP('Données projet'!$B$11,Paramètres!$A$1:$I$88,3,0)*0.475*44/12</f>
        <v>1.1357602519714316E-17</v>
      </c>
      <c r="BS175" s="24">
        <f t="shared" si="169"/>
        <v>13.429933973270391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projet'!$B$12,Paramètres!$A$1:$I$88,3,0)*VLOOKUP('Données projet'!$B$12,Paramètres!$A$1:$I$88,5,0)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201.94015973767443</v>
      </c>
      <c r="CE175" s="62">
        <f t="shared" si="148"/>
        <v>287.12228849146032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8.9133114431187082</v>
      </c>
      <c r="CL175" s="23">
        <f>EXP(-LN(2)/25)*CL174+(1-EXP(-LN(2)/25))/(LN(2)/25)*Calculateur!CG175*Calculateur!CI175*VLOOKUP('Données projet'!$B$12,Paramètres!$A$1:$I$88,3,0)*0.475*44/12</f>
        <v>1.0185138837838321</v>
      </c>
      <c r="CM175" s="23">
        <f>EXP(-LN(2)/2)*CM174+(1-EXP(-LN(2)/2))/(LN(2)/2)*CG175*CJ175*VLOOKUP('Données projet'!$B$12,Paramètres!$A$1:$I$88,3,0)*0.475*44/12</f>
        <v>8.4900440761733338E-18</v>
      </c>
      <c r="CN175" s="24">
        <f t="shared" si="172"/>
        <v>9.9318253269025405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201.94015973767443</v>
      </c>
      <c r="T176" s="62">
        <f t="shared" si="142"/>
        <v>287.12228849146032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8.7385268423023135</v>
      </c>
      <c r="AA176" s="23">
        <f>EXP(-LN(2)/25)*AA175+(1-EXP(-LN(2)/25))/(LN(2)/25)*Calculateur!V176*Calculateur!X176*VLOOKUP('Données projet'!$B$9,Paramètres!$A$1:$I$88,3,0)*0.475*44/12</f>
        <v>0.99066256807044595</v>
      </c>
      <c r="AB176" s="23">
        <f>EXP(-LN(2)/2)*AB175+(1-EXP(-LN(2)/2))/(LN(2)/2)*V176*Y176*VLOOKUP('Données projet'!$B$9,Paramètres!$A$1:$I$88,3,0)*0.475*44/12</f>
        <v>6.0033677388348417E-18</v>
      </c>
      <c r="AC176" s="24">
        <f t="shared" si="163"/>
        <v>9.7291894103727596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projet'!$B$10,Paramètres!$A$1:$I$88,3,0)*VLOOKUP('Données projet'!$B$10,Paramètres!$A$1:$I$88,5,0)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135.19533066605396</v>
      </c>
      <c r="AO176" s="62">
        <f t="shared" si="144"/>
        <v>213.60182977243113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6.2624667837894998</v>
      </c>
      <c r="AV176" s="23">
        <f>EXP(-LN(2)/25)*AV175+(1-EXP(-LN(2)/25))/(LN(2)/25)*Calculateur!AQ176*Calculateur!AS176*VLOOKUP('Données projet'!$B$10,Paramètres!$A$1:$I$88,3,0)*0.475*44/12</f>
        <v>0.844459450117652</v>
      </c>
      <c r="AW176" s="23">
        <f>EXP(-LN(2)/2)*AW175+(1-EXP(-LN(2)/2))/(LN(2)/2)*AQ176*AT176*VLOOKUP('Données projet'!$B$10,Paramètres!$A$1:$I$88,3,0)*0.475*44/12</f>
        <v>6.2945508263274874E-18</v>
      </c>
      <c r="AX176" s="23">
        <f t="shared" si="166"/>
        <v>7.1069262339071519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1.7053025658242404E-13</v>
      </c>
      <c r="BE176" s="14">
        <f>BD176*VLOOKUP('Données projet'!$B$11,Paramètres!$A$1:$I$88,3,0)*VLOOKUP('Données projet'!$B$11,Paramètres!$A$1:$I$88,5,0)</f>
        <v>1.0197709343628959E-13</v>
      </c>
      <c r="BF176" s="14">
        <f t="shared" si="167"/>
        <v>1.5284983994279675E-12</v>
      </c>
      <c r="BG176" s="22">
        <f t="shared" si="168"/>
        <v>2.839744816738581E-12</v>
      </c>
      <c r="BH176" s="62">
        <f t="shared" si="116"/>
        <v>293.33333333333616</v>
      </c>
      <c r="BI176" s="62">
        <f ca="1">AVERAGE(OFFSET($BH$3,0,0,'Données projet'!$E$11+1,1))-AVERAGE(OFFSET($H$3,0,0,'Données projet'!$E$11+1,1))</f>
        <v>258.1884172762135</v>
      </c>
      <c r="BJ176" s="62">
        <f t="shared" si="146"/>
        <v>356.36714671797864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11.734068096669015</v>
      </c>
      <c r="BQ176" s="23">
        <f>EXP(-LN(2)/25)*BQ175+(1-EXP(-LN(2)/25))/(LN(2)/25)*Calculateur!BL176*Calculateur!BN176*VLOOKUP('Données projet'!$B$11,Paramètres!$A$1:$I$88,3,0)*0.475*44/12</f>
        <v>1.4212099786290016</v>
      </c>
      <c r="BR176" s="23">
        <f>EXP(-LN(2)/2)*BR175+(1-EXP(-LN(2)/2))/(LN(2)/2)*BL176*BO176*VLOOKUP('Données projet'!$B$11,Paramètres!$A$1:$I$88,3,0)*0.475*44/12</f>
        <v>8.0310377597114119E-18</v>
      </c>
      <c r="BS176" s="24">
        <f t="shared" si="169"/>
        <v>13.155278075298016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projet'!$B$12,Paramètres!$A$1:$I$88,3,0)*VLOOKUP('Données projet'!$B$12,Paramètres!$A$1:$I$88,5,0)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201.94015973767443</v>
      </c>
      <c r="CE176" s="62">
        <f t="shared" si="148"/>
        <v>287.12228849146032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8.7385268423023135</v>
      </c>
      <c r="CL176" s="23">
        <f>EXP(-LN(2)/25)*CL175+(1-EXP(-LN(2)/25))/(LN(2)/25)*Calculateur!CG176*Calculateur!CI176*VLOOKUP('Données projet'!$B$12,Paramètres!$A$1:$I$88,3,0)*0.475*44/12</f>
        <v>0.99066256807044595</v>
      </c>
      <c r="CM176" s="23">
        <f>EXP(-LN(2)/2)*CM175+(1-EXP(-LN(2)/2))/(LN(2)/2)*CG176*CJ176*VLOOKUP('Données projet'!$B$12,Paramètres!$A$1:$I$88,3,0)*0.475*44/12</f>
        <v>6.0033677388348417E-18</v>
      </c>
      <c r="CN176" s="24">
        <f t="shared" si="172"/>
        <v>9.7291894103727596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201.94015973767443</v>
      </c>
      <c r="T177" s="62">
        <f t="shared" si="142"/>
        <v>287.12228849146032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8.5671696608998484</v>
      </c>
      <c r="AA177" s="23">
        <f>EXP(-LN(2)/25)*AA176+(1-EXP(-LN(2)/25))/(LN(2)/25)*Calculateur!V177*Calculateur!X177*VLOOKUP('Données projet'!$B$9,Paramètres!$A$1:$I$88,3,0)*0.475*44/12</f>
        <v>0.9635728480498793</v>
      </c>
      <c r="AB177" s="23">
        <f>EXP(-LN(2)/2)*AB176+(1-EXP(-LN(2)/2))/(LN(2)/2)*V177*Y177*VLOOKUP('Données projet'!$B$9,Paramètres!$A$1:$I$88,3,0)*0.475*44/12</f>
        <v>4.2450220380866669E-18</v>
      </c>
      <c r="AC177" s="24">
        <f t="shared" si="163"/>
        <v>9.5307425089497286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projet'!$B$10,Paramètres!$A$1:$I$88,3,0)*VLOOKUP('Données projet'!$B$10,Paramètres!$A$1:$I$88,5,0)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135.19533066605396</v>
      </c>
      <c r="AO177" s="62">
        <f t="shared" si="144"/>
        <v>213.60182977243113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6.1396636298869591</v>
      </c>
      <c r="AV177" s="23">
        <f>EXP(-LN(2)/25)*AV176+(1-EXP(-LN(2)/25))/(LN(2)/25)*Calculateur!AQ177*Calculateur!AS177*VLOOKUP('Données projet'!$B$10,Paramètres!$A$1:$I$88,3,0)*0.475*44/12</f>
        <v>0.82136766204599232</v>
      </c>
      <c r="AW177" s="23">
        <f>EXP(-LN(2)/2)*AW176+(1-EXP(-LN(2)/2))/(LN(2)/2)*AQ177*AT177*VLOOKUP('Données projet'!$B$10,Paramètres!$A$1:$I$88,3,0)*0.475*44/12</f>
        <v>4.4509195738195524E-18</v>
      </c>
      <c r="AX177" s="23">
        <f t="shared" si="166"/>
        <v>6.9610312919329518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1.7053025658242404E-13</v>
      </c>
      <c r="BE177" s="14">
        <f>BD177*VLOOKUP('Données projet'!$B$11,Paramètres!$A$1:$I$88,3,0)*VLOOKUP('Données projet'!$B$11,Paramètres!$A$1:$I$88,5,0)</f>
        <v>1.0197709343628959E-13</v>
      </c>
      <c r="BF177" s="14">
        <f t="shared" si="167"/>
        <v>1.5284983994279675E-12</v>
      </c>
      <c r="BG177" s="22">
        <f t="shared" si="168"/>
        <v>2.839744816738581E-12</v>
      </c>
      <c r="BH177" s="62">
        <f t="shared" si="116"/>
        <v>293.33333333333616</v>
      </c>
      <c r="BI177" s="62">
        <f ca="1">AVERAGE(OFFSET($BH$3,0,0,'Données projet'!$E$11+1,1))-AVERAGE(OFFSET($H$3,0,0,'Données projet'!$E$11+1,1))</f>
        <v>258.1884172762135</v>
      </c>
      <c r="BJ177" s="62">
        <f t="shared" si="146"/>
        <v>356.36714671797864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11.503970178368172</v>
      </c>
      <c r="BQ177" s="23">
        <f>EXP(-LN(2)/25)*BQ176+(1-EXP(-LN(2)/25))/(LN(2)/25)*Calculateur!BL177*Calculateur!BN177*VLOOKUP('Données projet'!$B$11,Paramètres!$A$1:$I$88,3,0)*0.475*44/12</f>
        <v>1.382346917025207</v>
      </c>
      <c r="BR177" s="23">
        <f>EXP(-LN(2)/2)*BR176+(1-EXP(-LN(2)/2))/(LN(2)/2)*BL177*BO177*VLOOKUP('Données projet'!$B$11,Paramètres!$A$1:$I$88,3,0)*0.475*44/12</f>
        <v>5.6788012598571582E-18</v>
      </c>
      <c r="BS177" s="24">
        <f t="shared" si="169"/>
        <v>12.88631709539338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projet'!$B$12,Paramètres!$A$1:$I$88,3,0)*VLOOKUP('Données projet'!$B$12,Paramètres!$A$1:$I$88,5,0)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201.94015973767443</v>
      </c>
      <c r="CE177" s="62">
        <f t="shared" si="148"/>
        <v>287.12228849146032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8.5671696608998484</v>
      </c>
      <c r="CL177" s="23">
        <f>EXP(-LN(2)/25)*CL176+(1-EXP(-LN(2)/25))/(LN(2)/25)*Calculateur!CG177*Calculateur!CI177*VLOOKUP('Données projet'!$B$12,Paramètres!$A$1:$I$88,3,0)*0.475*44/12</f>
        <v>0.9635728480498793</v>
      </c>
      <c r="CM177" s="23">
        <f>EXP(-LN(2)/2)*CM176+(1-EXP(-LN(2)/2))/(LN(2)/2)*CG177*CJ177*VLOOKUP('Données projet'!$B$12,Paramètres!$A$1:$I$88,3,0)*0.475*44/12</f>
        <v>4.2450220380866669E-18</v>
      </c>
      <c r="CN177" s="24">
        <f t="shared" si="172"/>
        <v>9.5307425089497286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201.94015973767443</v>
      </c>
      <c r="T178" s="62">
        <f t="shared" si="142"/>
        <v>287.12228849146032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8.3991726893071252</v>
      </c>
      <c r="AA178" s="23">
        <f>EXP(-LN(2)/25)*AA177+(1-EXP(-LN(2)/25))/(LN(2)/25)*Calculateur!V178*Calculateur!X178*VLOOKUP('Données projet'!$B$9,Paramètres!$A$1:$I$88,3,0)*0.475*44/12</f>
        <v>0.93722389784786153</v>
      </c>
      <c r="AB178" s="23">
        <f>EXP(-LN(2)/2)*AB177+(1-EXP(-LN(2)/2))/(LN(2)/2)*V178*Y178*VLOOKUP('Données projet'!$B$9,Paramètres!$A$1:$I$88,3,0)*0.475*44/12</f>
        <v>3.0016838694174208E-18</v>
      </c>
      <c r="AC178" s="24">
        <f t="shared" si="163"/>
        <v>9.3363965871549865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projet'!$B$10,Paramètres!$A$1:$I$88,3,0)*VLOOKUP('Données projet'!$B$10,Paramètres!$A$1:$I$88,5,0)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135.19533066605396</v>
      </c>
      <c r="AO178" s="62">
        <f t="shared" si="144"/>
        <v>213.60182977243113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6.0192685709299196</v>
      </c>
      <c r="AV178" s="23">
        <f>EXP(-LN(2)/25)*AV177+(1-EXP(-LN(2)/25))/(LN(2)/25)*Calculateur!AQ178*Calculateur!AS178*VLOOKUP('Données projet'!$B$10,Paramètres!$A$1:$I$88,3,0)*0.475*44/12</f>
        <v>0.79890732013349652</v>
      </c>
      <c r="AW178" s="23">
        <f>EXP(-LN(2)/2)*AW177+(1-EXP(-LN(2)/2))/(LN(2)/2)*AQ178*AT178*VLOOKUP('Données projet'!$B$10,Paramètres!$A$1:$I$88,3,0)*0.475*44/12</f>
        <v>3.1472754131637437E-18</v>
      </c>
      <c r="AX178" s="23">
        <f t="shared" si="166"/>
        <v>6.818175891063416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1.7053025658242404E-13</v>
      </c>
      <c r="BE178" s="14">
        <f>BD178*VLOOKUP('Données projet'!$B$11,Paramètres!$A$1:$I$88,3,0)*VLOOKUP('Données projet'!$B$11,Paramètres!$A$1:$I$88,5,0)</f>
        <v>1.0197709343628959E-13</v>
      </c>
      <c r="BF178" s="14">
        <f t="shared" si="167"/>
        <v>1.5284983994279675E-12</v>
      </c>
      <c r="BG178" s="22">
        <f t="shared" si="168"/>
        <v>2.839744816738581E-12</v>
      </c>
      <c r="BH178" s="62">
        <f t="shared" si="116"/>
        <v>293.33333333333616</v>
      </c>
      <c r="BI178" s="62">
        <f ca="1">AVERAGE(OFFSET($BH$3,0,0,'Données projet'!$E$11+1,1))-AVERAGE(OFFSET($H$3,0,0,'Données projet'!$E$11+1,1))</f>
        <v>258.1884172762135</v>
      </c>
      <c r="BJ178" s="62">
        <f t="shared" si="146"/>
        <v>356.36714671797864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11.278384339899336</v>
      </c>
      <c r="BQ178" s="23">
        <f>EXP(-LN(2)/25)*BQ177+(1-EXP(-LN(2)/25))/(LN(2)/25)*Calculateur!BL178*Calculateur!BN178*VLOOKUP('Données projet'!$B$11,Paramètres!$A$1:$I$88,3,0)*0.475*44/12</f>
        <v>1.3445465678846877</v>
      </c>
      <c r="BR178" s="23">
        <f>EXP(-LN(2)/2)*BR177+(1-EXP(-LN(2)/2))/(LN(2)/2)*BL178*BO178*VLOOKUP('Données projet'!$B$11,Paramètres!$A$1:$I$88,3,0)*0.475*44/12</f>
        <v>4.015518879855706E-18</v>
      </c>
      <c r="BS178" s="24">
        <f t="shared" si="169"/>
        <v>12.622930907784024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projet'!$B$12,Paramètres!$A$1:$I$88,3,0)*VLOOKUP('Données projet'!$B$12,Paramètres!$A$1:$I$88,5,0)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201.94015973767443</v>
      </c>
      <c r="CE178" s="62">
        <f t="shared" si="148"/>
        <v>287.12228849146032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8.3991726893071252</v>
      </c>
      <c r="CL178" s="23">
        <f>EXP(-LN(2)/25)*CL177+(1-EXP(-LN(2)/25))/(LN(2)/25)*Calculateur!CG178*Calculateur!CI178*VLOOKUP('Données projet'!$B$12,Paramètres!$A$1:$I$88,3,0)*0.475*44/12</f>
        <v>0.93722389784786153</v>
      </c>
      <c r="CM178" s="23">
        <f>EXP(-LN(2)/2)*CM177+(1-EXP(-LN(2)/2))/(LN(2)/2)*CG178*CJ178*VLOOKUP('Données projet'!$B$12,Paramètres!$A$1:$I$88,3,0)*0.475*44/12</f>
        <v>3.0016838694174208E-18</v>
      </c>
      <c r="CN178" s="24">
        <f t="shared" si="172"/>
        <v>9.3363965871549865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201.94015973767443</v>
      </c>
      <c r="T179" s="62">
        <f t="shared" si="142"/>
        <v>287.12228849146032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8.2344700358592995</v>
      </c>
      <c r="AA179" s="23">
        <f>EXP(-LN(2)/25)*AA178+(1-EXP(-LN(2)/25))/(LN(2)/25)*Calculateur!V179*Calculateur!X179*VLOOKUP('Données projet'!$B$9,Paramètres!$A$1:$I$88,3,0)*0.475*44/12</f>
        <v>0.91159546107474898</v>
      </c>
      <c r="AB179" s="23">
        <f>EXP(-LN(2)/2)*AB178+(1-EXP(-LN(2)/2))/(LN(2)/2)*V179*Y179*VLOOKUP('Données projet'!$B$9,Paramètres!$A$1:$I$88,3,0)*0.475*44/12</f>
        <v>2.1225110190433335E-18</v>
      </c>
      <c r="AC179" s="24">
        <f t="shared" si="163"/>
        <v>9.1460654969340478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projet'!$B$10,Paramètres!$A$1:$I$88,3,0)*VLOOKUP('Données projet'!$B$10,Paramètres!$A$1:$I$88,5,0)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135.19533066605396</v>
      </c>
      <c r="AO179" s="62">
        <f t="shared" si="144"/>
        <v>213.60182977243113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5.9012343856452922</v>
      </c>
      <c r="AV179" s="23">
        <f>EXP(-LN(2)/25)*AV178+(1-EXP(-LN(2)/25))/(LN(2)/25)*Calculateur!AQ179*Calculateur!AS179*VLOOKUP('Données projet'!$B$10,Paramètres!$A$1:$I$88,3,0)*0.475*44/12</f>
        <v>0.77706115745173598</v>
      </c>
      <c r="AW179" s="23">
        <f>EXP(-LN(2)/2)*AW178+(1-EXP(-LN(2)/2))/(LN(2)/2)*AQ179*AT179*VLOOKUP('Données projet'!$B$10,Paramètres!$A$1:$I$88,3,0)*0.475*44/12</f>
        <v>2.2254597869097762E-18</v>
      </c>
      <c r="AX179" s="23">
        <f t="shared" si="166"/>
        <v>6.6782955430970281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1.7053025658242404E-13</v>
      </c>
      <c r="BE179" s="14">
        <f>BD179*VLOOKUP('Données projet'!$B$11,Paramètres!$A$1:$I$88,3,0)*VLOOKUP('Données projet'!$B$11,Paramètres!$A$1:$I$88,5,0)</f>
        <v>1.0197709343628959E-13</v>
      </c>
      <c r="BF179" s="14">
        <f t="shared" si="167"/>
        <v>1.5284983994279675E-12</v>
      </c>
      <c r="BG179" s="22">
        <f t="shared" si="168"/>
        <v>2.839744816738581E-12</v>
      </c>
      <c r="BH179" s="62">
        <f t="shared" si="116"/>
        <v>293.33333333333616</v>
      </c>
      <c r="BI179" s="62">
        <f ca="1">AVERAGE(OFFSET($BH$3,0,0,'Données projet'!$E$11+1,1))-AVERAGE(OFFSET($H$3,0,0,'Données projet'!$E$11+1,1))</f>
        <v>258.1884172762135</v>
      </c>
      <c r="BJ179" s="62">
        <f t="shared" si="146"/>
        <v>356.36714671797864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11.057222102129099</v>
      </c>
      <c r="BQ179" s="23">
        <f>EXP(-LN(2)/25)*BQ178+(1-EXP(-LN(2)/25))/(LN(2)/25)*Calculateur!BL179*Calculateur!BN179*VLOOKUP('Données projet'!$B$11,Paramètres!$A$1:$I$88,3,0)*0.475*44/12</f>
        <v>1.3077798712792499</v>
      </c>
      <c r="BR179" s="23">
        <f>EXP(-LN(2)/2)*BR178+(1-EXP(-LN(2)/2))/(LN(2)/2)*BL179*BO179*VLOOKUP('Données projet'!$B$11,Paramètres!$A$1:$I$88,3,0)*0.475*44/12</f>
        <v>2.8394006299285791E-18</v>
      </c>
      <c r="BS179" s="24">
        <f t="shared" si="169"/>
        <v>12.365001973408349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projet'!$B$12,Paramètres!$A$1:$I$88,3,0)*VLOOKUP('Données projet'!$B$12,Paramètres!$A$1:$I$88,5,0)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201.94015973767443</v>
      </c>
      <c r="CE179" s="62">
        <f t="shared" si="148"/>
        <v>287.12228849146032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8.2344700358592995</v>
      </c>
      <c r="CL179" s="23">
        <f>EXP(-LN(2)/25)*CL178+(1-EXP(-LN(2)/25))/(LN(2)/25)*Calculateur!CG179*Calculateur!CI179*VLOOKUP('Données projet'!$B$12,Paramètres!$A$1:$I$88,3,0)*0.475*44/12</f>
        <v>0.91159546107474898</v>
      </c>
      <c r="CM179" s="23">
        <f>EXP(-LN(2)/2)*CM178+(1-EXP(-LN(2)/2))/(LN(2)/2)*CG179*CJ179*VLOOKUP('Données projet'!$B$12,Paramètres!$A$1:$I$88,3,0)*0.475*44/12</f>
        <v>2.1225110190433335E-18</v>
      </c>
      <c r="CN179" s="24">
        <f t="shared" si="172"/>
        <v>9.1460654969340478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201.94015973767443</v>
      </c>
      <c r="T180" s="62">
        <f t="shared" si="142"/>
        <v>287.12228849146032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8.0729971009868873</v>
      </c>
      <c r="AA180" s="23">
        <f>EXP(-LN(2)/25)*AA179+(1-EXP(-LN(2)/25))/(LN(2)/25)*Calculateur!V180*Calculateur!X180*VLOOKUP('Données projet'!$B$9,Paramètres!$A$1:$I$88,3,0)*0.475*44/12</f>
        <v>0.88666783525293813</v>
      </c>
      <c r="AB180" s="23">
        <f>EXP(-LN(2)/2)*AB179+(1-EXP(-LN(2)/2))/(LN(2)/2)*V180*Y180*VLOOKUP('Données projet'!$B$9,Paramètres!$A$1:$I$88,3,0)*0.475*44/12</f>
        <v>1.5008419347087104E-18</v>
      </c>
      <c r="AC180" s="24">
        <f t="shared" si="163"/>
        <v>8.9596649362398253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projet'!$B$10,Paramètres!$A$1:$I$88,3,0)*VLOOKUP('Données projet'!$B$10,Paramètres!$A$1:$I$88,5,0)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135.19533066605396</v>
      </c>
      <c r="AO180" s="62">
        <f t="shared" si="144"/>
        <v>213.60182977243113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5.7855147787403522</v>
      </c>
      <c r="AV180" s="23">
        <f>EXP(-LN(2)/25)*AV179+(1-EXP(-LN(2)/25))/(LN(2)/25)*Calculateur!AQ180*Calculateur!AS180*VLOOKUP('Données projet'!$B$10,Paramètres!$A$1:$I$88,3,0)*0.475*44/12</f>
        <v>0.75581237923734801</v>
      </c>
      <c r="AW180" s="23">
        <f>EXP(-LN(2)/2)*AW179+(1-EXP(-LN(2)/2))/(LN(2)/2)*AQ180*AT180*VLOOKUP('Données projet'!$B$10,Paramètres!$A$1:$I$88,3,0)*0.475*44/12</f>
        <v>1.5736377065818718E-18</v>
      </c>
      <c r="AX180" s="23">
        <f t="shared" si="166"/>
        <v>6.5413271579777001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1.7053025658242404E-13</v>
      </c>
      <c r="BE180" s="14">
        <f>BD180*VLOOKUP('Données projet'!$B$11,Paramètres!$A$1:$I$88,3,0)*VLOOKUP('Données projet'!$B$11,Paramètres!$A$1:$I$88,5,0)</f>
        <v>1.0197709343628959E-13</v>
      </c>
      <c r="BF180" s="14">
        <f t="shared" si="167"/>
        <v>1.5284983994279675E-12</v>
      </c>
      <c r="BG180" s="22">
        <f t="shared" si="168"/>
        <v>2.839744816738581E-12</v>
      </c>
      <c r="BH180" s="62">
        <f t="shared" si="116"/>
        <v>293.33333333333616</v>
      </c>
      <c r="BI180" s="62">
        <f ca="1">AVERAGE(OFFSET($BH$3,0,0,'Données projet'!$E$11+1,1))-AVERAGE(OFFSET($H$3,0,0,'Données projet'!$E$11+1,1))</f>
        <v>258.1884172762135</v>
      </c>
      <c r="BJ180" s="62">
        <f t="shared" si="146"/>
        <v>356.36714671797864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10.840396720945892</v>
      </c>
      <c r="BQ180" s="23">
        <f>EXP(-LN(2)/25)*BQ179+(1-EXP(-LN(2)/25))/(LN(2)/25)*Calculateur!BL180*Calculateur!BN180*VLOOKUP('Données projet'!$B$11,Paramètres!$A$1:$I$88,3,0)*0.475*44/12</f>
        <v>1.2720185619259643</v>
      </c>
      <c r="BR180" s="23">
        <f>EXP(-LN(2)/2)*BR179+(1-EXP(-LN(2)/2))/(LN(2)/2)*BL180*BO180*VLOOKUP('Données projet'!$B$11,Paramètres!$A$1:$I$88,3,0)*0.475*44/12</f>
        <v>2.007759439927853E-18</v>
      </c>
      <c r="BS180" s="24">
        <f t="shared" si="169"/>
        <v>12.112415282871856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projet'!$B$12,Paramètres!$A$1:$I$88,3,0)*VLOOKUP('Données projet'!$B$12,Paramètres!$A$1:$I$88,5,0)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201.94015973767443</v>
      </c>
      <c r="CE180" s="62">
        <f t="shared" si="148"/>
        <v>287.12228849146032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8.0729971009868873</v>
      </c>
      <c r="CL180" s="23">
        <f>EXP(-LN(2)/25)*CL179+(1-EXP(-LN(2)/25))/(LN(2)/25)*Calculateur!CG180*Calculateur!CI180*VLOOKUP('Données projet'!$B$12,Paramètres!$A$1:$I$88,3,0)*0.475*44/12</f>
        <v>0.88666783525293813</v>
      </c>
      <c r="CM180" s="23">
        <f>EXP(-LN(2)/2)*CM179+(1-EXP(-LN(2)/2))/(LN(2)/2)*CG180*CJ180*VLOOKUP('Données projet'!$B$12,Paramètres!$A$1:$I$88,3,0)*0.475*44/12</f>
        <v>1.5008419347087104E-18</v>
      </c>
      <c r="CN180" s="24">
        <f t="shared" si="172"/>
        <v>8.9596649362398253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201.94015973767443</v>
      </c>
      <c r="T181" s="62">
        <f t="shared" si="142"/>
        <v>287.12228849146032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7.9146905518785573</v>
      </c>
      <c r="AA181" s="23">
        <f>EXP(-LN(2)/25)*AA180+(1-EXP(-LN(2)/25))/(LN(2)/25)*Calculateur!V181*Calculateur!X181*VLOOKUP('Données projet'!$B$9,Paramètres!$A$1:$I$88,3,0)*0.475*44/12</f>
        <v>0.86242185667011162</v>
      </c>
      <c r="AB181" s="23">
        <f>EXP(-LN(2)/2)*AB180+(1-EXP(-LN(2)/2))/(LN(2)/2)*V181*Y181*VLOOKUP('Données projet'!$B$9,Paramètres!$A$1:$I$88,3,0)*0.475*44/12</f>
        <v>1.0612555095216667E-18</v>
      </c>
      <c r="AC181" s="24">
        <f t="shared" si="163"/>
        <v>8.7771124085486694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projet'!$B$10,Paramètres!$A$1:$I$88,3,0)*VLOOKUP('Données projet'!$B$10,Paramètres!$A$1:$I$88,5,0)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135.19533066605396</v>
      </c>
      <c r="AO181" s="62">
        <f t="shared" si="144"/>
        <v>213.60182977243113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5.6720643627448277</v>
      </c>
      <c r="AV181" s="23">
        <f>EXP(-LN(2)/25)*AV180+(1-EXP(-LN(2)/25))/(LN(2)/25)*Calculateur!AQ181*Calculateur!AS181*VLOOKUP('Données projet'!$B$10,Paramètres!$A$1:$I$88,3,0)*0.475*44/12</f>
        <v>0.73514464998065709</v>
      </c>
      <c r="AW181" s="23">
        <f>EXP(-LN(2)/2)*AW180+(1-EXP(-LN(2)/2))/(LN(2)/2)*AQ181*AT181*VLOOKUP('Données projet'!$B$10,Paramètres!$A$1:$I$88,3,0)*0.475*44/12</f>
        <v>1.1127298934548881E-18</v>
      </c>
      <c r="AX181" s="23">
        <f t="shared" si="166"/>
        <v>6.4072090127254846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1.7053025658242404E-13</v>
      </c>
      <c r="BE181" s="14">
        <f>BD181*VLOOKUP('Données projet'!$B$11,Paramètres!$A$1:$I$88,3,0)*VLOOKUP('Données projet'!$B$11,Paramètres!$A$1:$I$88,5,0)</f>
        <v>1.0197709343628959E-13</v>
      </c>
      <c r="BF181" s="14">
        <f t="shared" si="167"/>
        <v>1.5284983994279675E-12</v>
      </c>
      <c r="BG181" s="22">
        <f t="shared" si="168"/>
        <v>2.839744816738581E-12</v>
      </c>
      <c r="BH181" s="62">
        <f t="shared" si="116"/>
        <v>293.33333333333616</v>
      </c>
      <c r="BI181" s="62">
        <f ca="1">AVERAGE(OFFSET($BH$3,0,0,'Données projet'!$E$11+1,1))-AVERAGE(OFFSET($H$3,0,0,'Données projet'!$E$11+1,1))</f>
        <v>258.1884172762135</v>
      </c>
      <c r="BJ181" s="62">
        <f t="shared" si="146"/>
        <v>356.36714671797864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10.627823153237262</v>
      </c>
      <c r="BQ181" s="23">
        <f>EXP(-LN(2)/25)*BQ180+(1-EXP(-LN(2)/25))/(LN(2)/25)*Calculateur!BL181*Calculateur!BN181*VLOOKUP('Données projet'!$B$11,Paramètres!$A$1:$I$88,3,0)*0.475*44/12</f>
        <v>1.2372351474575498</v>
      </c>
      <c r="BR181" s="23">
        <f>EXP(-LN(2)/2)*BR180+(1-EXP(-LN(2)/2))/(LN(2)/2)*BL181*BO181*VLOOKUP('Données projet'!$B$11,Paramètres!$A$1:$I$88,3,0)*0.475*44/12</f>
        <v>1.4197003149642896E-18</v>
      </c>
      <c r="BS181" s="24">
        <f t="shared" si="169"/>
        <v>11.865058300694812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projet'!$B$12,Paramètres!$A$1:$I$88,3,0)*VLOOKUP('Données projet'!$B$12,Paramètres!$A$1:$I$88,5,0)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201.94015973767443</v>
      </c>
      <c r="CE181" s="62">
        <f t="shared" si="148"/>
        <v>287.12228849146032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7.9146905518785573</v>
      </c>
      <c r="CL181" s="23">
        <f>EXP(-LN(2)/25)*CL180+(1-EXP(-LN(2)/25))/(LN(2)/25)*Calculateur!CG181*Calculateur!CI181*VLOOKUP('Données projet'!$B$12,Paramètres!$A$1:$I$88,3,0)*0.475*44/12</f>
        <v>0.86242185667011162</v>
      </c>
      <c r="CM181" s="23">
        <f>EXP(-LN(2)/2)*CM180+(1-EXP(-LN(2)/2))/(LN(2)/2)*CG181*CJ181*VLOOKUP('Données projet'!$B$12,Paramètres!$A$1:$I$88,3,0)*0.475*44/12</f>
        <v>1.0612555095216667E-18</v>
      </c>
      <c r="CN181" s="24">
        <f t="shared" si="172"/>
        <v>8.7771124085486694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201.94015973767443</v>
      </c>
      <c r="T182" s="62">
        <f t="shared" si="142"/>
        <v>287.12228849146032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7.7594882976407806</v>
      </c>
      <c r="AA182" s="23">
        <f>EXP(-LN(2)/25)*AA181+(1-EXP(-LN(2)/25))/(LN(2)/25)*Calculateur!V182*Calculateur!X182*VLOOKUP('Données projet'!$B$9,Paramètres!$A$1:$I$88,3,0)*0.475*44/12</f>
        <v>0.83883888564667308</v>
      </c>
      <c r="AB182" s="23">
        <f>EXP(-LN(2)/2)*AB181+(1-EXP(-LN(2)/2))/(LN(2)/2)*V182*Y182*VLOOKUP('Données projet'!$B$9,Paramètres!$A$1:$I$88,3,0)*0.475*44/12</f>
        <v>7.5042096735435521E-19</v>
      </c>
      <c r="AC182" s="24">
        <f t="shared" si="163"/>
        <v>8.5983271832874539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projet'!$B$10,Paramètres!$A$1:$I$88,3,0)*VLOOKUP('Données projet'!$B$10,Paramètres!$A$1:$I$88,5,0)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135.19533066605396</v>
      </c>
      <c r="AO182" s="62">
        <f t="shared" si="144"/>
        <v>213.60182977243113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5.5608386402090542</v>
      </c>
      <c r="AV182" s="23">
        <f>EXP(-LN(2)/25)*AV181+(1-EXP(-LN(2)/25))/(LN(2)/25)*Calculateur!AQ182*Calculateur!AS182*VLOOKUP('Données projet'!$B$10,Paramètres!$A$1:$I$88,3,0)*0.475*44/12</f>
        <v>0.7150420808673591</v>
      </c>
      <c r="AW182" s="23">
        <f>EXP(-LN(2)/2)*AW181+(1-EXP(-LN(2)/2))/(LN(2)/2)*AQ182*AT182*VLOOKUP('Données projet'!$B$10,Paramètres!$A$1:$I$88,3,0)*0.475*44/12</f>
        <v>7.8681885329093592E-19</v>
      </c>
      <c r="AX182" s="23">
        <f t="shared" si="166"/>
        <v>6.2758807210764136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1.7053025658242404E-13</v>
      </c>
      <c r="BE182" s="14">
        <f>BD182*VLOOKUP('Données projet'!$B$11,Paramètres!$A$1:$I$88,3,0)*VLOOKUP('Données projet'!$B$11,Paramètres!$A$1:$I$88,5,0)</f>
        <v>1.0197709343628959E-13</v>
      </c>
      <c r="BF182" s="14">
        <f t="shared" si="167"/>
        <v>1.5284983994279675E-12</v>
      </c>
      <c r="BG182" s="22">
        <f t="shared" si="168"/>
        <v>2.839744816738581E-12</v>
      </c>
      <c r="BH182" s="62">
        <f t="shared" si="116"/>
        <v>293.33333333333616</v>
      </c>
      <c r="BI182" s="62">
        <f ca="1">AVERAGE(OFFSET($BH$3,0,0,'Données projet'!$E$11+1,1))-AVERAGE(OFFSET($H$3,0,0,'Données projet'!$E$11+1,1))</f>
        <v>258.1884172762135</v>
      </c>
      <c r="BJ182" s="62">
        <f t="shared" si="146"/>
        <v>356.36714671797864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10.419418023534325</v>
      </c>
      <c r="BQ182" s="23">
        <f>EXP(-LN(2)/25)*BQ181+(1-EXP(-LN(2)/25))/(LN(2)/25)*Calculateur!BL182*Calculateur!BN182*VLOOKUP('Données projet'!$B$11,Paramètres!$A$1:$I$88,3,0)*0.475*44/12</f>
        <v>1.2034028872869544</v>
      </c>
      <c r="BR182" s="23">
        <f>EXP(-LN(2)/2)*BR181+(1-EXP(-LN(2)/2))/(LN(2)/2)*BL182*BO182*VLOOKUP('Données projet'!$B$11,Paramètres!$A$1:$I$88,3,0)*0.475*44/12</f>
        <v>1.0038797199639265E-18</v>
      </c>
      <c r="BS182" s="24">
        <f t="shared" si="169"/>
        <v>11.622820910821279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projet'!$B$12,Paramètres!$A$1:$I$88,3,0)*VLOOKUP('Données projet'!$B$12,Paramètres!$A$1:$I$88,5,0)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201.94015973767443</v>
      </c>
      <c r="CE182" s="62">
        <f t="shared" si="148"/>
        <v>287.12228849146032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7.7594882976407806</v>
      </c>
      <c r="CL182" s="23">
        <f>EXP(-LN(2)/25)*CL181+(1-EXP(-LN(2)/25))/(LN(2)/25)*Calculateur!CG182*Calculateur!CI182*VLOOKUP('Données projet'!$B$12,Paramètres!$A$1:$I$88,3,0)*0.475*44/12</f>
        <v>0.83883888564667308</v>
      </c>
      <c r="CM182" s="23">
        <f>EXP(-LN(2)/2)*CM181+(1-EXP(-LN(2)/2))/(LN(2)/2)*CG182*CJ182*VLOOKUP('Données projet'!$B$12,Paramètres!$A$1:$I$88,3,0)*0.475*44/12</f>
        <v>7.5042096735435521E-19</v>
      </c>
      <c r="CN182" s="24">
        <f t="shared" si="172"/>
        <v>8.5983271832874539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201.94015973767443</v>
      </c>
      <c r="T183" s="62">
        <f t="shared" si="142"/>
        <v>287.12228849146032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7.6073294649445788</v>
      </c>
      <c r="AA183" s="23">
        <f>EXP(-LN(2)/25)*AA182+(1-EXP(-LN(2)/25))/(LN(2)/25)*Calculateur!V183*Calculateur!X183*VLOOKUP('Données projet'!$B$9,Paramètres!$A$1:$I$88,3,0)*0.475*44/12</f>
        <v>0.81590079220604506</v>
      </c>
      <c r="AB183" s="23">
        <f>EXP(-LN(2)/2)*AB182+(1-EXP(-LN(2)/2))/(LN(2)/2)*V183*Y183*VLOOKUP('Données projet'!$B$9,Paramètres!$A$1:$I$88,3,0)*0.475*44/12</f>
        <v>5.3062775476083336E-19</v>
      </c>
      <c r="AC183" s="24">
        <f t="shared" si="163"/>
        <v>8.4232302571506246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projet'!$B$10,Paramètres!$A$1:$I$88,3,0)*VLOOKUP('Données projet'!$B$10,Paramètres!$A$1:$I$88,5,0)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135.19533066605396</v>
      </c>
      <c r="AO183" s="62">
        <f t="shared" si="144"/>
        <v>213.60182977243113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5.4517939862512153</v>
      </c>
      <c r="AV183" s="23">
        <f>EXP(-LN(2)/25)*AV182+(1-EXP(-LN(2)/25))/(LN(2)/25)*Calculateur!AQ183*Calculateur!AS183*VLOOKUP('Données projet'!$B$10,Paramètres!$A$1:$I$88,3,0)*0.475*44/12</f>
        <v>0.69548921756361237</v>
      </c>
      <c r="AW183" s="23">
        <f>EXP(-LN(2)/2)*AW182+(1-EXP(-LN(2)/2))/(LN(2)/2)*AQ183*AT183*VLOOKUP('Données projet'!$B$10,Paramètres!$A$1:$I$88,3,0)*0.475*44/12</f>
        <v>5.5636494672744406E-19</v>
      </c>
      <c r="AX183" s="23">
        <f t="shared" si="166"/>
        <v>6.147283203814828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1.7053025658242404E-13</v>
      </c>
      <c r="BE183" s="14">
        <f>BD183*VLOOKUP('Données projet'!$B$11,Paramètres!$A$1:$I$88,3,0)*VLOOKUP('Données projet'!$B$11,Paramètres!$A$1:$I$88,5,0)</f>
        <v>1.0197709343628959E-13</v>
      </c>
      <c r="BF183" s="14">
        <f t="shared" si="167"/>
        <v>1.5284983994279675E-12</v>
      </c>
      <c r="BG183" s="22">
        <f t="shared" si="168"/>
        <v>2.839744816738581E-12</v>
      </c>
      <c r="BH183" s="62">
        <f t="shared" si="116"/>
        <v>293.33333333333616</v>
      </c>
      <c r="BI183" s="62">
        <f ca="1">AVERAGE(OFFSET($BH$3,0,0,'Données projet'!$E$11+1,1))-AVERAGE(OFFSET($H$3,0,0,'Données projet'!$E$11+1,1))</f>
        <v>258.1884172762135</v>
      </c>
      <c r="BJ183" s="62">
        <f t="shared" si="146"/>
        <v>356.36714671797864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10.215099591310286</v>
      </c>
      <c r="BQ183" s="23">
        <f>EXP(-LN(2)/25)*BQ182+(1-EXP(-LN(2)/25))/(LN(2)/25)*Calculateur!BL183*Calculateur!BN183*VLOOKUP('Données projet'!$B$11,Paramètres!$A$1:$I$88,3,0)*0.475*44/12</f>
        <v>1.1704957720498852</v>
      </c>
      <c r="BR183" s="23">
        <f>EXP(-LN(2)/2)*BR182+(1-EXP(-LN(2)/2))/(LN(2)/2)*BL183*BO183*VLOOKUP('Données projet'!$B$11,Paramètres!$A$1:$I$88,3,0)*0.475*44/12</f>
        <v>7.0985015748214478E-19</v>
      </c>
      <c r="BS183" s="24">
        <f t="shared" si="169"/>
        <v>11.385595363360171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projet'!$B$12,Paramètres!$A$1:$I$88,3,0)*VLOOKUP('Données projet'!$B$12,Paramètres!$A$1:$I$88,5,0)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201.94015973767443</v>
      </c>
      <c r="CE183" s="62">
        <f t="shared" si="148"/>
        <v>287.12228849146032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7.6073294649445788</v>
      </c>
      <c r="CL183" s="23">
        <f>EXP(-LN(2)/25)*CL182+(1-EXP(-LN(2)/25))/(LN(2)/25)*Calculateur!CG183*Calculateur!CI183*VLOOKUP('Données projet'!$B$12,Paramètres!$A$1:$I$88,3,0)*0.475*44/12</f>
        <v>0.81590079220604506</v>
      </c>
      <c r="CM183" s="23">
        <f>EXP(-LN(2)/2)*CM182+(1-EXP(-LN(2)/2))/(LN(2)/2)*CG183*CJ183*VLOOKUP('Données projet'!$B$12,Paramètres!$A$1:$I$88,3,0)*0.475*44/12</f>
        <v>5.3062775476083336E-19</v>
      </c>
      <c r="CN183" s="24">
        <f t="shared" si="172"/>
        <v>8.4232302571506246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201.94015973767443</v>
      </c>
      <c r="T184" s="62">
        <f t="shared" si="142"/>
        <v>287.12228849146032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7.4581543741498262</v>
      </c>
      <c r="AA184" s="23">
        <f>EXP(-LN(2)/25)*AA183+(1-EXP(-LN(2)/25))/(LN(2)/25)*Calculateur!V184*Calculateur!X184*VLOOKUP('Données projet'!$B$9,Paramètres!$A$1:$I$88,3,0)*0.475*44/12</f>
        <v>0.79358994213681289</v>
      </c>
      <c r="AB184" s="23">
        <f>EXP(-LN(2)/2)*AB183+(1-EXP(-LN(2)/2))/(LN(2)/2)*V184*Y184*VLOOKUP('Données projet'!$B$9,Paramètres!$A$1:$I$88,3,0)*0.475*44/12</f>
        <v>3.7521048367717761E-19</v>
      </c>
      <c r="AC184" s="24">
        <f t="shared" si="163"/>
        <v>8.25174431628664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projet'!$B$10,Paramètres!$A$1:$I$88,3,0)*VLOOKUP('Données projet'!$B$10,Paramètres!$A$1:$I$88,5,0)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135.19533066605396</v>
      </c>
      <c r="AO184" s="62">
        <f t="shared" si="144"/>
        <v>213.60182977243113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5.3448876314468174</v>
      </c>
      <c r="AV184" s="23">
        <f>EXP(-LN(2)/25)*AV183+(1-EXP(-LN(2)/25))/(LN(2)/25)*Calculateur!AQ184*Calculateur!AS184*VLOOKUP('Données projet'!$B$10,Paramètres!$A$1:$I$88,3,0)*0.475*44/12</f>
        <v>0.67647102833514705</v>
      </c>
      <c r="AW184" s="23">
        <f>EXP(-LN(2)/2)*AW183+(1-EXP(-LN(2)/2))/(LN(2)/2)*AQ184*AT184*VLOOKUP('Données projet'!$B$10,Paramètres!$A$1:$I$88,3,0)*0.475*44/12</f>
        <v>3.9340942664546796E-19</v>
      </c>
      <c r="AX184" s="23">
        <f t="shared" si="166"/>
        <v>6.0213586597819644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1.7053025658242404E-13</v>
      </c>
      <c r="BE184" s="14">
        <f>BD184*VLOOKUP('Données projet'!$B$11,Paramètres!$A$1:$I$88,3,0)*VLOOKUP('Données projet'!$B$11,Paramètres!$A$1:$I$88,5,0)</f>
        <v>1.0197709343628959E-13</v>
      </c>
      <c r="BF184" s="14">
        <f t="shared" si="167"/>
        <v>1.5284983994279675E-12</v>
      </c>
      <c r="BG184" s="22">
        <f t="shared" si="168"/>
        <v>2.839744816738581E-12</v>
      </c>
      <c r="BH184" s="62">
        <f t="shared" si="116"/>
        <v>293.33333333333616</v>
      </c>
      <c r="BI184" s="62">
        <f ca="1">AVERAGE(OFFSET($BH$3,0,0,'Données projet'!$E$11+1,1))-AVERAGE(OFFSET($H$3,0,0,'Données projet'!$E$11+1,1))</f>
        <v>258.1884172762135</v>
      </c>
      <c r="BJ184" s="62">
        <f t="shared" si="146"/>
        <v>356.36714671797864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10.014787718920223</v>
      </c>
      <c r="BQ184" s="23">
        <f>EXP(-LN(2)/25)*BQ183+(1-EXP(-LN(2)/25))/(LN(2)/25)*Calculateur!BL184*Calculateur!BN184*VLOOKUP('Données projet'!$B$11,Paramètres!$A$1:$I$88,3,0)*0.475*44/12</f>
        <v>1.1384885036094836</v>
      </c>
      <c r="BR184" s="23">
        <f>EXP(-LN(2)/2)*BR183+(1-EXP(-LN(2)/2))/(LN(2)/2)*BL184*BO184*VLOOKUP('Données projet'!$B$11,Paramètres!$A$1:$I$88,3,0)*0.475*44/12</f>
        <v>5.0193985998196325E-19</v>
      </c>
      <c r="BS184" s="24">
        <f t="shared" si="169"/>
        <v>11.153276222529707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projet'!$B$12,Paramètres!$A$1:$I$88,3,0)*VLOOKUP('Données projet'!$B$12,Paramètres!$A$1:$I$88,5,0)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201.94015973767443</v>
      </c>
      <c r="CE184" s="62">
        <f t="shared" si="148"/>
        <v>287.12228849146032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7.4581543741498262</v>
      </c>
      <c r="CL184" s="23">
        <f>EXP(-LN(2)/25)*CL183+(1-EXP(-LN(2)/25))/(LN(2)/25)*Calculateur!CG184*Calculateur!CI184*VLOOKUP('Données projet'!$B$12,Paramètres!$A$1:$I$88,3,0)*0.475*44/12</f>
        <v>0.79358994213681289</v>
      </c>
      <c r="CM184" s="23">
        <f>EXP(-LN(2)/2)*CM183+(1-EXP(-LN(2)/2))/(LN(2)/2)*CG184*CJ184*VLOOKUP('Données projet'!$B$12,Paramètres!$A$1:$I$88,3,0)*0.475*44/12</f>
        <v>3.7521048367717761E-19</v>
      </c>
      <c r="CN184" s="24">
        <f t="shared" si="172"/>
        <v>8.25174431628664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201.94015973767443</v>
      </c>
      <c r="T185" s="62">
        <f t="shared" si="142"/>
        <v>287.12228849146032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7.3119045158977372</v>
      </c>
      <c r="AA185" s="23">
        <f>EXP(-LN(2)/25)*AA184+(1-EXP(-LN(2)/25))/(LN(2)/25)*Calculateur!V185*Calculateur!X185*VLOOKUP('Données projet'!$B$9,Paramètres!$A$1:$I$88,3,0)*0.475*44/12</f>
        <v>0.77188918343600044</v>
      </c>
      <c r="AB185" s="23">
        <f>EXP(-LN(2)/2)*AB184+(1-EXP(-LN(2)/2))/(LN(2)/2)*V185*Y185*VLOOKUP('Données projet'!$B$9,Paramètres!$A$1:$I$88,3,0)*0.475*44/12</f>
        <v>2.6531387738041668E-19</v>
      </c>
      <c r="AC185" s="24">
        <f t="shared" si="163"/>
        <v>8.0837936993337376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projet'!$B$10,Paramètres!$A$1:$I$88,3,0)*VLOOKUP('Données projet'!$B$10,Paramètres!$A$1:$I$88,5,0)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135.19533066605396</v>
      </c>
      <c r="AO185" s="62">
        <f t="shared" si="144"/>
        <v>213.60182977243113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5.2400776450536961</v>
      </c>
      <c r="AV185" s="23">
        <f>EXP(-LN(2)/25)*AV184+(1-EXP(-LN(2)/25))/(LN(2)/25)*Calculateur!AQ185*Calculateur!AS185*VLOOKUP('Données projet'!$B$10,Paramètres!$A$1:$I$88,3,0)*0.475*44/12</f>
        <v>0.65797289249125712</v>
      </c>
      <c r="AW185" s="23">
        <f>EXP(-LN(2)/2)*AW184+(1-EXP(-LN(2)/2))/(LN(2)/2)*AQ185*AT185*VLOOKUP('Données projet'!$B$10,Paramètres!$A$1:$I$88,3,0)*0.475*44/12</f>
        <v>2.7818247336372203E-19</v>
      </c>
      <c r="AX185" s="23">
        <f t="shared" si="166"/>
        <v>5.898050537544953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1.7053025658242404E-13</v>
      </c>
      <c r="BE185" s="14">
        <f>BD185*VLOOKUP('Données projet'!$B$11,Paramètres!$A$1:$I$88,3,0)*VLOOKUP('Données projet'!$B$11,Paramètres!$A$1:$I$88,5,0)</f>
        <v>1.0197709343628959E-13</v>
      </c>
      <c r="BF185" s="14">
        <f t="shared" si="167"/>
        <v>1.5284983994279675E-12</v>
      </c>
      <c r="BG185" s="22">
        <f t="shared" si="168"/>
        <v>2.839744816738581E-12</v>
      </c>
      <c r="BH185" s="62">
        <f t="shared" si="116"/>
        <v>293.33333333333616</v>
      </c>
      <c r="BI185" s="62">
        <f ca="1">AVERAGE(OFFSET($BH$3,0,0,'Données projet'!$E$11+1,1))-AVERAGE(OFFSET($H$3,0,0,'Données projet'!$E$11+1,1))</f>
        <v>258.1884172762135</v>
      </c>
      <c r="BJ185" s="62">
        <f t="shared" si="146"/>
        <v>356.36714671797864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9.8184038401695499</v>
      </c>
      <c r="BQ185" s="23">
        <f>EXP(-LN(2)/25)*BQ184+(1-EXP(-LN(2)/25))/(LN(2)/25)*Calculateur!BL185*Calculateur!BN185*VLOOKUP('Données projet'!$B$11,Paramètres!$A$1:$I$88,3,0)*0.475*44/12</f>
        <v>1.1073564756077738</v>
      </c>
      <c r="BR185" s="23">
        <f>EXP(-LN(2)/2)*BR184+(1-EXP(-LN(2)/2))/(LN(2)/2)*BL185*BO185*VLOOKUP('Données projet'!$B$11,Paramètres!$A$1:$I$88,3,0)*0.475*44/12</f>
        <v>3.5492507874107239E-19</v>
      </c>
      <c r="BS185" s="24">
        <f t="shared" si="169"/>
        <v>10.925760315777325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projet'!$B$12,Paramètres!$A$1:$I$88,3,0)*VLOOKUP('Données projet'!$B$12,Paramètres!$A$1:$I$88,5,0)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201.94015973767443</v>
      </c>
      <c r="CE185" s="62">
        <f t="shared" si="148"/>
        <v>287.12228849146032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7.3119045158977372</v>
      </c>
      <c r="CL185" s="23">
        <f>EXP(-LN(2)/25)*CL184+(1-EXP(-LN(2)/25))/(LN(2)/25)*Calculateur!CG185*Calculateur!CI185*VLOOKUP('Données projet'!$B$12,Paramètres!$A$1:$I$88,3,0)*0.475*44/12</f>
        <v>0.77188918343600044</v>
      </c>
      <c r="CM185" s="23">
        <f>EXP(-LN(2)/2)*CM184+(1-EXP(-LN(2)/2))/(LN(2)/2)*CG185*CJ185*VLOOKUP('Données projet'!$B$12,Paramètres!$A$1:$I$88,3,0)*0.475*44/12</f>
        <v>2.6531387738041668E-19</v>
      </c>
      <c r="CN185" s="24">
        <f t="shared" si="172"/>
        <v>8.0837936993337376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201.94015973767443</v>
      </c>
      <c r="T186" s="62">
        <f t="shared" si="142"/>
        <v>287.12228849146032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7.1685225281623666</v>
      </c>
      <c r="AA186" s="23">
        <f>EXP(-LN(2)/25)*AA185+(1-EXP(-LN(2)/25))/(LN(2)/25)*Calculateur!V186*Calculateur!X186*VLOOKUP('Données projet'!$B$9,Paramètres!$A$1:$I$88,3,0)*0.475*44/12</f>
        <v>0.75078183312305502</v>
      </c>
      <c r="AB186" s="23">
        <f>EXP(-LN(2)/2)*AB185+(1-EXP(-LN(2)/2))/(LN(2)/2)*V186*Y186*VLOOKUP('Données projet'!$B$9,Paramètres!$A$1:$I$88,3,0)*0.475*44/12</f>
        <v>1.876052418385888E-19</v>
      </c>
      <c r="AC186" s="24">
        <f t="shared" si="163"/>
        <v>7.9193043612854215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projet'!$B$10,Paramètres!$A$1:$I$88,3,0)*VLOOKUP('Données projet'!$B$10,Paramètres!$A$1:$I$88,5,0)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135.19533066605396</v>
      </c>
      <c r="AO186" s="62">
        <f t="shared" si="144"/>
        <v>213.60182977243113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5.1373229185659648</v>
      </c>
      <c r="AV186" s="23">
        <f>EXP(-LN(2)/25)*AV185+(1-EXP(-LN(2)/25))/(LN(2)/25)*Calculateur!AQ186*Calculateur!AS186*VLOOKUP('Données projet'!$B$10,Paramètres!$A$1:$I$88,3,0)*0.475*44/12</f>
        <v>0.63998058914479306</v>
      </c>
      <c r="AW186" s="23">
        <f>EXP(-LN(2)/2)*AW185+(1-EXP(-LN(2)/2))/(LN(2)/2)*AQ186*AT186*VLOOKUP('Données projet'!$B$10,Paramètres!$A$1:$I$88,3,0)*0.475*44/12</f>
        <v>1.9670471332273398E-19</v>
      </c>
      <c r="AX186" s="23">
        <f t="shared" si="166"/>
        <v>5.7773035077107577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1.7053025658242404E-13</v>
      </c>
      <c r="BE186" s="14">
        <f>BD186*VLOOKUP('Données projet'!$B$11,Paramètres!$A$1:$I$88,3,0)*VLOOKUP('Données projet'!$B$11,Paramètres!$A$1:$I$88,5,0)</f>
        <v>1.0197709343628959E-13</v>
      </c>
      <c r="BF186" s="14">
        <f t="shared" si="167"/>
        <v>1.5284983994279675E-12</v>
      </c>
      <c r="BG186" s="22">
        <f t="shared" si="168"/>
        <v>2.839744816738581E-12</v>
      </c>
      <c r="BH186" s="62">
        <f t="shared" si="116"/>
        <v>293.33333333333616</v>
      </c>
      <c r="BI186" s="62">
        <f ca="1">AVERAGE(OFFSET($BH$3,0,0,'Données projet'!$E$11+1,1))-AVERAGE(OFFSET($H$3,0,0,'Données projet'!$E$11+1,1))</f>
        <v>258.1884172762135</v>
      </c>
      <c r="BJ186" s="62">
        <f t="shared" si="146"/>
        <v>356.36714671797864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9.6258709294988396</v>
      </c>
      <c r="BQ186" s="23">
        <f>EXP(-LN(2)/25)*BQ185+(1-EXP(-LN(2)/25))/(LN(2)/25)*Calculateur!BL186*Calculateur!BN186*VLOOKUP('Données projet'!$B$11,Paramètres!$A$1:$I$88,3,0)*0.475*44/12</f>
        <v>1.0770757545489331</v>
      </c>
      <c r="BR186" s="23">
        <f>EXP(-LN(2)/2)*BR185+(1-EXP(-LN(2)/2))/(LN(2)/2)*BL186*BO186*VLOOKUP('Données projet'!$B$11,Paramètres!$A$1:$I$88,3,0)*0.475*44/12</f>
        <v>2.5096992999098162E-19</v>
      </c>
      <c r="BS186" s="24">
        <f t="shared" si="169"/>
        <v>10.702946684047772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projet'!$B$12,Paramètres!$A$1:$I$88,3,0)*VLOOKUP('Données projet'!$B$12,Paramètres!$A$1:$I$88,5,0)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201.94015973767443</v>
      </c>
      <c r="CE186" s="62">
        <f t="shared" si="148"/>
        <v>287.12228849146032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7.1685225281623666</v>
      </c>
      <c r="CL186" s="23">
        <f>EXP(-LN(2)/25)*CL185+(1-EXP(-LN(2)/25))/(LN(2)/25)*Calculateur!CG186*Calculateur!CI186*VLOOKUP('Données projet'!$B$12,Paramètres!$A$1:$I$88,3,0)*0.475*44/12</f>
        <v>0.75078183312305502</v>
      </c>
      <c r="CM186" s="23">
        <f>EXP(-LN(2)/2)*CM185+(1-EXP(-LN(2)/2))/(LN(2)/2)*CG186*CJ186*VLOOKUP('Données projet'!$B$12,Paramètres!$A$1:$I$88,3,0)*0.475*44/12</f>
        <v>1.876052418385888E-19</v>
      </c>
      <c r="CN186" s="24">
        <f t="shared" si="172"/>
        <v>7.9193043612854215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201.94015973767443</v>
      </c>
      <c r="T187" s="62">
        <f t="shared" si="142"/>
        <v>287.12228849146032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7.0279521737521096</v>
      </c>
      <c r="AA187" s="23">
        <f>EXP(-LN(2)/25)*AA186+(1-EXP(-LN(2)/25))/(LN(2)/25)*Calculateur!V187*Calculateur!X187*VLOOKUP('Données projet'!$B$9,Paramètres!$A$1:$I$88,3,0)*0.475*44/12</f>
        <v>0.73025166441440437</v>
      </c>
      <c r="AB187" s="23">
        <f>EXP(-LN(2)/2)*AB186+(1-EXP(-LN(2)/2))/(LN(2)/2)*V187*Y187*VLOOKUP('Données projet'!$B$9,Paramètres!$A$1:$I$88,3,0)*0.475*44/12</f>
        <v>1.3265693869020834E-19</v>
      </c>
      <c r="AC187" s="24">
        <f t="shared" si="163"/>
        <v>7.7582038381665139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projet'!$B$10,Paramètres!$A$1:$I$88,3,0)*VLOOKUP('Données projet'!$B$10,Paramètres!$A$1:$I$88,5,0)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135.19533066605396</v>
      </c>
      <c r="AO187" s="62">
        <f t="shared" si="144"/>
        <v>213.60182977243113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5.0365831495904629</v>
      </c>
      <c r="AV187" s="23">
        <f>EXP(-LN(2)/25)*AV186+(1-EXP(-LN(2)/25))/(LN(2)/25)*Calculateur!AQ187*Calculateur!AS187*VLOOKUP('Données projet'!$B$10,Paramètres!$A$1:$I$88,3,0)*0.475*44/12</f>
        <v>0.62248028627951224</v>
      </c>
      <c r="AW187" s="23">
        <f>EXP(-LN(2)/2)*AW186+(1-EXP(-LN(2)/2))/(LN(2)/2)*AQ187*AT187*VLOOKUP('Données projet'!$B$10,Paramètres!$A$1:$I$88,3,0)*0.475*44/12</f>
        <v>1.3909123668186101E-19</v>
      </c>
      <c r="AX187" s="23">
        <f t="shared" si="166"/>
        <v>5.6590634358699754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1.7053025658242404E-13</v>
      </c>
      <c r="BE187" s="14">
        <f>BD187*VLOOKUP('Données projet'!$B$11,Paramètres!$A$1:$I$88,3,0)*VLOOKUP('Données projet'!$B$11,Paramètres!$A$1:$I$88,5,0)</f>
        <v>1.0197709343628959E-13</v>
      </c>
      <c r="BF187" s="14">
        <f t="shared" si="167"/>
        <v>1.5284983994279675E-12</v>
      </c>
      <c r="BG187" s="22">
        <f t="shared" si="168"/>
        <v>2.839744816738581E-12</v>
      </c>
      <c r="BH187" s="62">
        <f t="shared" si="116"/>
        <v>293.33333333333616</v>
      </c>
      <c r="BI187" s="62">
        <f ca="1">AVERAGE(OFFSET($BH$3,0,0,'Données projet'!$E$11+1,1))-AVERAGE(OFFSET($H$3,0,0,'Données projet'!$E$11+1,1))</f>
        <v>258.1884172762135</v>
      </c>
      <c r="BJ187" s="62">
        <f t="shared" si="146"/>
        <v>356.36714671797864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9.4371134717729017</v>
      </c>
      <c r="BQ187" s="23">
        <f>EXP(-LN(2)/25)*BQ186+(1-EXP(-LN(2)/25))/(LN(2)/25)*Calculateur!BL187*Calculateur!BN187*VLOOKUP('Données projet'!$B$11,Paramètres!$A$1:$I$88,3,0)*0.475*44/12</f>
        <v>1.0476230613998403</v>
      </c>
      <c r="BR187" s="23">
        <f>EXP(-LN(2)/2)*BR186+(1-EXP(-LN(2)/2))/(LN(2)/2)*BL187*BO187*VLOOKUP('Données projet'!$B$11,Paramètres!$A$1:$I$88,3,0)*0.475*44/12</f>
        <v>1.7746253937053619E-19</v>
      </c>
      <c r="BS187" s="24">
        <f t="shared" si="169"/>
        <v>10.484736533172741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projet'!$B$12,Paramètres!$A$1:$I$88,3,0)*VLOOKUP('Données projet'!$B$12,Paramètres!$A$1:$I$88,5,0)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201.94015973767443</v>
      </c>
      <c r="CE187" s="62">
        <f t="shared" si="148"/>
        <v>287.12228849146032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7.0279521737521096</v>
      </c>
      <c r="CL187" s="23">
        <f>EXP(-LN(2)/25)*CL186+(1-EXP(-LN(2)/25))/(LN(2)/25)*Calculateur!CG187*Calculateur!CI187*VLOOKUP('Données projet'!$B$12,Paramètres!$A$1:$I$88,3,0)*0.475*44/12</f>
        <v>0.73025166441440437</v>
      </c>
      <c r="CM187" s="23">
        <f>EXP(-LN(2)/2)*CM186+(1-EXP(-LN(2)/2))/(LN(2)/2)*CG187*CJ187*VLOOKUP('Données projet'!$B$12,Paramètres!$A$1:$I$88,3,0)*0.475*44/12</f>
        <v>1.3265693869020834E-19</v>
      </c>
      <c r="CN187" s="24">
        <f t="shared" si="172"/>
        <v>7.7582038381665139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201.94015973767443</v>
      </c>
      <c r="T188" s="62">
        <f t="shared" si="142"/>
        <v>287.12228849146032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6.8901383182523874</v>
      </c>
      <c r="AA188" s="23">
        <f>EXP(-LN(2)/25)*AA187+(1-EXP(-LN(2)/25))/(LN(2)/25)*Calculateur!V188*Calculateur!X188*VLOOKUP('Données projet'!$B$9,Paramètres!$A$1:$I$88,3,0)*0.475*44/12</f>
        <v>0.71028289424872648</v>
      </c>
      <c r="AB188" s="23">
        <f>EXP(-LN(2)/2)*AB187+(1-EXP(-LN(2)/2))/(LN(2)/2)*V188*Y188*VLOOKUP('Données projet'!$B$9,Paramètres!$A$1:$I$88,3,0)*0.475*44/12</f>
        <v>9.3802620919294401E-20</v>
      </c>
      <c r="AC188" s="24">
        <f t="shared" si="163"/>
        <v>7.6004212125011144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projet'!$B$10,Paramètres!$A$1:$I$88,3,0)*VLOOKUP('Données projet'!$B$10,Paramètres!$A$1:$I$88,5,0)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135.19533066605396</v>
      </c>
      <c r="AO188" s="62">
        <f t="shared" si="144"/>
        <v>213.60182977243113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4.9378188260393792</v>
      </c>
      <c r="AV188" s="23">
        <f>EXP(-LN(2)/25)*AV187+(1-EXP(-LN(2)/25))/(LN(2)/25)*Calculateur!AQ188*Calculateur!AS188*VLOOKUP('Données projet'!$B$10,Paramètres!$A$1:$I$88,3,0)*0.475*44/12</f>
        <v>0.6054585301163834</v>
      </c>
      <c r="AW188" s="23">
        <f>EXP(-LN(2)/2)*AW187+(1-EXP(-LN(2)/2))/(LN(2)/2)*AQ188*AT188*VLOOKUP('Données projet'!$B$10,Paramètres!$A$1:$I$88,3,0)*0.475*44/12</f>
        <v>9.835235666136699E-20</v>
      </c>
      <c r="AX188" s="23">
        <f t="shared" si="166"/>
        <v>5.5432773561557624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1.7053025658242404E-13</v>
      </c>
      <c r="BE188" s="14">
        <f>BD188*VLOOKUP('Données projet'!$B$11,Paramètres!$A$1:$I$88,3,0)*VLOOKUP('Données projet'!$B$11,Paramètres!$A$1:$I$88,5,0)</f>
        <v>1.0197709343628959E-13</v>
      </c>
      <c r="BF188" s="14">
        <f t="shared" si="167"/>
        <v>1.5284983994279675E-12</v>
      </c>
      <c r="BG188" s="22">
        <f t="shared" si="168"/>
        <v>2.839744816738581E-12</v>
      </c>
      <c r="BH188" s="62">
        <f t="shared" si="116"/>
        <v>293.33333333333616</v>
      </c>
      <c r="BI188" s="62">
        <f ca="1">AVERAGE(OFFSET($BH$3,0,0,'Données projet'!$E$11+1,1))-AVERAGE(OFFSET($H$3,0,0,'Données projet'!$E$11+1,1))</f>
        <v>258.1884172762135</v>
      </c>
      <c r="BJ188" s="62">
        <f t="shared" si="146"/>
        <v>356.36714671797864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9.2520574326622889</v>
      </c>
      <c r="BQ188" s="23">
        <f>EXP(-LN(2)/25)*BQ187+(1-EXP(-LN(2)/25))/(LN(2)/25)*Calculateur!BL188*Calculateur!BN188*VLOOKUP('Données projet'!$B$11,Paramètres!$A$1:$I$88,3,0)*0.475*44/12</f>
        <v>1.0189757536937591</v>
      </c>
      <c r="BR188" s="23">
        <f>EXP(-LN(2)/2)*BR187+(1-EXP(-LN(2)/2))/(LN(2)/2)*BL188*BO188*VLOOKUP('Données projet'!$B$11,Paramètres!$A$1:$I$88,3,0)*0.475*44/12</f>
        <v>1.2548496499549081E-19</v>
      </c>
      <c r="BS188" s="24">
        <f t="shared" si="169"/>
        <v>10.271033186356048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projet'!$B$12,Paramètres!$A$1:$I$88,3,0)*VLOOKUP('Données projet'!$B$12,Paramètres!$A$1:$I$88,5,0)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201.94015973767443</v>
      </c>
      <c r="CE188" s="62">
        <f t="shared" si="148"/>
        <v>287.12228849146032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6.8901383182523874</v>
      </c>
      <c r="CL188" s="23">
        <f>EXP(-LN(2)/25)*CL187+(1-EXP(-LN(2)/25))/(LN(2)/25)*Calculateur!CG188*Calculateur!CI188*VLOOKUP('Données projet'!$B$12,Paramètres!$A$1:$I$88,3,0)*0.475*44/12</f>
        <v>0.71028289424872648</v>
      </c>
      <c r="CM188" s="23">
        <f>EXP(-LN(2)/2)*CM187+(1-EXP(-LN(2)/2))/(LN(2)/2)*CG188*CJ188*VLOOKUP('Données projet'!$B$12,Paramètres!$A$1:$I$88,3,0)*0.475*44/12</f>
        <v>9.3802620919294401E-20</v>
      </c>
      <c r="CN188" s="24">
        <f t="shared" si="172"/>
        <v>7.6004212125011144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201.94015973767443</v>
      </c>
      <c r="T189" s="62">
        <f t="shared" si="142"/>
        <v>287.12228849146032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6.755026908400863</v>
      </c>
      <c r="AA189" s="23">
        <f>EXP(-LN(2)/25)*AA188+(1-EXP(-LN(2)/25))/(LN(2)/25)*Calculateur!V189*Calculateur!X189*VLOOKUP('Données projet'!$B$9,Paramètres!$A$1:$I$88,3,0)*0.475*44/12</f>
        <v>0.69086017115334097</v>
      </c>
      <c r="AB189" s="23">
        <f>EXP(-LN(2)/2)*AB188+(1-EXP(-LN(2)/2))/(LN(2)/2)*V189*Y189*VLOOKUP('Données projet'!$B$9,Paramètres!$A$1:$I$88,3,0)*0.475*44/12</f>
        <v>6.632846934510417E-20</v>
      </c>
      <c r="AC189" s="24">
        <f t="shared" si="163"/>
        <v>7.445887079554204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projet'!$B$10,Paramètres!$A$1:$I$88,3,0)*VLOOKUP('Données projet'!$B$10,Paramètres!$A$1:$I$88,5,0)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135.19533066605396</v>
      </c>
      <c r="AO189" s="62">
        <f t="shared" si="144"/>
        <v>213.60182977243113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4.8409912106328434</v>
      </c>
      <c r="AV189" s="23">
        <f>EXP(-LN(2)/25)*AV188+(1-EXP(-LN(2)/25))/(LN(2)/25)*Calculateur!AQ189*Calculateur!AS189*VLOOKUP('Données projet'!$B$10,Paramètres!$A$1:$I$88,3,0)*0.475*44/12</f>
        <v>0.58890223477067061</v>
      </c>
      <c r="AW189" s="23">
        <f>EXP(-LN(2)/2)*AW188+(1-EXP(-LN(2)/2))/(LN(2)/2)*AQ189*AT189*VLOOKUP('Données projet'!$B$10,Paramètres!$A$1:$I$88,3,0)*0.475*44/12</f>
        <v>6.9545618340930507E-20</v>
      </c>
      <c r="AX189" s="23">
        <f t="shared" si="166"/>
        <v>5.4298934454035139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1.7053025658242404E-13</v>
      </c>
      <c r="BE189" s="14">
        <f>BD189*VLOOKUP('Données projet'!$B$11,Paramètres!$A$1:$I$88,3,0)*VLOOKUP('Données projet'!$B$11,Paramètres!$A$1:$I$88,5,0)</f>
        <v>1.0197709343628959E-13</v>
      </c>
      <c r="BF189" s="14">
        <f t="shared" si="167"/>
        <v>1.5284983994279675E-12</v>
      </c>
      <c r="BG189" s="22">
        <f t="shared" si="168"/>
        <v>2.839744816738581E-12</v>
      </c>
      <c r="BH189" s="62">
        <f t="shared" si="116"/>
        <v>293.33333333333616</v>
      </c>
      <c r="BI189" s="62">
        <f ca="1">AVERAGE(OFFSET($BH$3,0,0,'Données projet'!$E$11+1,1))-AVERAGE(OFFSET($H$3,0,0,'Données projet'!$E$11+1,1))</f>
        <v>258.1884172762135</v>
      </c>
      <c r="BJ189" s="62">
        <f t="shared" si="146"/>
        <v>356.36714671797864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9.0706302296055963</v>
      </c>
      <c r="BQ189" s="23">
        <f>EXP(-LN(2)/25)*BQ188+(1-EXP(-LN(2)/25))/(LN(2)/25)*Calculateur!BL189*Calculateur!BN189*VLOOKUP('Données projet'!$B$11,Paramètres!$A$1:$I$88,3,0)*0.475*44/12</f>
        <v>0.99111180812339728</v>
      </c>
      <c r="BR189" s="23">
        <f>EXP(-LN(2)/2)*BR188+(1-EXP(-LN(2)/2))/(LN(2)/2)*BL189*BO189*VLOOKUP('Données projet'!$B$11,Paramètres!$A$1:$I$88,3,0)*0.475*44/12</f>
        <v>8.8731269685268097E-20</v>
      </c>
      <c r="BS189" s="24">
        <f t="shared" si="169"/>
        <v>10.061742037728994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projet'!$B$12,Paramètres!$A$1:$I$88,3,0)*VLOOKUP('Données projet'!$B$12,Paramètres!$A$1:$I$88,5,0)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201.94015973767443</v>
      </c>
      <c r="CE189" s="62">
        <f t="shared" si="148"/>
        <v>287.12228849146032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6.755026908400863</v>
      </c>
      <c r="CL189" s="23">
        <f>EXP(-LN(2)/25)*CL188+(1-EXP(-LN(2)/25))/(LN(2)/25)*Calculateur!CG189*Calculateur!CI189*VLOOKUP('Données projet'!$B$12,Paramètres!$A$1:$I$88,3,0)*0.475*44/12</f>
        <v>0.69086017115334097</v>
      </c>
      <c r="CM189" s="23">
        <f>EXP(-LN(2)/2)*CM188+(1-EXP(-LN(2)/2))/(LN(2)/2)*CG189*CJ189*VLOOKUP('Données projet'!$B$12,Paramètres!$A$1:$I$88,3,0)*0.475*44/12</f>
        <v>6.632846934510417E-20</v>
      </c>
      <c r="CN189" s="24">
        <f t="shared" si="172"/>
        <v>7.445887079554204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201.94015973767443</v>
      </c>
      <c r="T190" s="62">
        <f t="shared" si="142"/>
        <v>287.12228849146032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6.6225649508867042</v>
      </c>
      <c r="AA190" s="23">
        <f>EXP(-LN(2)/25)*AA189+(1-EXP(-LN(2)/25))/(LN(2)/25)*Calculateur!V190*Calculateur!X190*VLOOKUP('Données projet'!$B$9,Paramètres!$A$1:$I$88,3,0)*0.475*44/12</f>
        <v>0.67196856344239542</v>
      </c>
      <c r="AB190" s="23">
        <f>EXP(-LN(2)/2)*AB189+(1-EXP(-LN(2)/2))/(LN(2)/2)*V190*Y190*VLOOKUP('Données projet'!$B$9,Paramètres!$A$1:$I$88,3,0)*0.475*44/12</f>
        <v>4.6901310459647201E-20</v>
      </c>
      <c r="AC190" s="24">
        <f t="shared" si="163"/>
        <v>7.2945335143290997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projet'!$B$10,Paramètres!$A$1:$I$88,3,0)*VLOOKUP('Données projet'!$B$10,Paramètres!$A$1:$I$88,5,0)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135.19533066605396</v>
      </c>
      <c r="AO190" s="62">
        <f t="shared" si="144"/>
        <v>213.60182977243113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4.7460623257054158</v>
      </c>
      <c r="AV190" s="23">
        <f>EXP(-LN(2)/25)*AV189+(1-EXP(-LN(2)/25))/(LN(2)/25)*Calculateur!AQ190*Calculateur!AS190*VLOOKUP('Données projet'!$B$10,Paramètres!$A$1:$I$88,3,0)*0.475*44/12</f>
        <v>0.57279867219184399</v>
      </c>
      <c r="AW190" s="23">
        <f>EXP(-LN(2)/2)*AW189+(1-EXP(-LN(2)/2))/(LN(2)/2)*AQ190*AT190*VLOOKUP('Données projet'!$B$10,Paramètres!$A$1:$I$88,3,0)*0.475*44/12</f>
        <v>4.9176178330683495E-20</v>
      </c>
      <c r="AX190" s="23">
        <f t="shared" si="166"/>
        <v>5.3188609978972599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1.7053025658242404E-13</v>
      </c>
      <c r="BE190" s="14">
        <f>BD190*VLOOKUP('Données projet'!$B$11,Paramètres!$A$1:$I$88,3,0)*VLOOKUP('Données projet'!$B$11,Paramètres!$A$1:$I$88,5,0)</f>
        <v>1.0197709343628959E-13</v>
      </c>
      <c r="BF190" s="14">
        <f t="shared" si="167"/>
        <v>1.5284983994279675E-12</v>
      </c>
      <c r="BG190" s="22">
        <f t="shared" si="168"/>
        <v>2.839744816738581E-12</v>
      </c>
      <c r="BH190" s="62">
        <f t="shared" si="116"/>
        <v>293.33333333333616</v>
      </c>
      <c r="BI190" s="62">
        <f ca="1">AVERAGE(OFFSET($BH$3,0,0,'Données projet'!$E$11+1,1))-AVERAGE(OFFSET($H$3,0,0,'Données projet'!$E$11+1,1))</f>
        <v>258.1884172762135</v>
      </c>
      <c r="BJ190" s="62">
        <f t="shared" si="146"/>
        <v>356.36714671797864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8.8927607033411782</v>
      </c>
      <c r="BQ190" s="23">
        <f>EXP(-LN(2)/25)*BQ189+(1-EXP(-LN(2)/25))/(LN(2)/25)*Calculateur!BL190*Calculateur!BN190*VLOOKUP('Données projet'!$B$11,Paramètres!$A$1:$I$88,3,0)*0.475*44/12</f>
        <v>0.96400980360995825</v>
      </c>
      <c r="BR190" s="23">
        <f>EXP(-LN(2)/2)*BR189+(1-EXP(-LN(2)/2))/(LN(2)/2)*BL190*BO190*VLOOKUP('Données projet'!$B$11,Paramètres!$A$1:$I$88,3,0)*0.475*44/12</f>
        <v>6.2742482497745406E-20</v>
      </c>
      <c r="BS190" s="24">
        <f t="shared" si="169"/>
        <v>9.8567705069511362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projet'!$B$12,Paramètres!$A$1:$I$88,3,0)*VLOOKUP('Données projet'!$B$12,Paramètres!$A$1:$I$88,5,0)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201.94015973767443</v>
      </c>
      <c r="CE190" s="62">
        <f t="shared" si="148"/>
        <v>287.12228849146032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6.6225649508867042</v>
      </c>
      <c r="CL190" s="23">
        <f>EXP(-LN(2)/25)*CL189+(1-EXP(-LN(2)/25))/(LN(2)/25)*Calculateur!CG190*Calculateur!CI190*VLOOKUP('Données projet'!$B$12,Paramètres!$A$1:$I$88,3,0)*0.475*44/12</f>
        <v>0.67196856344239542</v>
      </c>
      <c r="CM190" s="23">
        <f>EXP(-LN(2)/2)*CM189+(1-EXP(-LN(2)/2))/(LN(2)/2)*CG190*CJ190*VLOOKUP('Données projet'!$B$12,Paramètres!$A$1:$I$88,3,0)*0.475*44/12</f>
        <v>4.6901310459647201E-20</v>
      </c>
      <c r="CN190" s="24">
        <f t="shared" si="172"/>
        <v>7.2945335143290997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201.94015973767443</v>
      </c>
      <c r="T191" s="62">
        <f t="shared" si="142"/>
        <v>287.12228849146032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6.4927004915655813</v>
      </c>
      <c r="AA191" s="23">
        <f>EXP(-LN(2)/25)*AA190+(1-EXP(-LN(2)/25))/(LN(2)/25)*Calculateur!V191*Calculateur!X191*VLOOKUP('Données projet'!$B$9,Paramètres!$A$1:$I$88,3,0)*0.475*44/12</f>
        <v>0.65359354773777212</v>
      </c>
      <c r="AB191" s="23">
        <f>EXP(-LN(2)/2)*AB190+(1-EXP(-LN(2)/2))/(LN(2)/2)*V191*Y191*VLOOKUP('Données projet'!$B$9,Paramètres!$A$1:$I$88,3,0)*0.475*44/12</f>
        <v>3.3164234672552085E-20</v>
      </c>
      <c r="AC191" s="24">
        <f t="shared" si="163"/>
        <v>7.1462940393033536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projet'!$B$10,Paramètres!$A$1:$I$88,3,0)*VLOOKUP('Données projet'!$B$10,Paramètres!$A$1:$I$88,5,0)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135.19533066605396</v>
      </c>
      <c r="AO191" s="62">
        <f t="shared" si="144"/>
        <v>213.60182977243113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4.6529949383105125</v>
      </c>
      <c r="AV191" s="23">
        <f>EXP(-LN(2)/25)*AV190+(1-EXP(-LN(2)/25))/(LN(2)/25)*Calculateur!AQ191*Calculateur!AS191*VLOOKUP('Données projet'!$B$10,Paramètres!$A$1:$I$88,3,0)*0.475*44/12</f>
        <v>0.55713546237858502</v>
      </c>
      <c r="AW191" s="23">
        <f>EXP(-LN(2)/2)*AW190+(1-EXP(-LN(2)/2))/(LN(2)/2)*AQ191*AT191*VLOOKUP('Données projet'!$B$10,Paramètres!$A$1:$I$88,3,0)*0.475*44/12</f>
        <v>3.4772809170465254E-20</v>
      </c>
      <c r="AX191" s="23">
        <f t="shared" si="166"/>
        <v>5.2101304006890974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1.7053025658242404E-13</v>
      </c>
      <c r="BE191" s="14">
        <f>BD191*VLOOKUP('Données projet'!$B$11,Paramètres!$A$1:$I$88,3,0)*VLOOKUP('Données projet'!$B$11,Paramètres!$A$1:$I$88,5,0)</f>
        <v>1.0197709343628959E-13</v>
      </c>
      <c r="BF191" s="14">
        <f t="shared" si="167"/>
        <v>1.5284983994279675E-12</v>
      </c>
      <c r="BG191" s="22">
        <f t="shared" si="168"/>
        <v>2.839744816738581E-12</v>
      </c>
      <c r="BH191" s="62">
        <f t="shared" si="116"/>
        <v>293.33333333333616</v>
      </c>
      <c r="BI191" s="62">
        <f ca="1">AVERAGE(OFFSET($BH$3,0,0,'Données projet'!$E$11+1,1))-AVERAGE(OFFSET($H$3,0,0,'Données projet'!$E$11+1,1))</f>
        <v>258.1884172762135</v>
      </c>
      <c r="BJ191" s="62">
        <f t="shared" si="146"/>
        <v>356.36714671797864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8.7183790899971072</v>
      </c>
      <c r="BQ191" s="23">
        <f>EXP(-LN(2)/25)*BQ190+(1-EXP(-LN(2)/25))/(LN(2)/25)*Calculateur!BL191*Calculateur!BN191*VLOOKUP('Données projet'!$B$11,Paramètres!$A$1:$I$88,3,0)*0.475*44/12</f>
        <v>0.9376489048351716</v>
      </c>
      <c r="BR191" s="23">
        <f>EXP(-LN(2)/2)*BR190+(1-EXP(-LN(2)/2))/(LN(2)/2)*BL191*BO191*VLOOKUP('Données projet'!$B$11,Paramètres!$A$1:$I$88,3,0)*0.475*44/12</f>
        <v>4.4365634842634049E-20</v>
      </c>
      <c r="BS191" s="24">
        <f t="shared" si="169"/>
        <v>9.6560279948322787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projet'!$B$12,Paramètres!$A$1:$I$88,3,0)*VLOOKUP('Données projet'!$B$12,Paramètres!$A$1:$I$88,5,0)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201.94015973767443</v>
      </c>
      <c r="CE191" s="62">
        <f t="shared" si="148"/>
        <v>287.12228849146032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6.4927004915655813</v>
      </c>
      <c r="CL191" s="23">
        <f>EXP(-LN(2)/25)*CL190+(1-EXP(-LN(2)/25))/(LN(2)/25)*Calculateur!CG191*Calculateur!CI191*VLOOKUP('Données projet'!$B$12,Paramètres!$A$1:$I$88,3,0)*0.475*44/12</f>
        <v>0.65359354773777212</v>
      </c>
      <c r="CM191" s="23">
        <f>EXP(-LN(2)/2)*CM190+(1-EXP(-LN(2)/2))/(LN(2)/2)*CG191*CJ191*VLOOKUP('Données projet'!$B$12,Paramètres!$A$1:$I$88,3,0)*0.475*44/12</f>
        <v>3.3164234672552085E-20</v>
      </c>
      <c r="CN191" s="24">
        <f t="shared" si="172"/>
        <v>7.1462940393033536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201.94015973767443</v>
      </c>
      <c r="T192" s="62">
        <f t="shared" si="142"/>
        <v>287.12228849146032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6.3653825950822469</v>
      </c>
      <c r="AA192" s="23">
        <f>EXP(-LN(2)/25)*AA191+(1-EXP(-LN(2)/25))/(LN(2)/25)*Calculateur!V192*Calculateur!X192*VLOOKUP('Données projet'!$B$9,Paramètres!$A$1:$I$88,3,0)*0.475*44/12</f>
        <v>0.63572099780389191</v>
      </c>
      <c r="AB192" s="23">
        <f>EXP(-LN(2)/2)*AB191+(1-EXP(-LN(2)/2))/(LN(2)/2)*V192*Y192*VLOOKUP('Données projet'!$B$9,Paramètres!$A$1:$I$88,3,0)*0.475*44/12</f>
        <v>2.34506552298236E-20</v>
      </c>
      <c r="AC192" s="24">
        <f t="shared" si="163"/>
        <v>7.0011035928861389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projet'!$B$10,Paramètres!$A$1:$I$88,3,0)*VLOOKUP('Données projet'!$B$10,Paramètres!$A$1:$I$88,5,0)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135.19533066605396</v>
      </c>
      <c r="AO192" s="62">
        <f t="shared" si="144"/>
        <v>213.60182977243113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4.5617525456169217</v>
      </c>
      <c r="AV192" s="23">
        <f>EXP(-LN(2)/25)*AV191+(1-EXP(-LN(2)/25))/(LN(2)/25)*Calculateur!AQ192*Calculateur!AS192*VLOOKUP('Données projet'!$B$10,Paramètres!$A$1:$I$88,3,0)*0.475*44/12</f>
        <v>0.54190056386136198</v>
      </c>
      <c r="AW192" s="23">
        <f>EXP(-LN(2)/2)*AW191+(1-EXP(-LN(2)/2))/(LN(2)/2)*AQ192*AT192*VLOOKUP('Données projet'!$B$10,Paramètres!$A$1:$I$88,3,0)*0.475*44/12</f>
        <v>2.4588089165341748E-20</v>
      </c>
      <c r="AX192" s="23">
        <f t="shared" si="166"/>
        <v>5.1036531094782838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1.7053025658242404E-13</v>
      </c>
      <c r="BE192" s="14">
        <f>BD192*VLOOKUP('Données projet'!$B$11,Paramètres!$A$1:$I$88,3,0)*VLOOKUP('Données projet'!$B$11,Paramètres!$A$1:$I$88,5,0)</f>
        <v>1.0197709343628959E-13</v>
      </c>
      <c r="BF192" s="14">
        <f t="shared" si="167"/>
        <v>1.5284983994279675E-12</v>
      </c>
      <c r="BG192" s="22">
        <f t="shared" si="168"/>
        <v>2.839744816738581E-12</v>
      </c>
      <c r="BH192" s="62">
        <f t="shared" si="116"/>
        <v>293.33333333333616</v>
      </c>
      <c r="BI192" s="62">
        <f ca="1">AVERAGE(OFFSET($BH$3,0,0,'Données projet'!$E$11+1,1))-AVERAGE(OFFSET($H$3,0,0,'Données projet'!$E$11+1,1))</f>
        <v>258.1884172762135</v>
      </c>
      <c r="BJ192" s="62">
        <f t="shared" si="146"/>
        <v>356.36714671797864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8.5474169937284312</v>
      </c>
      <c r="BQ192" s="23">
        <f>EXP(-LN(2)/25)*BQ191+(1-EXP(-LN(2)/25))/(LN(2)/25)*Calculateur!BL192*Calculateur!BN192*VLOOKUP('Données projet'!$B$11,Paramètres!$A$1:$I$88,3,0)*0.475*44/12</f>
        <v>0.91200884622364098</v>
      </c>
      <c r="BR192" s="23">
        <f>EXP(-LN(2)/2)*BR191+(1-EXP(-LN(2)/2))/(LN(2)/2)*BL192*BO192*VLOOKUP('Données projet'!$B$11,Paramètres!$A$1:$I$88,3,0)*0.475*44/12</f>
        <v>3.1371241248872703E-20</v>
      </c>
      <c r="BS192" s="24">
        <f t="shared" si="169"/>
        <v>9.4594258399520719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projet'!$B$12,Paramètres!$A$1:$I$88,3,0)*VLOOKUP('Données projet'!$B$12,Paramètres!$A$1:$I$88,5,0)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201.94015973767443</v>
      </c>
      <c r="CE192" s="62">
        <f t="shared" si="148"/>
        <v>287.12228849146032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6.3653825950822469</v>
      </c>
      <c r="CL192" s="23">
        <f>EXP(-LN(2)/25)*CL191+(1-EXP(-LN(2)/25))/(LN(2)/25)*Calculateur!CG192*Calculateur!CI192*VLOOKUP('Données projet'!$B$12,Paramètres!$A$1:$I$88,3,0)*0.475*44/12</f>
        <v>0.63572099780389191</v>
      </c>
      <c r="CM192" s="23">
        <f>EXP(-LN(2)/2)*CM191+(1-EXP(-LN(2)/2))/(LN(2)/2)*CG192*CJ192*VLOOKUP('Données projet'!$B$12,Paramètres!$A$1:$I$88,3,0)*0.475*44/12</f>
        <v>2.34506552298236E-20</v>
      </c>
      <c r="CN192" s="24">
        <f t="shared" si="172"/>
        <v>7.0011035928861389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201.94015973767443</v>
      </c>
      <c r="T193" s="62">
        <f t="shared" si="142"/>
        <v>287.12228849146032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6.2405613248927017</v>
      </c>
      <c r="AA193" s="23">
        <f>EXP(-LN(2)/25)*AA192+(1-EXP(-LN(2)/25))/(LN(2)/25)*Calculateur!V193*Calculateur!X193*VLOOKUP('Données projet'!$B$9,Paramètres!$A$1:$I$88,3,0)*0.475*44/12</f>
        <v>0.61833717368783014</v>
      </c>
      <c r="AB193" s="23">
        <f>EXP(-LN(2)/2)*AB192+(1-EXP(-LN(2)/2))/(LN(2)/2)*V193*Y193*VLOOKUP('Données projet'!$B$9,Paramètres!$A$1:$I$88,3,0)*0.475*44/12</f>
        <v>1.6582117336276043E-20</v>
      </c>
      <c r="AC193" s="24">
        <f t="shared" si="163"/>
        <v>6.8588984985805315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projet'!$B$10,Paramètres!$A$1:$I$88,3,0)*VLOOKUP('Données projet'!$B$10,Paramètres!$A$1:$I$88,5,0)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135.19533066605396</v>
      </c>
      <c r="AO193" s="62">
        <f t="shared" si="144"/>
        <v>213.60182977243113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4.4722993605916876</v>
      </c>
      <c r="AV193" s="23">
        <f>EXP(-LN(2)/25)*AV192+(1-EXP(-LN(2)/25))/(LN(2)/25)*Calculateur!AQ193*Calculateur!AS193*VLOOKUP('Données projet'!$B$10,Paramètres!$A$1:$I$88,3,0)*0.475*44/12</f>
        <v>0.52708226444526096</v>
      </c>
      <c r="AW193" s="23">
        <f>EXP(-LN(2)/2)*AW192+(1-EXP(-LN(2)/2))/(LN(2)/2)*AQ193*AT193*VLOOKUP('Données projet'!$B$10,Paramètres!$A$1:$I$88,3,0)*0.475*44/12</f>
        <v>1.7386404585232627E-20</v>
      </c>
      <c r="AX193" s="23">
        <f t="shared" si="166"/>
        <v>4.9993816250369489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1.7053025658242404E-13</v>
      </c>
      <c r="BE193" s="14">
        <f>BD193*VLOOKUP('Données projet'!$B$11,Paramètres!$A$1:$I$88,3,0)*VLOOKUP('Données projet'!$B$11,Paramètres!$A$1:$I$88,5,0)</f>
        <v>1.0197709343628959E-13</v>
      </c>
      <c r="BF193" s="14">
        <f t="shared" si="167"/>
        <v>1.5284983994279675E-12</v>
      </c>
      <c r="BG193" s="22">
        <f t="shared" si="168"/>
        <v>2.839744816738581E-12</v>
      </c>
      <c r="BH193" s="62">
        <f t="shared" si="116"/>
        <v>293.33333333333616</v>
      </c>
      <c r="BI193" s="62">
        <f ca="1">AVERAGE(OFFSET($BH$3,0,0,'Données projet'!$E$11+1,1))-AVERAGE(OFFSET($H$3,0,0,'Données projet'!$E$11+1,1))</f>
        <v>258.1884172762135</v>
      </c>
      <c r="BJ193" s="62">
        <f t="shared" si="146"/>
        <v>356.36714671797864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8.3798073598910019</v>
      </c>
      <c r="BQ193" s="23">
        <f>EXP(-LN(2)/25)*BQ192+(1-EXP(-LN(2)/25))/(LN(2)/25)*Calculateur!BL193*Calculateur!BN193*VLOOKUP('Données projet'!$B$11,Paramètres!$A$1:$I$88,3,0)*0.475*44/12</f>
        <v>0.88706991636319477</v>
      </c>
      <c r="BR193" s="23">
        <f>EXP(-LN(2)/2)*BR192+(1-EXP(-LN(2)/2))/(LN(2)/2)*BL193*BO193*VLOOKUP('Données projet'!$B$11,Paramètres!$A$1:$I$88,3,0)*0.475*44/12</f>
        <v>2.2182817421317024E-20</v>
      </c>
      <c r="BS193" s="24">
        <f t="shared" si="169"/>
        <v>9.2668772762541973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projet'!$B$12,Paramètres!$A$1:$I$88,3,0)*VLOOKUP('Données projet'!$B$12,Paramètres!$A$1:$I$88,5,0)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201.94015973767443</v>
      </c>
      <c r="CE193" s="62">
        <f t="shared" si="148"/>
        <v>287.12228849146032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6.2405613248927017</v>
      </c>
      <c r="CL193" s="23">
        <f>EXP(-LN(2)/25)*CL192+(1-EXP(-LN(2)/25))/(LN(2)/25)*Calculateur!CG193*Calculateur!CI193*VLOOKUP('Données projet'!$B$12,Paramètres!$A$1:$I$88,3,0)*0.475*44/12</f>
        <v>0.61833717368783014</v>
      </c>
      <c r="CM193" s="23">
        <f>EXP(-LN(2)/2)*CM192+(1-EXP(-LN(2)/2))/(LN(2)/2)*CG193*CJ193*VLOOKUP('Données projet'!$B$12,Paramètres!$A$1:$I$88,3,0)*0.475*44/12</f>
        <v>1.6582117336276043E-20</v>
      </c>
      <c r="CN193" s="24">
        <f t="shared" si="172"/>
        <v>6.8588984985805315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201.94015973767443</v>
      </c>
      <c r="T194" s="62">
        <f t="shared" si="142"/>
        <v>287.12228849146032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6.1181877236781164</v>
      </c>
      <c r="AA194" s="23">
        <f>EXP(-LN(2)/25)*AA193+(1-EXP(-LN(2)/25))/(LN(2)/25)*Calculateur!V194*Calculateur!X194*VLOOKUP('Données projet'!$B$9,Paramètres!$A$1:$I$88,3,0)*0.475*44/12</f>
        <v>0.60142871115639773</v>
      </c>
      <c r="AB194" s="23">
        <f>EXP(-LN(2)/2)*AB193+(1-EXP(-LN(2)/2))/(LN(2)/2)*V194*Y194*VLOOKUP('Données projet'!$B$9,Paramètres!$A$1:$I$88,3,0)*0.475*44/12</f>
        <v>1.17253276149118E-20</v>
      </c>
      <c r="AC194" s="24">
        <f t="shared" si="163"/>
        <v>6.7196164348345144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projet'!$B$10,Paramètres!$A$1:$I$88,3,0)*VLOOKUP('Données projet'!$B$10,Paramètres!$A$1:$I$88,5,0)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135.19533066605396</v>
      </c>
      <c r="AO194" s="62">
        <f t="shared" si="144"/>
        <v>213.60182977243113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4.3846002979637433</v>
      </c>
      <c r="AV194" s="23">
        <f>EXP(-LN(2)/25)*AV193+(1-EXP(-LN(2)/25))/(LN(2)/25)*Calculateur!AQ194*Calculateur!AS194*VLOOKUP('Données projet'!$B$10,Paramètres!$A$1:$I$88,3,0)*0.475*44/12</f>
        <v>0.51266917220595365</v>
      </c>
      <c r="AW194" s="23">
        <f>EXP(-LN(2)/2)*AW193+(1-EXP(-LN(2)/2))/(LN(2)/2)*AQ194*AT194*VLOOKUP('Données projet'!$B$10,Paramètres!$A$1:$I$88,3,0)*0.475*44/12</f>
        <v>1.2294044582670874E-20</v>
      </c>
      <c r="AX194" s="23">
        <f t="shared" si="166"/>
        <v>4.8972694701696966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1.7053025658242404E-13</v>
      </c>
      <c r="BE194" s="14">
        <f>BD194*VLOOKUP('Données projet'!$B$11,Paramètres!$A$1:$I$88,3,0)*VLOOKUP('Données projet'!$B$11,Paramètres!$A$1:$I$88,5,0)</f>
        <v>1.0197709343628959E-13</v>
      </c>
      <c r="BF194" s="14">
        <f t="shared" si="167"/>
        <v>1.5284983994279675E-12</v>
      </c>
      <c r="BG194" s="22">
        <f t="shared" si="168"/>
        <v>2.839744816738581E-12</v>
      </c>
      <c r="BH194" s="62">
        <f t="shared" si="116"/>
        <v>293.33333333333616</v>
      </c>
      <c r="BI194" s="62">
        <f ca="1">AVERAGE(OFFSET($BH$3,0,0,'Données projet'!$E$11+1,1))-AVERAGE(OFFSET($H$3,0,0,'Données projet'!$E$11+1,1))</f>
        <v>258.1884172762135</v>
      </c>
      <c r="BJ194" s="62">
        <f t="shared" si="146"/>
        <v>356.36714671797864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8.2154844487413428</v>
      </c>
      <c r="BQ194" s="23">
        <f>EXP(-LN(2)/25)*BQ193+(1-EXP(-LN(2)/25))/(LN(2)/25)*Calculateur!BL194*Calculateur!BN194*VLOOKUP('Données projet'!$B$11,Paramètres!$A$1:$I$88,3,0)*0.475*44/12</f>
        <v>0.86281294285126375</v>
      </c>
      <c r="BR194" s="23">
        <f>EXP(-LN(2)/2)*BR193+(1-EXP(-LN(2)/2))/(LN(2)/2)*BL194*BO194*VLOOKUP('Données projet'!$B$11,Paramètres!$A$1:$I$88,3,0)*0.475*44/12</f>
        <v>1.5685620624436351E-20</v>
      </c>
      <c r="BS194" s="24">
        <f t="shared" si="169"/>
        <v>9.0782973915926064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projet'!$B$12,Paramètres!$A$1:$I$88,3,0)*VLOOKUP('Données projet'!$B$12,Paramètres!$A$1:$I$88,5,0)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201.94015973767443</v>
      </c>
      <c r="CE194" s="62">
        <f t="shared" si="148"/>
        <v>287.12228849146032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6.1181877236781164</v>
      </c>
      <c r="CL194" s="23">
        <f>EXP(-LN(2)/25)*CL193+(1-EXP(-LN(2)/25))/(LN(2)/25)*Calculateur!CG194*Calculateur!CI194*VLOOKUP('Données projet'!$B$12,Paramètres!$A$1:$I$88,3,0)*0.475*44/12</f>
        <v>0.60142871115639773</v>
      </c>
      <c r="CM194" s="23">
        <f>EXP(-LN(2)/2)*CM193+(1-EXP(-LN(2)/2))/(LN(2)/2)*CG194*CJ194*VLOOKUP('Données projet'!$B$12,Paramètres!$A$1:$I$88,3,0)*0.475*44/12</f>
        <v>1.17253276149118E-20</v>
      </c>
      <c r="CN194" s="24">
        <f t="shared" si="172"/>
        <v>6.7196164348345144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201.94015973767443</v>
      </c>
      <c r="T195" s="62">
        <f t="shared" si="142"/>
        <v>287.12228849146032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5.9982137941428224</v>
      </c>
      <c r="AA195" s="23">
        <f>EXP(-LN(2)/25)*AA194+(1-EXP(-LN(2)/25))/(LN(2)/25)*Calculateur!V195*Calculateur!X195*VLOOKUP('Données projet'!$B$9,Paramètres!$A$1:$I$88,3,0)*0.475*44/12</f>
        <v>0.58498261142206465</v>
      </c>
      <c r="AB195" s="23">
        <f>EXP(-LN(2)/2)*AB194+(1-EXP(-LN(2)/2))/(LN(2)/2)*V195*Y195*VLOOKUP('Données projet'!$B$9,Paramètres!$A$1:$I$88,3,0)*0.475*44/12</f>
        <v>8.2910586681380213E-21</v>
      </c>
      <c r="AC195" s="24">
        <f t="shared" si="163"/>
        <v>6.5831964055648875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projet'!$B$10,Paramètres!$A$1:$I$88,3,0)*VLOOKUP('Données projet'!$B$10,Paramètres!$A$1:$I$88,5,0)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135.19533066605396</v>
      </c>
      <c r="AO195" s="62">
        <f t="shared" si="144"/>
        <v>213.60182977243113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4.2986209604627863</v>
      </c>
      <c r="AV195" s="23">
        <f>EXP(-LN(2)/25)*AV194+(1-EXP(-LN(2)/25))/(LN(2)/25)*Calculateur!AQ195*Calculateur!AS195*VLOOKUP('Données projet'!$B$10,Paramètres!$A$1:$I$88,3,0)*0.475*44/12</f>
        <v>0.49865020673188182</v>
      </c>
      <c r="AW195" s="23">
        <f>EXP(-LN(2)/2)*AW194+(1-EXP(-LN(2)/2))/(LN(2)/2)*AQ195*AT195*VLOOKUP('Données projet'!$B$10,Paramètres!$A$1:$I$88,3,0)*0.475*44/12</f>
        <v>8.6932022926163134E-21</v>
      </c>
      <c r="AX195" s="23">
        <f t="shared" si="166"/>
        <v>4.7972711671946682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1.7053025658242404E-13</v>
      </c>
      <c r="BE195" s="14">
        <f>BD195*VLOOKUP('Données projet'!$B$11,Paramètres!$A$1:$I$88,3,0)*VLOOKUP('Données projet'!$B$11,Paramètres!$A$1:$I$88,5,0)</f>
        <v>1.0197709343628959E-13</v>
      </c>
      <c r="BF195" s="14">
        <f t="shared" si="167"/>
        <v>1.5284983994279675E-12</v>
      </c>
      <c r="BG195" s="22">
        <f t="shared" si="168"/>
        <v>2.839744816738581E-12</v>
      </c>
      <c r="BH195" s="62">
        <f t="shared" si="116"/>
        <v>293.33333333333616</v>
      </c>
      <c r="BI195" s="62">
        <f ca="1">AVERAGE(OFFSET($BH$3,0,0,'Données projet'!$E$11+1,1))-AVERAGE(OFFSET($H$3,0,0,'Données projet'!$E$11+1,1))</f>
        <v>258.1884172762135</v>
      </c>
      <c r="BJ195" s="62">
        <f t="shared" si="146"/>
        <v>356.36714671797864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8.0543838096522489</v>
      </c>
      <c r="BQ195" s="23">
        <f>EXP(-LN(2)/25)*BQ194+(1-EXP(-LN(2)/25))/(LN(2)/25)*Calculateur!BL195*Calculateur!BN195*VLOOKUP('Données projet'!$B$11,Paramètres!$A$1:$I$88,3,0)*0.475*44/12</f>
        <v>0.8392192775556353</v>
      </c>
      <c r="BR195" s="23">
        <f>EXP(-LN(2)/2)*BR194+(1-EXP(-LN(2)/2))/(LN(2)/2)*BL195*BO195*VLOOKUP('Données projet'!$B$11,Paramètres!$A$1:$I$88,3,0)*0.475*44/12</f>
        <v>1.1091408710658512E-20</v>
      </c>
      <c r="BS195" s="24">
        <f t="shared" si="169"/>
        <v>8.8936030872078842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projet'!$B$12,Paramètres!$A$1:$I$88,3,0)*VLOOKUP('Données projet'!$B$12,Paramètres!$A$1:$I$88,5,0)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201.94015973767443</v>
      </c>
      <c r="CE195" s="62">
        <f t="shared" si="148"/>
        <v>287.12228849146032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5.9982137941428224</v>
      </c>
      <c r="CL195" s="23">
        <f>EXP(-LN(2)/25)*CL194+(1-EXP(-LN(2)/25))/(LN(2)/25)*Calculateur!CG195*Calculateur!CI195*VLOOKUP('Données projet'!$B$12,Paramètres!$A$1:$I$88,3,0)*0.475*44/12</f>
        <v>0.58498261142206465</v>
      </c>
      <c r="CM195" s="23">
        <f>EXP(-LN(2)/2)*CM194+(1-EXP(-LN(2)/2))/(LN(2)/2)*CG195*CJ195*VLOOKUP('Données projet'!$B$12,Paramètres!$A$1:$I$88,3,0)*0.475*44/12</f>
        <v>8.2910586681380213E-21</v>
      </c>
      <c r="CN195" s="24">
        <f t="shared" si="172"/>
        <v>6.5831964055648875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201.94015973767443</v>
      </c>
      <c r="T196" s="62">
        <f t="shared" si="142"/>
        <v>287.12228849146032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5.8805924801888443</v>
      </c>
      <c r="AA196" s="23">
        <f>EXP(-LN(2)/25)*AA195+(1-EXP(-LN(2)/25))/(LN(2)/25)*Calculateur!V196*Calculateur!X196*VLOOKUP('Données projet'!$B$9,Paramètres!$A$1:$I$88,3,0)*0.475*44/12</f>
        <v>0.56898623114982971</v>
      </c>
      <c r="AB196" s="23">
        <f>EXP(-LN(2)/2)*AB195+(1-EXP(-LN(2)/2))/(LN(2)/2)*V196*Y196*VLOOKUP('Données projet'!$B$9,Paramètres!$A$1:$I$88,3,0)*0.475*44/12</f>
        <v>5.8626638074559001E-21</v>
      </c>
      <c r="AC196" s="24">
        <f t="shared" si="163"/>
        <v>6.449578711338674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projet'!$B$10,Paramètres!$A$1:$I$88,3,0)*VLOOKUP('Données projet'!$B$10,Paramètres!$A$1:$I$88,5,0)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135.19533066605396</v>
      </c>
      <c r="AO196" s="62">
        <f t="shared" si="144"/>
        <v>213.60182977243113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4.2143276253280062</v>
      </c>
      <c r="AV196" s="23">
        <f>EXP(-LN(2)/25)*AV195+(1-EXP(-LN(2)/25))/(LN(2)/25)*Calculateur!AQ196*Calculateur!AS196*VLOOKUP('Données projet'!$B$10,Paramètres!$A$1:$I$88,3,0)*0.475*44/12</f>
        <v>0.48501459060592383</v>
      </c>
      <c r="AW196" s="23">
        <f>EXP(-LN(2)/2)*AW195+(1-EXP(-LN(2)/2))/(LN(2)/2)*AQ196*AT196*VLOOKUP('Données projet'!$B$10,Paramètres!$A$1:$I$88,3,0)*0.475*44/12</f>
        <v>6.1470222913354369E-21</v>
      </c>
      <c r="AX196" s="23">
        <f t="shared" si="166"/>
        <v>4.69934221593393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1.7053025658242404E-13</v>
      </c>
      <c r="BE196" s="14">
        <f>BD196*VLOOKUP('Données projet'!$B$11,Paramètres!$A$1:$I$88,3,0)*VLOOKUP('Données projet'!$B$11,Paramètres!$A$1:$I$88,5,0)</f>
        <v>1.0197709343628959E-13</v>
      </c>
      <c r="BF196" s="14">
        <f t="shared" si="167"/>
        <v>1.5284983994279675E-12</v>
      </c>
      <c r="BG196" s="22">
        <f t="shared" si="168"/>
        <v>2.839744816738581E-12</v>
      </c>
      <c r="BH196" s="62">
        <f t="shared" ref="BH196:BH203" si="194">BG196+(AY196+AZ196)*44/12</f>
        <v>293.33333333333616</v>
      </c>
      <c r="BI196" s="62">
        <f ca="1">AVERAGE(OFFSET($BH$3,0,0,'Données projet'!$E$11+1,1))-AVERAGE(OFFSET($H$3,0,0,'Données projet'!$E$11+1,1))</f>
        <v>258.1884172762135</v>
      </c>
      <c r="BJ196" s="62">
        <f t="shared" si="146"/>
        <v>356.36714671797864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7.8964422558340042</v>
      </c>
      <c r="BQ196" s="23">
        <f>EXP(-LN(2)/25)*BQ195+(1-EXP(-LN(2)/25))/(LN(2)/25)*Calculateur!BL196*Calculateur!BN196*VLOOKUP('Données projet'!$B$11,Paramètres!$A$1:$I$88,3,0)*0.475*44/12</f>
        <v>0.81627078227825267</v>
      </c>
      <c r="BR196" s="23">
        <f>EXP(-LN(2)/2)*BR195+(1-EXP(-LN(2)/2))/(LN(2)/2)*BL196*BO196*VLOOKUP('Données projet'!$B$11,Paramètres!$A$1:$I$88,3,0)*0.475*44/12</f>
        <v>7.8428103122181757E-21</v>
      </c>
      <c r="BS196" s="24">
        <f t="shared" si="169"/>
        <v>8.7127130381122573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projet'!$B$12,Paramètres!$A$1:$I$88,3,0)*VLOOKUP('Données projet'!$B$12,Paramètres!$A$1:$I$88,5,0)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201.94015973767443</v>
      </c>
      <c r="CE196" s="62">
        <f t="shared" si="148"/>
        <v>287.12228849146032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5.8805924801888443</v>
      </c>
      <c r="CL196" s="23">
        <f>EXP(-LN(2)/25)*CL195+(1-EXP(-LN(2)/25))/(LN(2)/25)*Calculateur!CG196*Calculateur!CI196*VLOOKUP('Données projet'!$B$12,Paramètres!$A$1:$I$88,3,0)*0.475*44/12</f>
        <v>0.56898623114982971</v>
      </c>
      <c r="CM196" s="23">
        <f>EXP(-LN(2)/2)*CM195+(1-EXP(-LN(2)/2))/(LN(2)/2)*CG196*CJ196*VLOOKUP('Données projet'!$B$12,Paramètres!$A$1:$I$88,3,0)*0.475*44/12</f>
        <v>5.8626638074559001E-21</v>
      </c>
      <c r="CN196" s="24">
        <f t="shared" si="172"/>
        <v>6.449578711338674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201.94015973767443</v>
      </c>
      <c r="T197" s="62">
        <f t="shared" ref="T197:T203" si="204">$T$3</f>
        <v>287.12228849146032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5.7652776484595858</v>
      </c>
      <c r="AA197" s="23">
        <f>EXP(-LN(2)/25)*AA196+(1-EXP(-LN(2)/25))/(LN(2)/25)*Calculateur!V197*Calculateur!X197*VLOOKUP('Données projet'!$B$9,Paramètres!$A$1:$I$88,3,0)*0.475*44/12</f>
        <v>0.55342727273735215</v>
      </c>
      <c r="AB197" s="23">
        <f>EXP(-LN(2)/2)*AB196+(1-EXP(-LN(2)/2))/(LN(2)/2)*V197*Y197*VLOOKUP('Données projet'!$B$9,Paramètres!$A$1:$I$88,3,0)*0.475*44/12</f>
        <v>4.1455293340690107E-21</v>
      </c>
      <c r="AC197" s="24">
        <f t="shared" si="163"/>
        <v>6.3187049211969377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projet'!$B$10,Paramètres!$A$1:$I$88,3,0)*VLOOKUP('Données projet'!$B$10,Paramètres!$A$1:$I$88,5,0)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135.19533066605396</v>
      </c>
      <c r="AO197" s="62">
        <f t="shared" ref="AO197:AO203" si="205">$AO$3</f>
        <v>213.60182977243113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4.1316872310813606</v>
      </c>
      <c r="AV197" s="23">
        <f>EXP(-LN(2)/25)*AV196+(1-EXP(-LN(2)/25))/(LN(2)/25)*Calculateur!AQ197*Calculateur!AS197*VLOOKUP('Données projet'!$B$10,Paramètres!$A$1:$I$88,3,0)*0.475*44/12</f>
        <v>0.47175184111999602</v>
      </c>
      <c r="AW197" s="23">
        <f>EXP(-LN(2)/2)*AW196+(1-EXP(-LN(2)/2))/(LN(2)/2)*AQ197*AT197*VLOOKUP('Données projet'!$B$10,Paramètres!$A$1:$I$88,3,0)*0.475*44/12</f>
        <v>4.3466011463081567E-21</v>
      </c>
      <c r="AX197" s="23">
        <f t="shared" si="166"/>
        <v>4.6034390722013567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1.7053025658242404E-13</v>
      </c>
      <c r="BE197" s="14">
        <f>BD197*VLOOKUP('Données projet'!$B$11,Paramètres!$A$1:$I$88,3,0)*VLOOKUP('Données projet'!$B$11,Paramètres!$A$1:$I$88,5,0)</f>
        <v>1.0197709343628959E-13</v>
      </c>
      <c r="BF197" s="14">
        <f t="shared" si="167"/>
        <v>1.5284983994279675E-12</v>
      </c>
      <c r="BG197" s="22">
        <f t="shared" si="168"/>
        <v>2.839744816738581E-12</v>
      </c>
      <c r="BH197" s="62">
        <f t="shared" si="194"/>
        <v>293.33333333333616</v>
      </c>
      <c r="BI197" s="62">
        <f ca="1">AVERAGE(OFFSET($BH$3,0,0,'Données projet'!$E$11+1,1))-AVERAGE(OFFSET($H$3,0,0,'Données projet'!$E$11+1,1))</f>
        <v>258.1884172762135</v>
      </c>
      <c r="BJ197" s="62">
        <f t="shared" ref="BJ197:BJ203" si="206">$BJ$3</f>
        <v>356.36714671797864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7.7415978395513001</v>
      </c>
      <c r="BQ197" s="23">
        <f>EXP(-LN(2)/25)*BQ196+(1-EXP(-LN(2)/25))/(LN(2)/25)*Calculateur!BL197*Calculateur!BN197*VLOOKUP('Données projet'!$B$11,Paramètres!$A$1:$I$88,3,0)*0.475*44/12</f>
        <v>0.79394981481103899</v>
      </c>
      <c r="BR197" s="23">
        <f>EXP(-LN(2)/2)*BR196+(1-EXP(-LN(2)/2))/(LN(2)/2)*BL197*BO197*VLOOKUP('Données projet'!$B$11,Paramètres!$A$1:$I$88,3,0)*0.475*44/12</f>
        <v>5.5457043553292561E-21</v>
      </c>
      <c r="BS197" s="24">
        <f t="shared" si="169"/>
        <v>8.5355476543623396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projet'!$B$12,Paramètres!$A$1:$I$88,3,0)*VLOOKUP('Données projet'!$B$12,Paramètres!$A$1:$I$88,5,0)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201.94015973767443</v>
      </c>
      <c r="CE197" s="62">
        <f t="shared" ref="CE197:CE203" si="207">$CE$3</f>
        <v>287.12228849146032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5.7652776484595858</v>
      </c>
      <c r="CL197" s="23">
        <f>EXP(-LN(2)/25)*CL196+(1-EXP(-LN(2)/25))/(LN(2)/25)*Calculateur!CG197*Calculateur!CI197*VLOOKUP('Données projet'!$B$12,Paramètres!$A$1:$I$88,3,0)*0.475*44/12</f>
        <v>0.55342727273735215</v>
      </c>
      <c r="CM197" s="23">
        <f>EXP(-LN(2)/2)*CM196+(1-EXP(-LN(2)/2))/(LN(2)/2)*CG197*CJ197*VLOOKUP('Données projet'!$B$12,Paramètres!$A$1:$I$88,3,0)*0.475*44/12</f>
        <v>4.1455293340690107E-21</v>
      </c>
      <c r="CN197" s="24">
        <f t="shared" si="172"/>
        <v>6.3187049211969377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201.94015973767443</v>
      </c>
      <c r="T198" s="62">
        <f t="shared" si="204"/>
        <v>287.12228849146032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5.6522240702454365</v>
      </c>
      <c r="AA198" s="23">
        <f>EXP(-LN(2)/25)*AA197+(1-EXP(-LN(2)/25))/(LN(2)/25)*Calculateur!V198*Calculateur!X198*VLOOKUP('Données projet'!$B$9,Paramètres!$A$1:$I$88,3,0)*0.475*44/12</f>
        <v>0.53829377486087382</v>
      </c>
      <c r="AB198" s="23">
        <f>EXP(-LN(2)/2)*AB197+(1-EXP(-LN(2)/2))/(LN(2)/2)*V198*Y198*VLOOKUP('Données projet'!$B$9,Paramètres!$A$1:$I$88,3,0)*0.475*44/12</f>
        <v>2.93133190372795E-21</v>
      </c>
      <c r="AC198" s="24">
        <f t="shared" si="163"/>
        <v>6.1905178451063101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projet'!$B$10,Paramètres!$A$1:$I$88,3,0)*VLOOKUP('Données projet'!$B$10,Paramètres!$A$1:$I$88,5,0)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135.19533066605396</v>
      </c>
      <c r="AO198" s="62">
        <f t="shared" si="205"/>
        <v>213.60182977243113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4.0506673645602289</v>
      </c>
      <c r="AV198" s="23">
        <f>EXP(-LN(2)/25)*AV197+(1-EXP(-LN(2)/25))/(LN(2)/25)*Calculateur!AQ198*Calculateur!AS198*VLOOKUP('Données projet'!$B$10,Paramètres!$A$1:$I$88,3,0)*0.475*44/12</f>
        <v>0.45885176221621859</v>
      </c>
      <c r="AW198" s="23">
        <f>EXP(-LN(2)/2)*AW197+(1-EXP(-LN(2)/2))/(LN(2)/2)*AQ198*AT198*VLOOKUP('Données projet'!$B$10,Paramètres!$A$1:$I$88,3,0)*0.475*44/12</f>
        <v>3.0735111456677184E-21</v>
      </c>
      <c r="AX198" s="23">
        <f t="shared" si="166"/>
        <v>4.5095191267764472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1.7053025658242404E-13</v>
      </c>
      <c r="BE198" s="14">
        <f>BD198*VLOOKUP('Données projet'!$B$11,Paramètres!$A$1:$I$88,3,0)*VLOOKUP('Données projet'!$B$11,Paramètres!$A$1:$I$88,5,0)</f>
        <v>1.0197709343628959E-13</v>
      </c>
      <c r="BF198" s="14">
        <f t="shared" si="167"/>
        <v>1.5284983994279675E-12</v>
      </c>
      <c r="BG198" s="22">
        <f t="shared" si="168"/>
        <v>2.839744816738581E-12</v>
      </c>
      <c r="BH198" s="62">
        <f t="shared" si="194"/>
        <v>293.33333333333616</v>
      </c>
      <c r="BI198" s="62">
        <f ca="1">AVERAGE(OFFSET($BH$3,0,0,'Données projet'!$E$11+1,1))-AVERAGE(OFFSET($H$3,0,0,'Données projet'!$E$11+1,1))</f>
        <v>258.1884172762135</v>
      </c>
      <c r="BJ198" s="62">
        <f t="shared" si="206"/>
        <v>356.36714671797864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7.5897898278261318</v>
      </c>
      <c r="BQ198" s="23">
        <f>EXP(-LN(2)/25)*BQ197+(1-EXP(-LN(2)/25))/(LN(2)/25)*Calculateur!BL198*Calculateur!BN198*VLOOKUP('Données projet'!$B$11,Paramètres!$A$1:$I$88,3,0)*0.475*44/12</f>
        <v>0.77223921537302498</v>
      </c>
      <c r="BR198" s="23">
        <f>EXP(-LN(2)/2)*BR197+(1-EXP(-LN(2)/2))/(LN(2)/2)*BL198*BO198*VLOOKUP('Données projet'!$B$11,Paramètres!$A$1:$I$88,3,0)*0.475*44/12</f>
        <v>3.9214051561090879E-21</v>
      </c>
      <c r="BS198" s="24">
        <f t="shared" si="169"/>
        <v>8.362029043199156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projet'!$B$12,Paramètres!$A$1:$I$88,3,0)*VLOOKUP('Données projet'!$B$12,Paramètres!$A$1:$I$88,5,0)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201.94015973767443</v>
      </c>
      <c r="CE198" s="62">
        <f t="shared" si="207"/>
        <v>287.12228849146032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5.6522240702454365</v>
      </c>
      <c r="CL198" s="23">
        <f>EXP(-LN(2)/25)*CL197+(1-EXP(-LN(2)/25))/(LN(2)/25)*Calculateur!CG198*Calculateur!CI198*VLOOKUP('Données projet'!$B$12,Paramètres!$A$1:$I$88,3,0)*0.475*44/12</f>
        <v>0.53829377486087382</v>
      </c>
      <c r="CM198" s="23">
        <f>EXP(-LN(2)/2)*CM197+(1-EXP(-LN(2)/2))/(LN(2)/2)*CG198*CJ198*VLOOKUP('Données projet'!$B$12,Paramètres!$A$1:$I$88,3,0)*0.475*44/12</f>
        <v>2.93133190372795E-21</v>
      </c>
      <c r="CN198" s="24">
        <f t="shared" si="172"/>
        <v>6.1905178451063101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201.94015973767443</v>
      </c>
      <c r="T199" s="62">
        <f t="shared" si="204"/>
        <v>287.12228849146032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5.5413874037441921</v>
      </c>
      <c r="AA199" s="23">
        <f>EXP(-LN(2)/25)*AA198+(1-EXP(-LN(2)/25))/(LN(2)/25)*Calculateur!V199*Calculateur!X199*VLOOKUP('Données projet'!$B$9,Paramètres!$A$1:$I$88,3,0)*0.475*44/12</f>
        <v>0.52357410327966392</v>
      </c>
      <c r="AB199" s="23">
        <f>EXP(-LN(2)/2)*AB198+(1-EXP(-LN(2)/2))/(LN(2)/2)*V199*Y199*VLOOKUP('Données projet'!$B$9,Paramètres!$A$1:$I$88,3,0)*0.475*44/12</f>
        <v>2.0727646670345053E-21</v>
      </c>
      <c r="AC199" s="24">
        <f t="shared" si="163"/>
        <v>6.0649615070238561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projet'!$B$10,Paramètres!$A$1:$I$88,3,0)*VLOOKUP('Données projet'!$B$10,Paramètres!$A$1:$I$88,5,0)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135.19533066605396</v>
      </c>
      <c r="AO199" s="62">
        <f t="shared" si="205"/>
        <v>213.60182977243113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3.9712362482043373</v>
      </c>
      <c r="AV199" s="23">
        <f>EXP(-LN(2)/25)*AV198+(1-EXP(-LN(2)/25))/(LN(2)/25)*Calculateur!AQ199*Calculateur!AS199*VLOOKUP('Données projet'!$B$10,Paramètres!$A$1:$I$88,3,0)*0.475*44/12</f>
        <v>0.44630443664845065</v>
      </c>
      <c r="AW199" s="23">
        <f>EXP(-LN(2)/2)*AW198+(1-EXP(-LN(2)/2))/(LN(2)/2)*AQ199*AT199*VLOOKUP('Données projet'!$B$10,Paramètres!$A$1:$I$88,3,0)*0.475*44/12</f>
        <v>2.1733005731540783E-21</v>
      </c>
      <c r="AX199" s="23">
        <f t="shared" si="166"/>
        <v>4.4175406848527876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1.7053025658242404E-13</v>
      </c>
      <c r="BE199" s="14">
        <f>BD199*VLOOKUP('Données projet'!$B$11,Paramètres!$A$1:$I$88,3,0)*VLOOKUP('Données projet'!$B$11,Paramètres!$A$1:$I$88,5,0)</f>
        <v>1.0197709343628959E-13</v>
      </c>
      <c r="BF199" s="14">
        <f t="shared" si="167"/>
        <v>1.5284983994279675E-12</v>
      </c>
      <c r="BG199" s="22">
        <f t="shared" si="168"/>
        <v>2.839744816738581E-12</v>
      </c>
      <c r="BH199" s="62">
        <f t="shared" si="194"/>
        <v>293.33333333333616</v>
      </c>
      <c r="BI199" s="62">
        <f ca="1">AVERAGE(OFFSET($BH$3,0,0,'Données projet'!$E$11+1,1))-AVERAGE(OFFSET($H$3,0,0,'Données projet'!$E$11+1,1))</f>
        <v>258.1884172762135</v>
      </c>
      <c r="BJ199" s="62">
        <f t="shared" si="206"/>
        <v>356.36714671797864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7.4409586786171493</v>
      </c>
      <c r="BQ199" s="23">
        <f>EXP(-LN(2)/25)*BQ198+(1-EXP(-LN(2)/25))/(LN(2)/25)*Calculateur!BL199*Calculateur!BN199*VLOOKUP('Données projet'!$B$11,Paramètres!$A$1:$I$88,3,0)*0.475*44/12</f>
        <v>0.75112229341835424</v>
      </c>
      <c r="BR199" s="23">
        <f>EXP(-LN(2)/2)*BR198+(1-EXP(-LN(2)/2))/(LN(2)/2)*BL199*BO199*VLOOKUP('Données projet'!$B$11,Paramètres!$A$1:$I$88,3,0)*0.475*44/12</f>
        <v>2.772852177664628E-21</v>
      </c>
      <c r="BS199" s="24">
        <f t="shared" si="169"/>
        <v>8.1920809720355035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projet'!$B$12,Paramètres!$A$1:$I$88,3,0)*VLOOKUP('Données projet'!$B$12,Paramètres!$A$1:$I$88,5,0)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201.94015973767443</v>
      </c>
      <c r="CE199" s="62">
        <f t="shared" si="207"/>
        <v>287.12228849146032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5.5413874037441921</v>
      </c>
      <c r="CL199" s="23">
        <f>EXP(-LN(2)/25)*CL198+(1-EXP(-LN(2)/25))/(LN(2)/25)*Calculateur!CG199*Calculateur!CI199*VLOOKUP('Données projet'!$B$12,Paramètres!$A$1:$I$88,3,0)*0.475*44/12</f>
        <v>0.52357410327966392</v>
      </c>
      <c r="CM199" s="23">
        <f>EXP(-LN(2)/2)*CM198+(1-EXP(-LN(2)/2))/(LN(2)/2)*CG199*CJ199*VLOOKUP('Données projet'!$B$12,Paramètres!$A$1:$I$88,3,0)*0.475*44/12</f>
        <v>2.0727646670345053E-21</v>
      </c>
      <c r="CN199" s="24">
        <f t="shared" si="172"/>
        <v>6.0649615070238561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201.94015973767443</v>
      </c>
      <c r="T200" s="62">
        <f t="shared" si="204"/>
        <v>287.12228849146032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5.4327241766693461</v>
      </c>
      <c r="AA200" s="23">
        <f>EXP(-LN(2)/25)*AA199+(1-EXP(-LN(2)/25))/(LN(2)/25)*Calculateur!V200*Calculateur!X200*VLOOKUP('Données projet'!$B$9,Paramètres!$A$1:$I$88,3,0)*0.475*44/12</f>
        <v>0.50925694189191606</v>
      </c>
      <c r="AB200" s="23">
        <f>EXP(-LN(2)/2)*AB199+(1-EXP(-LN(2)/2))/(LN(2)/2)*V200*Y200*VLOOKUP('Données projet'!$B$9,Paramètres!$A$1:$I$88,3,0)*0.475*44/12</f>
        <v>1.465665951863975E-21</v>
      </c>
      <c r="AC200" s="24">
        <f t="shared" si="163"/>
        <v>5.9419811185612623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projet'!$B$10,Paramètres!$A$1:$I$88,3,0)*VLOOKUP('Données projet'!$B$10,Paramètres!$A$1:$I$88,5,0)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135.19533066605396</v>
      </c>
      <c r="AO200" s="62">
        <f t="shared" si="205"/>
        <v>213.60182977243113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3.8933627275919878</v>
      </c>
      <c r="AV200" s="23">
        <f>EXP(-LN(2)/25)*AV199+(1-EXP(-LN(2)/25))/(LN(2)/25)*Calculateur!AQ200*Calculateur!AS200*VLOOKUP('Données projet'!$B$10,Paramètres!$A$1:$I$88,3,0)*0.475*44/12</f>
        <v>0.43410021835816848</v>
      </c>
      <c r="AW200" s="23">
        <f>EXP(-LN(2)/2)*AW199+(1-EXP(-LN(2)/2))/(LN(2)/2)*AQ200*AT200*VLOOKUP('Données projet'!$B$10,Paramètres!$A$1:$I$88,3,0)*0.475*44/12</f>
        <v>1.5367555728338592E-21</v>
      </c>
      <c r="AX200" s="23">
        <f t="shared" si="166"/>
        <v>4.3274629459501561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1.7053025658242404E-13</v>
      </c>
      <c r="BE200" s="14">
        <f>BD200*VLOOKUP('Données projet'!$B$11,Paramètres!$A$1:$I$88,3,0)*VLOOKUP('Données projet'!$B$11,Paramètres!$A$1:$I$88,5,0)</f>
        <v>1.0197709343628959E-13</v>
      </c>
      <c r="BF200" s="14">
        <f t="shared" si="167"/>
        <v>1.5284983994279675E-12</v>
      </c>
      <c r="BG200" s="22">
        <f t="shared" si="168"/>
        <v>2.839744816738581E-12</v>
      </c>
      <c r="BH200" s="62">
        <f t="shared" si="194"/>
        <v>293.33333333333616</v>
      </c>
      <c r="BI200" s="62">
        <f ca="1">AVERAGE(OFFSET($BH$3,0,0,'Données projet'!$E$11+1,1))-AVERAGE(OFFSET($H$3,0,0,'Données projet'!$E$11+1,1))</f>
        <v>258.1884172762135</v>
      </c>
      <c r="BJ200" s="62">
        <f t="shared" si="206"/>
        <v>356.36714671797864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7.2950460174661176</v>
      </c>
      <c r="BQ200" s="23">
        <f>EXP(-LN(2)/25)*BQ199+(1-EXP(-LN(2)/25))/(LN(2)/25)*Calculateur!BL200*Calculateur!BN200*VLOOKUP('Données projet'!$B$11,Paramètres!$A$1:$I$88,3,0)*0.475*44/12</f>
        <v>0.73058281480502463</v>
      </c>
      <c r="BR200" s="23">
        <f>EXP(-LN(2)/2)*BR199+(1-EXP(-LN(2)/2))/(LN(2)/2)*BL200*BO200*VLOOKUP('Données projet'!$B$11,Paramètres!$A$1:$I$88,3,0)*0.475*44/12</f>
        <v>1.9607025780545439E-21</v>
      </c>
      <c r="BS200" s="24">
        <f t="shared" si="169"/>
        <v>8.025628832271142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projet'!$B$12,Paramètres!$A$1:$I$88,3,0)*VLOOKUP('Données projet'!$B$12,Paramètres!$A$1:$I$88,5,0)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201.94015973767443</v>
      </c>
      <c r="CE200" s="62">
        <f t="shared" si="207"/>
        <v>287.12228849146032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5.4327241766693461</v>
      </c>
      <c r="CL200" s="23">
        <f>EXP(-LN(2)/25)*CL199+(1-EXP(-LN(2)/25))/(LN(2)/25)*Calculateur!CG200*Calculateur!CI200*VLOOKUP('Données projet'!$B$12,Paramètres!$A$1:$I$88,3,0)*0.475*44/12</f>
        <v>0.50925694189191606</v>
      </c>
      <c r="CM200" s="23">
        <f>EXP(-LN(2)/2)*CM199+(1-EXP(-LN(2)/2))/(LN(2)/2)*CG200*CJ200*VLOOKUP('Données projet'!$B$12,Paramètres!$A$1:$I$88,3,0)*0.475*44/12</f>
        <v>1.465665951863975E-21</v>
      </c>
      <c r="CN200" s="24">
        <f t="shared" si="172"/>
        <v>5.9419811185612623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201.94015973767443</v>
      </c>
      <c r="T201" s="62">
        <f t="shared" si="204"/>
        <v>287.12228849146032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5.3261917691994141</v>
      </c>
      <c r="AA201" s="23">
        <f>EXP(-LN(2)/25)*AA200+(1-EXP(-LN(2)/25))/(LN(2)/25)*Calculateur!V201*Calculateur!X201*VLOOKUP('Données projet'!$B$9,Paramètres!$A$1:$I$88,3,0)*0.475*44/12</f>
        <v>0.49533128403522297</v>
      </c>
      <c r="AB201" s="23">
        <f>EXP(-LN(2)/2)*AB200+(1-EXP(-LN(2)/2))/(LN(2)/2)*V201*Y201*VLOOKUP('Données projet'!$B$9,Paramètres!$A$1:$I$88,3,0)*0.475*44/12</f>
        <v>1.0363823335172527E-21</v>
      </c>
      <c r="AC201" s="24">
        <f t="shared" si="163"/>
        <v>5.8215230532346371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projet'!$B$10,Paramètres!$A$1:$I$88,3,0)*VLOOKUP('Données projet'!$B$10,Paramètres!$A$1:$I$88,5,0)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135.19533066605396</v>
      </c>
      <c r="AO201" s="62">
        <f t="shared" si="205"/>
        <v>213.60182977243113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3.8170162592206891</v>
      </c>
      <c r="AV201" s="23">
        <f>EXP(-LN(2)/25)*AV200+(1-EXP(-LN(2)/25))/(LN(2)/25)*Calculateur!AQ201*Calculateur!AS201*VLOOKUP('Données projet'!$B$10,Paramètres!$A$1:$I$88,3,0)*0.475*44/12</f>
        <v>0.422229725058826</v>
      </c>
      <c r="AW201" s="23">
        <f>EXP(-LN(2)/2)*AW200+(1-EXP(-LN(2)/2))/(LN(2)/2)*AQ201*AT201*VLOOKUP('Données projet'!$B$10,Paramètres!$A$1:$I$88,3,0)*0.475*44/12</f>
        <v>1.0866502865770392E-21</v>
      </c>
      <c r="AX201" s="23">
        <f t="shared" si="166"/>
        <v>4.2392459842795152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1.7053025658242404E-13</v>
      </c>
      <c r="BE201" s="14">
        <f>BD201*VLOOKUP('Données projet'!$B$11,Paramètres!$A$1:$I$88,3,0)*VLOOKUP('Données projet'!$B$11,Paramètres!$A$1:$I$88,5,0)</f>
        <v>1.0197709343628959E-13</v>
      </c>
      <c r="BF201" s="14">
        <f t="shared" si="167"/>
        <v>1.5284983994279675E-12</v>
      </c>
      <c r="BG201" s="22">
        <f t="shared" si="168"/>
        <v>2.839744816738581E-12</v>
      </c>
      <c r="BH201" s="62">
        <f t="shared" si="194"/>
        <v>293.33333333333616</v>
      </c>
      <c r="BI201" s="62">
        <f ca="1">AVERAGE(OFFSET($BH$3,0,0,'Données projet'!$E$11+1,1))-AVERAGE(OFFSET($H$3,0,0,'Données projet'!$E$11+1,1))</f>
        <v>258.1884172762135</v>
      </c>
      <c r="BJ201" s="62">
        <f t="shared" si="206"/>
        <v>356.36714671797864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7.1519946146023221</v>
      </c>
      <c r="BQ201" s="23">
        <f>EXP(-LN(2)/25)*BQ200+(1-EXP(-LN(2)/25))/(LN(2)/25)*Calculateur!BL201*Calculateur!BN201*VLOOKUP('Données projet'!$B$11,Paramètres!$A$1:$I$88,3,0)*0.475*44/12</f>
        <v>0.71060498931450078</v>
      </c>
      <c r="BR201" s="23">
        <f>EXP(-LN(2)/2)*BR200+(1-EXP(-LN(2)/2))/(LN(2)/2)*BL201*BO201*VLOOKUP('Données projet'!$B$11,Paramètres!$A$1:$I$88,3,0)*0.475*44/12</f>
        <v>1.386426088832314E-21</v>
      </c>
      <c r="BS201" s="24">
        <f t="shared" si="169"/>
        <v>7.8625996039168227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projet'!$B$12,Paramètres!$A$1:$I$88,3,0)*VLOOKUP('Données projet'!$B$12,Paramètres!$A$1:$I$88,5,0)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201.94015973767443</v>
      </c>
      <c r="CE201" s="62">
        <f t="shared" si="207"/>
        <v>287.12228849146032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5.3261917691994141</v>
      </c>
      <c r="CL201" s="23">
        <f>EXP(-LN(2)/25)*CL200+(1-EXP(-LN(2)/25))/(LN(2)/25)*Calculateur!CG201*Calculateur!CI201*VLOOKUP('Données projet'!$B$12,Paramètres!$A$1:$I$88,3,0)*0.475*44/12</f>
        <v>0.49533128403522297</v>
      </c>
      <c r="CM201" s="23">
        <f>EXP(-LN(2)/2)*CM200+(1-EXP(-LN(2)/2))/(LN(2)/2)*CG201*CJ201*VLOOKUP('Données projet'!$B$12,Paramètres!$A$1:$I$88,3,0)*0.475*44/12</f>
        <v>1.0363823335172527E-21</v>
      </c>
      <c r="CN201" s="24">
        <f t="shared" si="172"/>
        <v>5.8215230532346371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201.94015973767443</v>
      </c>
      <c r="T202" s="62">
        <f t="shared" si="204"/>
        <v>287.12228849146032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5.2217483972616145</v>
      </c>
      <c r="AA202" s="23">
        <f>EXP(-LN(2)/25)*AA201+(1-EXP(-LN(2)/25))/(LN(2)/25)*Calculateur!V202*Calculateur!X202*VLOOKUP('Données projet'!$B$9,Paramètres!$A$1:$I$88,3,0)*0.475*44/12</f>
        <v>0.48178642402493965</v>
      </c>
      <c r="AB202" s="23">
        <f>EXP(-LN(2)/2)*AB201+(1-EXP(-LN(2)/2))/(LN(2)/2)*V202*Y202*VLOOKUP('Données projet'!$B$9,Paramètres!$A$1:$I$88,3,0)*0.475*44/12</f>
        <v>7.3283297593198751E-22</v>
      </c>
      <c r="AC202" s="24">
        <f t="shared" si="163"/>
        <v>5.7035348212865546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projet'!$B$10,Paramètres!$A$1:$I$88,3,0)*VLOOKUP('Données projet'!$B$10,Paramètres!$A$1:$I$88,5,0)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135.19533066605396</v>
      </c>
      <c r="AO202" s="62">
        <f t="shared" si="205"/>
        <v>213.60182977243113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3.7421668985274037</v>
      </c>
      <c r="AV202" s="23">
        <f>EXP(-LN(2)/25)*AV201+(1-EXP(-LN(2)/25))/(LN(2)/25)*Calculateur!AQ202*Calculateur!AS202*VLOOKUP('Données projet'!$B$10,Paramètres!$A$1:$I$88,3,0)*0.475*44/12</f>
        <v>0.41068383102299616</v>
      </c>
      <c r="AW202" s="23">
        <f>EXP(-LN(2)/2)*AW201+(1-EXP(-LN(2)/2))/(LN(2)/2)*AQ202*AT202*VLOOKUP('Données projet'!$B$10,Paramètres!$A$1:$I$88,3,0)*0.475*44/12</f>
        <v>7.6837778641692961E-22</v>
      </c>
      <c r="AX202" s="23">
        <f t="shared" si="166"/>
        <v>4.1528507295503996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1.7053025658242404E-13</v>
      </c>
      <c r="BE202" s="14">
        <f>BD202*VLOOKUP('Données projet'!$B$11,Paramètres!$A$1:$I$88,3,0)*VLOOKUP('Données projet'!$B$11,Paramètres!$A$1:$I$88,5,0)</f>
        <v>1.0197709343628959E-13</v>
      </c>
      <c r="BF202" s="14">
        <f t="shared" si="167"/>
        <v>1.5284983994279675E-12</v>
      </c>
      <c r="BG202" s="22">
        <f t="shared" si="168"/>
        <v>2.839744816738581E-12</v>
      </c>
      <c r="BH202" s="62">
        <f t="shared" si="194"/>
        <v>293.33333333333616</v>
      </c>
      <c r="BI202" s="62">
        <f ca="1">AVERAGE(OFFSET($BH$3,0,0,'Données projet'!$E$11+1,1))-AVERAGE(OFFSET($H$3,0,0,'Données projet'!$E$11+1,1))</f>
        <v>258.1884172762135</v>
      </c>
      <c r="BJ202" s="62">
        <f t="shared" si="206"/>
        <v>356.36714671797864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7.0117483624959451</v>
      </c>
      <c r="BQ202" s="23">
        <f>EXP(-LN(2)/25)*BQ201+(1-EXP(-LN(2)/25))/(LN(2)/25)*Calculateur!BL202*Calculateur!BN202*VLOOKUP('Données projet'!$B$11,Paramètres!$A$1:$I$88,3,0)*0.475*44/12</f>
        <v>0.69117345851260348</v>
      </c>
      <c r="BR202" s="23">
        <f>EXP(-LN(2)/2)*BR201+(1-EXP(-LN(2)/2))/(LN(2)/2)*BL202*BO202*VLOOKUP('Données projet'!$B$11,Paramètres!$A$1:$I$88,3,0)*0.475*44/12</f>
        <v>9.8035128902727196E-22</v>
      </c>
      <c r="BS202" s="24">
        <f t="shared" si="169"/>
        <v>7.7029218210085482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projet'!$B$12,Paramètres!$A$1:$I$88,3,0)*VLOOKUP('Données projet'!$B$12,Paramètres!$A$1:$I$88,5,0)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201.94015973767443</v>
      </c>
      <c r="CE202" s="62">
        <f t="shared" si="207"/>
        <v>287.12228849146032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5.2217483972616145</v>
      </c>
      <c r="CL202" s="23">
        <f>EXP(-LN(2)/25)*CL201+(1-EXP(-LN(2)/25))/(LN(2)/25)*Calculateur!CG202*Calculateur!CI202*VLOOKUP('Données projet'!$B$12,Paramètres!$A$1:$I$88,3,0)*0.475*44/12</f>
        <v>0.48178642402493965</v>
      </c>
      <c r="CM202" s="23">
        <f>EXP(-LN(2)/2)*CM201+(1-EXP(-LN(2)/2))/(LN(2)/2)*CG202*CJ202*VLOOKUP('Données projet'!$B$12,Paramètres!$A$1:$I$88,3,0)*0.475*44/12</f>
        <v>7.3283297593198751E-22</v>
      </c>
      <c r="CN202" s="24">
        <f t="shared" si="172"/>
        <v>5.7035348212865546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201.94015973767443</v>
      </c>
      <c r="T203" s="62">
        <f t="shared" si="204"/>
        <v>287.12228849146032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5.1193530961433487</v>
      </c>
      <c r="AA203" s="23">
        <f>EXP(-LN(2)/25)*AA202+(1-EXP(-LN(2)/25))/(LN(2)/25)*Calculateur!V203*Calculateur!X203*VLOOKUP('Données projet'!$B$9,Paramètres!$A$1:$I$88,3,0)*0.475*44/12</f>
        <v>0.46861194892393077</v>
      </c>
      <c r="AB203" s="23">
        <f>EXP(-LN(2)/2)*AB202+(1-EXP(-LN(2)/2))/(LN(2)/2)*V203*Y203*VLOOKUP('Données projet'!$B$9,Paramètres!$A$1:$I$88,3,0)*0.475*44/12</f>
        <v>5.1819116675862633E-22</v>
      </c>
      <c r="AC203" s="24">
        <f t="shared" si="163"/>
        <v>5.5879650450672793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projet'!$B$10,Paramètres!$A$1:$I$88,3,0)*VLOOKUP('Données projet'!$B$10,Paramètres!$A$1:$I$88,5,0)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135.19533066605396</v>
      </c>
      <c r="AO203" s="62">
        <f t="shared" si="205"/>
        <v>213.60182977243113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3.6687852881437117</v>
      </c>
      <c r="AV203" s="23">
        <f>EXP(-LN(2)/25)*AV202+(1-EXP(-LN(2)/25))/(LN(2)/25)*Calculateur!AQ203*Calculateur!AS203*VLOOKUP('Données projet'!$B$10,Paramètres!$A$1:$I$88,3,0)*0.475*44/12</f>
        <v>0.39945366006674826</v>
      </c>
      <c r="AW203" s="23">
        <f>EXP(-LN(2)/2)*AW202+(1-EXP(-LN(2)/2))/(LN(2)/2)*AQ203*AT203*VLOOKUP('Données projet'!$B$10,Paramètres!$A$1:$I$88,3,0)*0.475*44/12</f>
        <v>5.4332514328851959E-22</v>
      </c>
      <c r="AX203" s="23">
        <f t="shared" si="166"/>
        <v>4.0682389482104604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1.7053025658242404E-13</v>
      </c>
      <c r="BE203" s="14">
        <f>BD203*VLOOKUP('Données projet'!$B$11,Paramètres!$A$1:$I$88,3,0)*VLOOKUP('Données projet'!$B$11,Paramètres!$A$1:$I$88,5,0)</f>
        <v>1.0197709343628959E-13</v>
      </c>
      <c r="BF203" s="14">
        <f t="shared" si="167"/>
        <v>1.5284983994279675E-12</v>
      </c>
      <c r="BG203" s="22">
        <f t="shared" si="168"/>
        <v>2.839744816738581E-12</v>
      </c>
      <c r="BH203" s="62">
        <f t="shared" si="194"/>
        <v>293.33333333333616</v>
      </c>
      <c r="BI203" s="62">
        <f ca="1">AVERAGE(OFFSET($BH$3,0,0,'Données projet'!$E$11+1,1))-AVERAGE(OFFSET($H$3,0,0,'Données projet'!$E$11+1,1))</f>
        <v>258.1884172762135</v>
      </c>
      <c r="BJ203" s="62">
        <f t="shared" si="206"/>
        <v>356.36714671797864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6.8742522538516075</v>
      </c>
      <c r="BQ203" s="23">
        <f>EXP(-LN(2)/25)*BQ202+(1-EXP(-LN(2)/25))/(LN(2)/25)*Calculateur!BL203*Calculateur!BN203*VLOOKUP('Données projet'!$B$11,Paramètres!$A$1:$I$88,3,0)*0.475*44/12</f>
        <v>0.67227328394234387</v>
      </c>
      <c r="BR203" s="23">
        <f>EXP(-LN(2)/2)*BR202+(1-EXP(-LN(2)/2))/(LN(2)/2)*BL203*BO203*VLOOKUP('Données projet'!$B$11,Paramètres!$A$1:$I$88,3,0)*0.475*44/12</f>
        <v>6.9321304441615701E-22</v>
      </c>
      <c r="BS203" s="24">
        <f t="shared" si="169"/>
        <v>7.5465255377939515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projet'!$B$12,Paramètres!$A$1:$I$88,3,0)*VLOOKUP('Données projet'!$B$12,Paramètres!$A$1:$I$88,5,0)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201.94015973767443</v>
      </c>
      <c r="CE203" s="62">
        <f t="shared" si="207"/>
        <v>287.12228849146032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5.1193530961433487</v>
      </c>
      <c r="CL203" s="23">
        <f>EXP(-LN(2)/25)*CL202+(1-EXP(-LN(2)/25))/(LN(2)/25)*Calculateur!CG203*Calculateur!CI203*VLOOKUP('Données projet'!$B$12,Paramètres!$A$1:$I$88,3,0)*0.475*44/12</f>
        <v>0.46861194892393077</v>
      </c>
      <c r="CM203" s="23">
        <f>EXP(-LN(2)/2)*CM202+(1-EXP(-LN(2)/2))/(LN(2)/2)*CG203*CJ203*VLOOKUP('Données projet'!$B$12,Paramètres!$A$1:$I$88,3,0)*0.475*44/12</f>
        <v>5.1819116675862633E-22</v>
      </c>
      <c r="CN203" s="24">
        <f t="shared" si="172"/>
        <v>5.5879650450672793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1.2809109072412657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1.1867200975826817</v>
      </c>
      <c r="BA205" s="88">
        <f>EXP(LN('Données projet'!B88)/'Données projet'!A88)</f>
        <v>1.3335339730287799</v>
      </c>
      <c r="BV205" s="88">
        <f>EXP(LN('Données projet'!B114)/'Données projet'!A114)</f>
        <v>1.2809109072412657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topLeftCell="A22" workbookViewId="0">
      <selection activeCell="D23" sqref="D23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2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6" thickBot="1" x14ac:dyDescent="0.2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6" thickBot="1" x14ac:dyDescent="0.2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2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2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2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6" thickBot="1" x14ac:dyDescent="0.2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6" thickBot="1" x14ac:dyDescent="0.2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2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6" thickBot="1" x14ac:dyDescent="0.2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2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2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2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2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2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2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2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2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2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2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2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2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2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2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2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2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2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2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2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2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2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2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2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2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2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2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2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2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2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2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2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2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2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2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2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2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2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2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2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2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2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2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2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2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2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2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2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2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2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2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2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2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2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2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2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2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2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2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2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2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2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2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2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2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2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2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2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2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2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2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2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2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2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2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2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2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6" thickBot="1" x14ac:dyDescent="0.2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2">
      <c r="A92" s="132" t="s">
        <v>208</v>
      </c>
    </row>
    <row r="93" spans="1:14" x14ac:dyDescent="0.2">
      <c r="A93" s="132" t="s">
        <v>209</v>
      </c>
    </row>
    <row r="94" spans="1:14" x14ac:dyDescent="0.2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13" zoomScale="135" zoomScaleNormal="70" workbookViewId="0">
      <selection activeCell="I24" sqref="I24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5" t="str">
        <f>IF('Données projet'!$B$9="","",'Données projet'!$B$9)</f>
        <v>Pin maritime</v>
      </c>
      <c r="B6" s="156">
        <f>'Données projet'!D9</f>
        <v>1</v>
      </c>
      <c r="C6" s="157">
        <f ca="1">IF(OR('Données projet'!B9="",'Données projet'!C9="",'Données projet'!C9=0%),0,Calculateur!S3)</f>
        <v>201.94015973767443</v>
      </c>
      <c r="D6" s="157">
        <f>IF(OR('Données projet'!B9="",'Données projet'!C9="",'Données projet'!C9=0%),0,Calculateur!T3)</f>
        <v>287.12228849146032</v>
      </c>
      <c r="E6" s="157">
        <f ca="1">MIN(C6,D6)</f>
        <v>201.94015973767443</v>
      </c>
      <c r="F6" s="157">
        <f ca="1">E6*B6</f>
        <v>201.94015973767443</v>
      </c>
      <c r="G6" s="157">
        <f ca="1">F6*(100%-'Données projet'!$C$24)*(100%-'Données projet'!$C$25)*(100%-'Données projet'!$C$26)*(100%-'Données projet'!$C$27)</f>
        <v>181.74614376390699</v>
      </c>
      <c r="H6" s="158">
        <f>IF(OR('Données projet'!B9="",'Données projet'!C9="",'Données projet'!C9=0%),0,AVERAGE(Calculateur!$AC$3:$AC$33)*B6)</f>
        <v>4.2334456138285068</v>
      </c>
      <c r="I6" s="159">
        <f>H6*(100%-'Données projet'!$C$24)*(100%-'Données projet'!$C$25)*(100%-'Données projet'!$C$26)*(100%-'Données projet'!$C$27)</f>
        <v>3.8101010524456562</v>
      </c>
      <c r="J6" s="160">
        <f>IF(OR('Données projet'!B9="",'Données projet'!C9="",'Données projet'!C9=0%),0,SUM(Calculateur!$V$3:$V$33)*VLOOKUP('Données projet'!$B$9,Paramètres!$A$1:$I$88,9,0)*B6)</f>
        <v>50.15</v>
      </c>
      <c r="K6" s="161">
        <f>J6*(100%-'Données projet'!$C$24)*(100%-'Données projet'!$C$25)*(100%-'Données projet'!$C$26)*(100%-'Données projet'!$C$27)</f>
        <v>45.134999999999998</v>
      </c>
      <c r="L6" s="162">
        <f ca="1">G6+I6+K6</f>
        <v>230.69124481635262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3" t="str">
        <f>IF('Données projet'!$B$10="","",'Données projet'!$B$10)</f>
        <v>Cèdre de l'Atlas</v>
      </c>
      <c r="B7" s="164">
        <f>'Données projet'!D10</f>
        <v>1</v>
      </c>
      <c r="C7" s="157">
        <f ca="1">IF(OR('Données projet'!B10="",'Données projet'!C10="",'Données projet'!C10=0%),0,Calculateur!AN3)</f>
        <v>135.19533066605396</v>
      </c>
      <c r="D7" s="157">
        <f>IF(OR('Données projet'!B10="",'Données projet'!C10="",'Données projet'!C10=0%),0,Calculateur!AO3)</f>
        <v>213.60182977243113</v>
      </c>
      <c r="E7" s="157">
        <f t="shared" ref="E7:E15" ca="1" si="0">MIN(C7,D7)</f>
        <v>135.19533066605396</v>
      </c>
      <c r="F7" s="157">
        <f t="shared" ref="F7:F15" ca="1" si="1">E7*B7</f>
        <v>135.19533066605396</v>
      </c>
      <c r="G7" s="157">
        <f ca="1">F7*(100%-'Données projet'!$C$24)*(100%-'Données projet'!$C$25)*(100%-'Données projet'!$C$26)*(100%-'Données projet'!$C$27)</f>
        <v>121.67579759944857</v>
      </c>
      <c r="H7" s="165">
        <f>IF(OR('Données projet'!B10="",'Données projet'!C10="",'Données projet'!C10=0%),0,AVERAGE(Calculateur!$AX$3:$AX$33)*B7)</f>
        <v>0.54659701949970962</v>
      </c>
      <c r="I7" s="159">
        <f>H7*(100%-'Données projet'!$C$24)*(100%-'Données projet'!$C$25)*(100%-'Données projet'!$C$26)*(100%-'Données projet'!$C$27)</f>
        <v>0.49193731754973868</v>
      </c>
      <c r="J7" s="160">
        <f>IF(OR('Données projet'!B10="",'Données projet'!C10="",'Données projet'!C10=0%),0,SUM(Calculateur!$AQ$3:$AQ$33)*VLOOKUP('Données projet'!$B$10,Paramètres!$A$1:$I$88,9,0)*B7)</f>
        <v>17.2</v>
      </c>
      <c r="K7" s="161">
        <f>J7*(100%-'Données projet'!$C$24)*(100%-'Données projet'!$C$25)*(100%-'Données projet'!$C$26)*(100%-'Données projet'!$C$27)</f>
        <v>15.48</v>
      </c>
      <c r="L7" s="162">
        <f t="shared" ref="L7:L15" ca="1" si="2">G7+I7+K7</f>
        <v>137.6477349169983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3" t="str">
        <f>IF('Données projet'!$B$11="","",'Données projet'!$B$11)</f>
        <v>Pin laricio</v>
      </c>
      <c r="B8" s="164">
        <f>'Données projet'!D11</f>
        <v>1</v>
      </c>
      <c r="C8" s="157">
        <f ca="1">IF(OR('Données projet'!B11="",'Données projet'!C11="",'Données projet'!C11=0%),0,Calculateur!BI3)</f>
        <v>258.1884172762135</v>
      </c>
      <c r="D8" s="157">
        <f>IF(OR('Données projet'!B11="",'Données projet'!C11="",'Données projet'!C11=0%),0,Calculateur!BJ3)</f>
        <v>356.36714671797864</v>
      </c>
      <c r="E8" s="157">
        <f t="shared" ca="1" si="0"/>
        <v>258.1884172762135</v>
      </c>
      <c r="F8" s="157">
        <f t="shared" ca="1" si="1"/>
        <v>258.1884172762135</v>
      </c>
      <c r="G8" s="157">
        <f ca="1">F8*(100%-'Données projet'!$C$24)*(100%-'Données projet'!$C$25)*(100%-'Données projet'!$C$26)*(100%-'Données projet'!$C$27)</f>
        <v>232.36957554859217</v>
      </c>
      <c r="H8" s="165">
        <f>IF(OR('Données projet'!B11="",'Données projet'!C11="",'Données projet'!C11=0%),0,AVERAGE(Calculateur!$BS$3:$BS$33)*B8)</f>
        <v>7.8972961433226256</v>
      </c>
      <c r="I8" s="159">
        <f>H8*(100%-'Données projet'!$C$24)*(100%-'Données projet'!$C$25)*(100%-'Données projet'!$C$26)*(100%-'Données projet'!$C$27)</f>
        <v>7.1075665289903629</v>
      </c>
      <c r="J8" s="160">
        <f>IF(OR('Données projet'!B11="",'Données projet'!C11="",'Données projet'!C11=0%),0,SUM(Calculateur!$BL$3:$BL$33)*VLOOKUP('Données projet'!$B$11,Paramètres!$A$1:$I$88,9,0)*B8)</f>
        <v>60.199999999999996</v>
      </c>
      <c r="K8" s="161">
        <f>J8*(100%-'Données projet'!$C$24)*(100%-'Données projet'!$C$25)*(100%-'Données projet'!$C$26)*(100%-'Données projet'!$C$27)</f>
        <v>54.18</v>
      </c>
      <c r="L8" s="162">
        <f t="shared" ca="1" si="2"/>
        <v>293.65714207758253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3" t="str">
        <f>IF('Données projet'!$B$12="","",'Données projet'!$B$12)</f>
        <v>Pin taeda</v>
      </c>
      <c r="B9" s="164">
        <f>'Données projet'!D12</f>
        <v>1</v>
      </c>
      <c r="C9" s="157">
        <f ca="1">IF(OR('Données projet'!B12="",'Données projet'!C12="",'Données projet'!C12=0%),0,Calculateur!CD3)</f>
        <v>201.94015973767443</v>
      </c>
      <c r="D9" s="157">
        <f>IF(OR('Données projet'!B12="",'Données projet'!C12="",'Données projet'!C12=0%),0,Calculateur!CE3)</f>
        <v>287.12228849146032</v>
      </c>
      <c r="E9" s="157">
        <f t="shared" ca="1" si="0"/>
        <v>201.94015973767443</v>
      </c>
      <c r="F9" s="157">
        <f t="shared" ca="1" si="1"/>
        <v>201.94015973767443</v>
      </c>
      <c r="G9" s="157">
        <f ca="1">F9*(100%-'Données projet'!$C$24)*(100%-'Données projet'!$C$25)*(100%-'Données projet'!$C$26)*(100%-'Données projet'!$C$27)</f>
        <v>181.74614376390699</v>
      </c>
      <c r="H9" s="165">
        <f>IF(OR('Données projet'!B12="",'Données projet'!C12="",'Données projet'!C12=0%),0,AVERAGE(Calculateur!$CN$3:$CN$33)*B9)</f>
        <v>4.2334456138285068</v>
      </c>
      <c r="I9" s="159">
        <f>H9*(100%-'Données projet'!$C$24)*(100%-'Données projet'!$C$25)*(100%-'Données projet'!$C$26)*(100%-'Données projet'!$C$27)</f>
        <v>3.8101010524456562</v>
      </c>
      <c r="J9" s="160">
        <f>IF(OR('Données projet'!B12="",'Données projet'!C12="",'Données projet'!C12=0%),0,SUM(Calculateur!$CG$3:$CG$33)*VLOOKUP('Données projet'!$B$12,Paramètres!$A$1:$I$88,9,0)*B9)</f>
        <v>36.549999999999997</v>
      </c>
      <c r="K9" s="161">
        <f>J9*(100%-'Données projet'!$C$24)*(100%-'Données projet'!$C$25)*(100%-'Données projet'!$C$26)*(100%-'Données projet'!$C$27)</f>
        <v>32.894999999999996</v>
      </c>
      <c r="L9" s="162">
        <f t="shared" ca="1" si="2"/>
        <v>218.45124481635264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37"/>
      <c r="B16" s="247"/>
      <c r="C16" s="248"/>
      <c r="D16" s="25"/>
      <c r="E16" s="25"/>
      <c r="F16" s="175">
        <f t="shared" ref="F16:L16" ca="1" si="3">SUM(F6:F15)</f>
        <v>797.26406741761627</v>
      </c>
      <c r="G16" s="176">
        <f t="shared" ca="1" si="3"/>
        <v>717.53766067585468</v>
      </c>
      <c r="H16" s="177">
        <f t="shared" si="3"/>
        <v>16.91078439047935</v>
      </c>
      <c r="I16" s="177">
        <f t="shared" si="3"/>
        <v>15.219705951431415</v>
      </c>
      <c r="J16" s="178">
        <f t="shared" si="3"/>
        <v>164.09999999999997</v>
      </c>
      <c r="K16" s="178">
        <f t="shared" si="3"/>
        <v>147.69</v>
      </c>
      <c r="L16" s="179">
        <f t="shared" ca="1" si="3"/>
        <v>880.4473666272861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80" t="str">
        <f>A6</f>
        <v>Pin maritime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80" t="str">
        <f>A7</f>
        <v>Cèdre de l'Atlas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80" t="str">
        <f>A8</f>
        <v>Pin laricio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80" t="str">
        <f>A9</f>
        <v>Pin taeda</v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P500"/>
  <sheetViews>
    <sheetView topLeftCell="D15" zoomScale="90" zoomScaleNormal="55" workbookViewId="0">
      <selection activeCell="I35" sqref="I35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34" style="3" customWidth="1"/>
    <col min="7" max="7" width="11.5" style="3"/>
    <col min="8" max="8" width="11.5" style="1"/>
    <col min="9" max="9" width="33" style="1" customWidth="1"/>
    <col min="10" max="10" width="37" style="1" customWidth="1"/>
    <col min="11" max="15" width="11.5" style="1"/>
    <col min="16" max="16" width="21" style="1" customWidth="1"/>
    <col min="17" max="16384" width="11.5" style="1"/>
  </cols>
  <sheetData>
    <row r="1" spans="1:46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7" thickBot="1" x14ac:dyDescent="0.35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2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2">
      <c r="A4" s="100"/>
      <c r="B4" s="100"/>
      <c r="C4" s="100"/>
      <c r="D4" s="100"/>
      <c r="E4" s="100"/>
      <c r="F4" s="181"/>
      <c r="G4" s="181"/>
      <c r="H4" s="100"/>
      <c r="I4" s="275" t="s">
        <v>190</v>
      </c>
      <c r="J4" s="275"/>
      <c r="K4" s="275"/>
      <c r="L4" s="275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2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6" x14ac:dyDescent="0.3">
      <c r="A6" s="100"/>
      <c r="B6" s="303" t="s">
        <v>192</v>
      </c>
      <c r="C6" s="303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03" t="s">
        <v>191</v>
      </c>
      <c r="P6" s="303"/>
      <c r="Q6" s="303"/>
      <c r="R6" s="303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2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">
      <c r="A12" s="25"/>
      <c r="B12" s="25"/>
      <c r="C12" s="25"/>
      <c r="D12" s="25"/>
      <c r="E12" s="25"/>
      <c r="F12" s="234"/>
      <c r="G12" s="243"/>
      <c r="H12" s="25"/>
      <c r="I12" s="207">
        <v>1</v>
      </c>
      <c r="J12" s="208">
        <f>600+500+50</f>
        <v>1150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">
      <c r="A13" s="25"/>
      <c r="B13" s="25"/>
      <c r="C13" s="25"/>
      <c r="D13" s="25"/>
      <c r="E13" s="25"/>
      <c r="F13" s="234"/>
      <c r="G13" s="243"/>
      <c r="H13" s="25"/>
      <c r="I13" s="207">
        <v>2</v>
      </c>
      <c r="J13" s="208">
        <v>500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">
      <c r="A14" s="25"/>
      <c r="B14" s="25"/>
      <c r="C14" s="25"/>
      <c r="D14" s="25"/>
      <c r="E14" s="25"/>
      <c r="F14" s="234"/>
      <c r="G14" s="243"/>
      <c r="H14" s="25"/>
      <c r="I14" s="207">
        <v>3</v>
      </c>
      <c r="J14" s="208">
        <v>500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">
      <c r="A15" s="25"/>
      <c r="B15" s="25"/>
      <c r="C15" s="25"/>
      <c r="D15" s="25"/>
      <c r="E15" s="25"/>
      <c r="F15" s="234"/>
      <c r="G15" s="243"/>
      <c r="H15" s="25"/>
      <c r="I15" s="207">
        <v>4</v>
      </c>
      <c r="J15" s="208">
        <v>0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">
      <c r="A16" s="25"/>
      <c r="B16" s="25"/>
      <c r="C16" s="25"/>
      <c r="D16" s="25"/>
      <c r="E16" s="25"/>
      <c r="F16" s="234"/>
      <c r="G16" s="243"/>
      <c r="H16" s="25"/>
      <c r="I16" s="207">
        <v>5</v>
      </c>
      <c r="J16" s="208">
        <v>0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2">
      <c r="A17" s="235"/>
      <c r="B17" s="235"/>
      <c r="C17" s="25"/>
      <c r="D17" s="25"/>
      <c r="E17" s="25"/>
      <c r="F17" s="218"/>
      <c r="G17" s="230"/>
      <c r="H17" s="25"/>
      <c r="I17" s="305" t="s">
        <v>292</v>
      </c>
      <c r="J17" s="305"/>
      <c r="K17" s="305"/>
      <c r="L17" s="305"/>
      <c r="M17" s="5"/>
      <c r="N17" s="186"/>
      <c r="O17" s="304" t="s">
        <v>254</v>
      </c>
      <c r="P17" s="304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2">
      <c r="A18" s="49" t="s">
        <v>165</v>
      </c>
      <c r="B18" s="189" t="str">
        <f>IF('Données projet'!$B$9="","",'Données projet'!$B$9)</f>
        <v>Pin maritime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1" t="s">
        <v>291</v>
      </c>
      <c r="P18" s="271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2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1" t="s">
        <v>255</v>
      </c>
      <c r="P19" s="271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2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Pin maritime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1228.1117909919089</v>
      </c>
      <c r="K20" s="193">
        <f>'Données projet'!D9</f>
        <v>1</v>
      </c>
      <c r="L20" s="192">
        <f>K20*J20</f>
        <v>1228.1117909919089</v>
      </c>
      <c r="M20" s="25"/>
      <c r="N20" s="186"/>
      <c r="O20" s="271" t="s">
        <v>290</v>
      </c>
      <c r="P20" s="271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2">
      <c r="A21" s="214">
        <v>0</v>
      </c>
      <c r="B21" s="217" t="s">
        <v>132</v>
      </c>
      <c r="C21" s="216" t="s">
        <v>132</v>
      </c>
      <c r="D21" s="215" t="s">
        <v>132</v>
      </c>
      <c r="E21" s="210">
        <v>1075</v>
      </c>
      <c r="F21" s="218"/>
      <c r="G21" s="231"/>
      <c r="H21" s="25"/>
      <c r="I21" s="188" t="str">
        <f>B44</f>
        <v>Cèdre de l'Atlas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-1556.7304724637163</v>
      </c>
      <c r="K21" s="193">
        <f>'Données projet'!D10</f>
        <v>1</v>
      </c>
      <c r="L21" s="192">
        <f t="shared" ref="L21:L29" si="0">K21*J21</f>
        <v>-1556.7304724637163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2">
      <c r="A22" s="195">
        <f>'Données projet'!A36</f>
        <v>15</v>
      </c>
      <c r="B22" s="196">
        <f>'Données projet'!D36</f>
        <v>0</v>
      </c>
      <c r="C22" s="210">
        <f>'Données projet'!E36*42+('Données projet'!F36+'Données projet'!G36)*19.4+'Données projet'!H36*10</f>
        <v>19.399999999999999</v>
      </c>
      <c r="D22" s="197">
        <f>B22*C22</f>
        <v>0</v>
      </c>
      <c r="E22" s="210"/>
      <c r="F22" s="218"/>
      <c r="G22" s="227"/>
      <c r="H22" s="25"/>
      <c r="I22" s="188" t="str">
        <f>B70</f>
        <v>Pin laricio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1513.4215292417166</v>
      </c>
      <c r="K22" s="193">
        <f>'Données projet'!D11</f>
        <v>1</v>
      </c>
      <c r="L22" s="192">
        <f t="shared" si="0"/>
        <v>1513.4215292417166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2">
      <c r="A23" s="195">
        <f>'Données projet'!A37</f>
        <v>20</v>
      </c>
      <c r="B23" s="196">
        <f>'Données projet'!D37</f>
        <v>15</v>
      </c>
      <c r="C23" s="210">
        <f>'Données projet'!E37*42+('Données projet'!F37+'Données projet'!G37)*19.4+'Données projet'!H37*10</f>
        <v>19.399999999999999</v>
      </c>
      <c r="D23" s="197">
        <f t="shared" ref="D23:D41" si="1">B23*C23</f>
        <v>291</v>
      </c>
      <c r="E23" s="210"/>
      <c r="F23" s="219"/>
      <c r="G23" s="227"/>
      <c r="H23" s="25"/>
      <c r="I23" s="188" t="str">
        <f>B96</f>
        <v>Pin taeda</v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1178.1117909919089</v>
      </c>
      <c r="K23" s="193">
        <f>'Données projet'!D12</f>
        <v>1</v>
      </c>
      <c r="L23" s="192">
        <f t="shared" si="0"/>
        <v>1178.1117909919089</v>
      </c>
      <c r="M23" s="226"/>
      <c r="N23" s="198"/>
      <c r="O23" s="308" t="s">
        <v>261</v>
      </c>
      <c r="P23" s="308"/>
      <c r="Q23" s="308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2">
      <c r="A24" s="195">
        <f>'Données projet'!A38</f>
        <v>25</v>
      </c>
      <c r="B24" s="196">
        <f>'Données projet'!D38</f>
        <v>35</v>
      </c>
      <c r="C24" s="210">
        <f>'Données projet'!E38*42+('Données projet'!F38+'Données projet'!G38)*19.4+'Données projet'!H38*10</f>
        <v>19.399999999999999</v>
      </c>
      <c r="D24" s="197">
        <f t="shared" si="1"/>
        <v>679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06" t="s">
        <v>286</v>
      </c>
      <c r="P24" s="306"/>
      <c r="Q24" s="306"/>
      <c r="R24" s="306"/>
      <c r="S24" s="306"/>
      <c r="T24" s="209">
        <v>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2">
      <c r="A25" s="195">
        <f>'Données projet'!A39</f>
        <v>30</v>
      </c>
      <c r="B25" s="196">
        <f>'Données projet'!D39</f>
        <v>35</v>
      </c>
      <c r="C25" s="210">
        <f>'Données projet'!E39*42+('Données projet'!F39+'Données projet'!G39)*19.4+'Données projet'!H39*10</f>
        <v>19.399999999999999</v>
      </c>
      <c r="D25" s="197">
        <f t="shared" si="1"/>
        <v>679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07" t="s">
        <v>258</v>
      </c>
      <c r="P25" s="307"/>
      <c r="Q25" s="307"/>
      <c r="R25" s="307"/>
      <c r="S25" s="307"/>
      <c r="T25" s="307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2">
      <c r="A26" s="195">
        <f>'Données projet'!A40</f>
        <v>35</v>
      </c>
      <c r="B26" s="196">
        <f>'Données projet'!D40</f>
        <v>35</v>
      </c>
      <c r="C26" s="210">
        <f>'Données projet'!E40*42+('Données projet'!F40+'Données projet'!G40)*19.4+'Données projet'!H40*10</f>
        <v>23.92</v>
      </c>
      <c r="D26" s="197">
        <f t="shared" si="1"/>
        <v>837.2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07"/>
      <c r="P26" s="307"/>
      <c r="Q26" s="307"/>
      <c r="R26" s="307"/>
      <c r="S26" s="307"/>
      <c r="T26" s="307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2">
      <c r="A27" s="195">
        <f>'Données projet'!A41</f>
        <v>40</v>
      </c>
      <c r="B27" s="196">
        <f>'Données projet'!D41</f>
        <v>35</v>
      </c>
      <c r="C27" s="210">
        <f>'Données projet'!E41*42+('Données projet'!F41+'Données projet'!G41)*19.4+'Données projet'!H41*10</f>
        <v>28.44</v>
      </c>
      <c r="D27" s="197">
        <f t="shared" si="1"/>
        <v>995.40000000000009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2">
      <c r="A28" s="195">
        <f>'Données projet'!A42</f>
        <v>45</v>
      </c>
      <c r="B28" s="196">
        <f>'Données projet'!D42</f>
        <v>35</v>
      </c>
      <c r="C28" s="210">
        <f>'Données projet'!E42*42+('Données projet'!F42+'Données projet'!G42)*19.4+'Données projet'!H42*10</f>
        <v>32.96</v>
      </c>
      <c r="D28" s="197">
        <f t="shared" si="1"/>
        <v>1153.6000000000001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">
      <c r="A29" s="195">
        <f>'Données projet'!A43</f>
        <v>50</v>
      </c>
      <c r="B29" s="196">
        <f>'Données projet'!D43</f>
        <v>305</v>
      </c>
      <c r="C29" s="210">
        <f>'Données projet'!E43*42+('Données projet'!F43+'Données projet'!G43)*19.4+'Données projet'!H43*10</f>
        <v>37.480000000000004</v>
      </c>
      <c r="D29" s="197">
        <f t="shared" si="1"/>
        <v>11431.400000000001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">
      <c r="A30" s="195">
        <f>'Données projet'!A44</f>
        <v>0</v>
      </c>
      <c r="B30" s="196">
        <f>'Données projet'!D44</f>
        <v>0</v>
      </c>
      <c r="C30" s="210">
        <f>'Données projet'!E44*42+('Données projet'!F44+'Données projet'!G44)*19.4+'Données projet'!H44*10</f>
        <v>0</v>
      </c>
      <c r="D30" s="197">
        <f t="shared" si="1"/>
        <v>0</v>
      </c>
      <c r="E30" s="210"/>
      <c r="F30" s="219"/>
      <c r="G30" s="227"/>
      <c r="H30" s="25"/>
      <c r="M30" s="5"/>
      <c r="N30" s="186"/>
      <c r="O30" s="301" t="s">
        <v>260</v>
      </c>
      <c r="P30" s="301"/>
      <c r="Q30" s="302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2">
      <c r="A31" s="195">
        <f>'Données projet'!A45</f>
        <v>0</v>
      </c>
      <c r="B31" s="196">
        <f>'Données projet'!D45</f>
        <v>0</v>
      </c>
      <c r="C31" s="210">
        <f>'Données projet'!E45*42+('Données projet'!F45+'Données projet'!G45)*19.4+'Données projet'!H45*10</f>
        <v>0</v>
      </c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1" t="s">
        <v>297</v>
      </c>
      <c r="P31" s="301"/>
      <c r="Q31" s="302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2">
      <c r="A32" s="195">
        <f>'Données projet'!A46</f>
        <v>0</v>
      </c>
      <c r="B32" s="196">
        <f>'Données projet'!D46</f>
        <v>0</v>
      </c>
      <c r="C32" s="210">
        <f>'Données projet'!E46*42+('Données projet'!F46+'Données projet'!G46)*19.4+'Données projet'!H46*10</f>
        <v>0</v>
      </c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">
      <c r="A33" s="195">
        <f>'Données projet'!A47</f>
        <v>0</v>
      </c>
      <c r="B33" s="196">
        <f>'Données projet'!D47</f>
        <v>0</v>
      </c>
      <c r="C33" s="210">
        <f>'Données projet'!E47*42+('Données projet'!F47+'Données projet'!G47)*19.4+'Données projet'!H47*10</f>
        <v>0</v>
      </c>
      <c r="D33" s="197">
        <f t="shared" si="1"/>
        <v>0</v>
      </c>
      <c r="E33" s="210"/>
      <c r="F33" s="219"/>
      <c r="G33" s="227"/>
      <c r="H33" s="25"/>
      <c r="I33" s="188" t="s">
        <v>265</v>
      </c>
      <c r="J33" s="311">
        <f>SUM(L20:L29) - (J12/(1+J6)^I12 + J13/(1+J6)^I13 + J14/(1+J6)^I14 + J15/(1+J6)^I15 + J16/(1+J6)^I16 + J9/(1+J6)^I9)*'Données projet'!C5</f>
        <v>-5623.0523474208476</v>
      </c>
      <c r="K33" s="311"/>
      <c r="L33" s="311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">
      <c r="A34" s="195">
        <f>'Données projet'!A48</f>
        <v>0</v>
      </c>
      <c r="B34" s="196">
        <f>'Données projet'!D48</f>
        <v>0</v>
      </c>
      <c r="C34" s="210">
        <f>'Données projet'!E48*42+('Données projet'!F48+'Données projet'!G48)*19.4+'Données projet'!H48*10</f>
        <v>0</v>
      </c>
      <c r="D34" s="197">
        <f t="shared" si="1"/>
        <v>0</v>
      </c>
      <c r="E34" s="210"/>
      <c r="F34" s="219"/>
      <c r="G34" s="227"/>
      <c r="H34" s="25"/>
      <c r="I34" s="188" t="s">
        <v>262</v>
      </c>
      <c r="J34" s="312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12"/>
      <c r="L34" s="312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">
      <c r="A35" s="195">
        <f>'Données projet'!A49</f>
        <v>0</v>
      </c>
      <c r="B35" s="196">
        <f>'Données projet'!D49</f>
        <v>0</v>
      </c>
      <c r="C35" s="210">
        <f>'Données projet'!E49*42+('Données projet'!F49+'Données projet'!G49)*19.4+'Données projet'!H49*10</f>
        <v>0</v>
      </c>
      <c r="D35" s="197">
        <f t="shared" si="1"/>
        <v>0</v>
      </c>
      <c r="E35" s="210"/>
      <c r="F35" s="219"/>
      <c r="G35" s="227"/>
      <c r="H35" s="25"/>
      <c r="I35" s="202" t="s">
        <v>267</v>
      </c>
      <c r="J35" s="313">
        <f ca="1">J33-J34</f>
        <v>-5623.0523474208476</v>
      </c>
      <c r="K35" s="313"/>
      <c r="L35" s="313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">
      <c r="A36" s="195">
        <f>'Données projet'!A50</f>
        <v>0</v>
      </c>
      <c r="B36" s="196">
        <f>'Données projet'!D50</f>
        <v>0</v>
      </c>
      <c r="C36" s="210">
        <f>'Données projet'!E50*42+('Données projet'!F50+'Données projet'!G50)*19.4+'Données projet'!H50*10</f>
        <v>0</v>
      </c>
      <c r="D36" s="197">
        <f t="shared" si="1"/>
        <v>0</v>
      </c>
      <c r="E36" s="210"/>
      <c r="F36" s="219"/>
      <c r="G36" s="227"/>
      <c r="H36" s="25"/>
      <c r="I36" s="202" t="s">
        <v>266</v>
      </c>
      <c r="J36" s="310" t="str">
        <f ca="1">IF(J35&lt;0,"Votre projet est additionnel","Votre projet n'est pas additionnel")</f>
        <v>Votre projet est additionnel</v>
      </c>
      <c r="K36" s="310"/>
      <c r="L36" s="310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">
      <c r="A37" s="195">
        <f>'Données projet'!A51</f>
        <v>0</v>
      </c>
      <c r="B37" s="196">
        <f>'Données projet'!D51</f>
        <v>0</v>
      </c>
      <c r="C37" s="210">
        <f>'Données projet'!E51*42+('Données projet'!F51+'Données projet'!G51)*19.4+'Données projet'!H51*10</f>
        <v>0</v>
      </c>
      <c r="D37" s="197">
        <f t="shared" si="1"/>
        <v>0</v>
      </c>
      <c r="E37" s="210"/>
      <c r="F37" s="219"/>
      <c r="G37" s="227"/>
      <c r="H37" s="25"/>
      <c r="I37" s="314" t="s">
        <v>268</v>
      </c>
      <c r="J37" s="314"/>
      <c r="K37" s="314"/>
      <c r="L37" s="314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">
      <c r="A38" s="195">
        <f>'Données projet'!A52</f>
        <v>0</v>
      </c>
      <c r="B38" s="196">
        <f>'Données projet'!D52</f>
        <v>0</v>
      </c>
      <c r="C38" s="210">
        <f>'Données projet'!E52*42+('Données projet'!F52+'Données projet'!G52)*19.4+'Données projet'!H52*10</f>
        <v>0</v>
      </c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2">
      <c r="A42" s="203"/>
      <c r="B42" s="203"/>
      <c r="C42" s="203"/>
      <c r="D42" s="203"/>
      <c r="E42" s="305" t="s">
        <v>293</v>
      </c>
      <c r="F42" s="309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2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">
      <c r="A44" s="49" t="s">
        <v>166</v>
      </c>
      <c r="B44" s="189" t="str">
        <f>IF('Données projet'!$B$10="","",'Données projet'!$B$10)</f>
        <v>Cèdre de l'Atlas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2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2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2">
      <c r="A47" s="214">
        <v>0</v>
      </c>
      <c r="B47" s="217" t="s">
        <v>132</v>
      </c>
      <c r="C47" s="216" t="s">
        <v>132</v>
      </c>
      <c r="D47" s="215" t="s">
        <v>132</v>
      </c>
      <c r="E47" s="210">
        <v>2625</v>
      </c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">
      <c r="A48" s="195">
        <f>'Données projet'!A62</f>
        <v>30</v>
      </c>
      <c r="B48" s="196">
        <f>'Données projet'!D62</f>
        <v>40</v>
      </c>
      <c r="C48" s="210">
        <f>'Données projet'!E62*30+('Données projet'!F62+'Données projet'!G62)*19.4+'Données projet'!H62*10</f>
        <v>19.399999999999999</v>
      </c>
      <c r="D48" s="194">
        <f>B48*C48</f>
        <v>776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">
      <c r="A49" s="195">
        <f>'Données projet'!A63</f>
        <v>40</v>
      </c>
      <c r="B49" s="196">
        <f>'Données projet'!D63</f>
        <v>40</v>
      </c>
      <c r="C49" s="210">
        <f>'Données projet'!E63*30+('Données projet'!F63+'Données projet'!G63)*19.4+'Données projet'!H63*10</f>
        <v>21.52</v>
      </c>
      <c r="D49" s="194">
        <f t="shared" ref="D49:D67" si="4">B49*C49</f>
        <v>860.8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">
      <c r="A50" s="195">
        <f>'Données projet'!A64</f>
        <v>50</v>
      </c>
      <c r="B50" s="196">
        <f>'Données projet'!D64</f>
        <v>290</v>
      </c>
      <c r="C50" s="210">
        <f>'Données projet'!E64*30+('Données projet'!F64+'Données projet'!G64)*19.4+'Données projet'!H64*10</f>
        <v>26.82</v>
      </c>
      <c r="D50" s="194">
        <f t="shared" si="4"/>
        <v>7777.8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">
      <c r="A51" s="195">
        <f>'Données projet'!A65</f>
        <v>0</v>
      </c>
      <c r="B51" s="196">
        <f>'Données projet'!D65</f>
        <v>0</v>
      </c>
      <c r="C51" s="210">
        <f>'Données projet'!E65*30+('Données projet'!F65+'Données projet'!G65)*19.4+'Données projet'!H65*10</f>
        <v>0</v>
      </c>
      <c r="D51" s="194">
        <f t="shared" si="4"/>
        <v>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">
      <c r="A52" s="195">
        <f>'Données projet'!A66</f>
        <v>0</v>
      </c>
      <c r="B52" s="196">
        <f>'Données projet'!D66</f>
        <v>0</v>
      </c>
      <c r="C52" s="210">
        <f>'Données projet'!E66*30+('Données projet'!F66+'Données projet'!G66)*19.4+'Données projet'!H66*10</f>
        <v>0</v>
      </c>
      <c r="D52" s="194">
        <f t="shared" si="4"/>
        <v>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">
      <c r="A53" s="195">
        <f>'Données projet'!A67</f>
        <v>0</v>
      </c>
      <c r="B53" s="196">
        <f>'Données projet'!D67</f>
        <v>0</v>
      </c>
      <c r="C53" s="210">
        <f>'Données projet'!E67*30+('Données projet'!F67+'Données projet'!G67)*19.4+'Données projet'!H67*10</f>
        <v>0</v>
      </c>
      <c r="D53" s="194">
        <f t="shared" si="4"/>
        <v>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">
      <c r="A54" s="195">
        <f>'Données projet'!A68</f>
        <v>0</v>
      </c>
      <c r="B54" s="196">
        <f>'Données projet'!D68</f>
        <v>0</v>
      </c>
      <c r="C54" s="210">
        <f>'Données projet'!E68*30+('Données projet'!F68+'Données projet'!G68)*19.4+'Données projet'!H68*10</f>
        <v>0</v>
      </c>
      <c r="D54" s="194">
        <f t="shared" si="4"/>
        <v>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">
      <c r="A55" s="195">
        <f>'Données projet'!A69</f>
        <v>0</v>
      </c>
      <c r="B55" s="196">
        <f>'Données projet'!D69</f>
        <v>0</v>
      </c>
      <c r="C55" s="210">
        <f>'Données projet'!E69*30+('Données projet'!F69+'Données projet'!G69)*19.4+'Données projet'!H69*10</f>
        <v>0</v>
      </c>
      <c r="D55" s="194">
        <f t="shared" si="4"/>
        <v>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">
      <c r="A56" s="195">
        <f>'Données projet'!A70</f>
        <v>0</v>
      </c>
      <c r="B56" s="196">
        <f>'Données projet'!D70</f>
        <v>0</v>
      </c>
      <c r="C56" s="210">
        <f>'Données projet'!E70*30+('Données projet'!F70+'Données projet'!G70)*19.4+'Données projet'!H70*10</f>
        <v>0</v>
      </c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">
      <c r="A57" s="195">
        <f>'Données projet'!A71</f>
        <v>0</v>
      </c>
      <c r="B57" s="196">
        <f>'Données projet'!D71</f>
        <v>0</v>
      </c>
      <c r="C57" s="210">
        <f>'Données projet'!E71*30+('Données projet'!F71+'Données projet'!G71)*19.4+'Données projet'!H71*10</f>
        <v>0</v>
      </c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">
      <c r="A58" s="195">
        <f>'Données projet'!A72</f>
        <v>0</v>
      </c>
      <c r="B58" s="196">
        <f>'Données projet'!D72</f>
        <v>0</v>
      </c>
      <c r="C58" s="210">
        <f>'Données projet'!E72*30+('Données projet'!F72+'Données projet'!G72)*19.4+'Données projet'!H72*10</f>
        <v>0</v>
      </c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2">
      <c r="A59" s="195">
        <f>'Données projet'!A73</f>
        <v>0</v>
      </c>
      <c r="B59" s="196">
        <f>'Données projet'!D73</f>
        <v>0</v>
      </c>
      <c r="C59" s="210">
        <f>'Données projet'!E73*30+('Données projet'!F73+'Données projet'!G73)*19.4+'Données projet'!H73*10</f>
        <v>0</v>
      </c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2">
      <c r="A60" s="195">
        <f>'Données projet'!A74</f>
        <v>0</v>
      </c>
      <c r="B60" s="196">
        <f>'Données projet'!D74</f>
        <v>0</v>
      </c>
      <c r="C60" s="210">
        <f>'Données projet'!E74*30+('Données projet'!F74+'Données projet'!G74)*19.4+'Données projet'!H74*10</f>
        <v>0</v>
      </c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">
      <c r="A61" s="195">
        <f>'Données projet'!A75</f>
        <v>0</v>
      </c>
      <c r="B61" s="196">
        <f>'Données projet'!D75</f>
        <v>0</v>
      </c>
      <c r="C61" s="210">
        <f>'Données projet'!E75*30+('Données projet'!F75+'Données projet'!G75)*19.4+'Données projet'!H75*10</f>
        <v>0</v>
      </c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">
      <c r="A62" s="195">
        <f>'Données projet'!A76</f>
        <v>0</v>
      </c>
      <c r="B62" s="196">
        <f>'Données projet'!D76</f>
        <v>0</v>
      </c>
      <c r="C62" s="210">
        <f>'Données projet'!E76*30+('Données projet'!F76+'Données projet'!G76)*19.4+'Données projet'!H76*10</f>
        <v>0</v>
      </c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">
      <c r="A63" s="195">
        <f>'Données projet'!A77</f>
        <v>0</v>
      </c>
      <c r="B63" s="196">
        <f>'Données projet'!D77</f>
        <v>0</v>
      </c>
      <c r="C63" s="210">
        <f>'Données projet'!E77*30+('Données projet'!F77+'Données projet'!G77)*19.4+'Données projet'!H77*10</f>
        <v>0</v>
      </c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">
      <c r="A64" s="195">
        <f>'Données projet'!A78</f>
        <v>0</v>
      </c>
      <c r="B64" s="196">
        <f>'Données projet'!D78</f>
        <v>0</v>
      </c>
      <c r="C64" s="210">
        <f>'Données projet'!E78*30+('Données projet'!F78+'Données projet'!G78)*19.4+'Données projet'!H78*10</f>
        <v>0</v>
      </c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2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2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2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2">
      <c r="A70" s="49" t="s">
        <v>167</v>
      </c>
      <c r="B70" s="189" t="str">
        <f>IF('Données projet'!B11="","",'Données projet'!B11)</f>
        <v>Pin laricio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2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2">
      <c r="A73" s="214">
        <v>0</v>
      </c>
      <c r="B73" s="217" t="s">
        <v>132</v>
      </c>
      <c r="C73" s="216" t="s">
        <v>132</v>
      </c>
      <c r="D73" s="215" t="s">
        <v>132</v>
      </c>
      <c r="E73" s="210">
        <v>1250</v>
      </c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2">
      <c r="A74" s="195">
        <f>'Données projet'!A88</f>
        <v>15</v>
      </c>
      <c r="B74" s="196">
        <f>'Données projet'!D88</f>
        <v>0</v>
      </c>
      <c r="C74" s="210">
        <f>'Données projet'!E88*30+('Données projet'!F88+'Données projet'!G88)*19.4+'Données projet'!H88*10</f>
        <v>19.399999999999999</v>
      </c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2">
      <c r="A75" s="195">
        <f>'Données projet'!A89</f>
        <v>20</v>
      </c>
      <c r="B75" s="196">
        <f>'Données projet'!D89</f>
        <v>42</v>
      </c>
      <c r="C75" s="210">
        <f>'Données projet'!E89*30+('Données projet'!F89+'Données projet'!G89)*19.4+'Données projet'!H89*10</f>
        <v>19.399999999999999</v>
      </c>
      <c r="D75" s="194">
        <f t="shared" ref="D75:D93" si="7">B75*C75</f>
        <v>814.8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2">
      <c r="A76" s="195">
        <f>'Données projet'!A90</f>
        <v>25</v>
      </c>
      <c r="B76" s="196">
        <f>'Données projet'!D90</f>
        <v>49</v>
      </c>
      <c r="C76" s="210">
        <f>'Données projet'!E90*30+('Données projet'!F90+'Données projet'!G90)*19.4+'Données projet'!H90*10</f>
        <v>19.399999999999999</v>
      </c>
      <c r="D76" s="194">
        <f t="shared" si="7"/>
        <v>950.59999999999991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">
      <c r="A77" s="195">
        <f>'Données projet'!A91</f>
        <v>30</v>
      </c>
      <c r="B77" s="196">
        <f>'Données projet'!D91</f>
        <v>49</v>
      </c>
      <c r="C77" s="210">
        <f>'Données projet'!E91*30+('Données projet'!F91+'Données projet'!G91)*19.4+'Données projet'!H91*10</f>
        <v>19.399999999999999</v>
      </c>
      <c r="D77" s="194">
        <f t="shared" si="7"/>
        <v>950.59999999999991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2">
      <c r="A78" s="195">
        <f>'Données projet'!A92</f>
        <v>35</v>
      </c>
      <c r="B78" s="196">
        <f>'Données projet'!D92</f>
        <v>49</v>
      </c>
      <c r="C78" s="210">
        <f>'Données projet'!E92*30+('Données projet'!F92+'Données projet'!G92)*19.4+'Données projet'!H92*10</f>
        <v>21.52</v>
      </c>
      <c r="D78" s="194">
        <f t="shared" si="7"/>
        <v>1054.48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">
      <c r="A79" s="195">
        <f>'Données projet'!A93</f>
        <v>40</v>
      </c>
      <c r="B79" s="196">
        <f>'Données projet'!D93</f>
        <v>49</v>
      </c>
      <c r="C79" s="210">
        <f>'Données projet'!E93*30+('Données projet'!F93+'Données projet'!G93)*19.4+'Données projet'!H93*10</f>
        <v>23.64</v>
      </c>
      <c r="D79" s="194">
        <f t="shared" si="7"/>
        <v>1158.3600000000001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">
      <c r="A80" s="195">
        <f>'Données projet'!A94</f>
        <v>45</v>
      </c>
      <c r="B80" s="196">
        <f>'Données projet'!D94</f>
        <v>49</v>
      </c>
      <c r="C80" s="210">
        <f>'Données projet'!E94*30+('Données projet'!F94+'Données projet'!G94)*19.4+'Données projet'!H94*10</f>
        <v>25.759999999999998</v>
      </c>
      <c r="D80" s="194">
        <f t="shared" si="7"/>
        <v>1262.24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 t="str">
        <f>IF(R79+1&lt;=MIN('Données projet'!$E$9:$E$18),R79+1,"STOP")</f>
        <v>STOP</v>
      </c>
      <c r="S80" s="201" t="e">
        <f t="shared" si="6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">
      <c r="A81" s="195">
        <f>'Données projet'!A95</f>
        <v>50</v>
      </c>
      <c r="B81" s="196">
        <f>'Données projet'!D95</f>
        <v>407</v>
      </c>
      <c r="C81" s="210">
        <f>'Données projet'!E95*30+('Données projet'!F95+'Données projet'!G95)*19.4+'Données projet'!H95*10</f>
        <v>27.88</v>
      </c>
      <c r="D81" s="194">
        <f t="shared" si="7"/>
        <v>11347.16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 t="e">
        <f>IF(R80+1&lt;=MIN('Données projet'!$E$9:$E$18),R80+1,"STOP")</f>
        <v>#VALUE!</v>
      </c>
      <c r="S81" s="201" t="e">
        <f t="shared" si="6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2">
      <c r="A82" s="195">
        <f>'Données projet'!A96</f>
        <v>0</v>
      </c>
      <c r="B82" s="196">
        <f>'Données projet'!D96</f>
        <v>0</v>
      </c>
      <c r="C82" s="210">
        <f>'Données projet'!E96*150+('Données projet'!F96+'Données projet'!G96)*19.4+'Données projet'!H96*10</f>
        <v>0</v>
      </c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 t="e">
        <f>IF(R81+1&lt;=MIN('Données projet'!$E$9:$E$18),R81+1,"STOP")</f>
        <v>#VALUE!</v>
      </c>
      <c r="S82" s="201" t="e">
        <f t="shared" si="6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2">
      <c r="A83" s="195">
        <f>'Données projet'!A97</f>
        <v>0</v>
      </c>
      <c r="B83" s="196">
        <f>'Données projet'!D97</f>
        <v>0</v>
      </c>
      <c r="C83" s="210">
        <f>'Données projet'!E97*150+('Données projet'!F97+'Données projet'!G97)*19.4+'Données projet'!H97*10</f>
        <v>0</v>
      </c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 t="e">
        <f>IF(R82+1&lt;=MIN('Données projet'!$E$9:$E$18),R82+1,"STOP")</f>
        <v>#VALUE!</v>
      </c>
      <c r="S83" s="201" t="e">
        <f t="shared" si="6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2">
      <c r="A84" s="195">
        <f>'Données projet'!A98</f>
        <v>0</v>
      </c>
      <c r="B84" s="196">
        <f>'Données projet'!D98</f>
        <v>0</v>
      </c>
      <c r="C84" s="210">
        <f>'Données projet'!E98*150+('Données projet'!F98+'Données projet'!G98)*19.4+'Données projet'!H98*10</f>
        <v>0</v>
      </c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 t="e">
        <f>IF(R83+1&lt;=MIN('Données projet'!$E$9:$E$18),R83+1,"STOP")</f>
        <v>#VALUE!</v>
      </c>
      <c r="S84" s="201" t="e">
        <f t="shared" si="6"/>
        <v>#VALUE!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">
      <c r="A85" s="195">
        <f>'Données projet'!A99</f>
        <v>0</v>
      </c>
      <c r="B85" s="196">
        <f>'Données projet'!D99</f>
        <v>0</v>
      </c>
      <c r="C85" s="210">
        <f>'Données projet'!E99*150+('Données projet'!F99+'Données projet'!G99)*19.4+'Données projet'!H99*10</f>
        <v>0</v>
      </c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 t="e">
        <f>IF(R84+1&lt;=MIN('Données projet'!$E$9:$E$18),R84+1,"STOP")</f>
        <v>#VALUE!</v>
      </c>
      <c r="S85" s="201" t="e">
        <f t="shared" si="6"/>
        <v>#VALUE!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2">
      <c r="A86" s="195">
        <f>'Données projet'!A100</f>
        <v>0</v>
      </c>
      <c r="B86" s="196">
        <f>'Données projet'!D100</f>
        <v>0</v>
      </c>
      <c r="C86" s="210">
        <f>'Données projet'!E100*150+('Données projet'!F100+'Données projet'!G100)*19.4+'Données projet'!H100*10</f>
        <v>0</v>
      </c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 t="e">
        <f>IF(R85+1&lt;=MIN('Données projet'!$E$9:$E$18),R85+1,"STOP")</f>
        <v>#VALUE!</v>
      </c>
      <c r="S86" s="201" t="e">
        <f t="shared" si="6"/>
        <v>#VALUE!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2">
      <c r="A87" s="195">
        <f>'Données projet'!A101</f>
        <v>0</v>
      </c>
      <c r="B87" s="196">
        <f>'Données projet'!D101</f>
        <v>0</v>
      </c>
      <c r="C87" s="210">
        <f>'Données projet'!E101*150+('Données projet'!F101+'Données projet'!G101)*19.4+'Données projet'!H101*10</f>
        <v>0</v>
      </c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 t="e">
        <f>IF(R86+1&lt;=MIN('Données projet'!$E$9:$E$18),R86+1,"STOP")</f>
        <v>#VALUE!</v>
      </c>
      <c r="S87" s="201" t="e">
        <f t="shared" si="6"/>
        <v>#VALUE!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2">
      <c r="A88" s="195">
        <f>'Données projet'!A102</f>
        <v>0</v>
      </c>
      <c r="B88" s="196">
        <f>'Données projet'!D102</f>
        <v>0</v>
      </c>
      <c r="C88" s="210">
        <f>'Données projet'!E102*150+('Données projet'!F102+'Données projet'!G102)*19.4+'Données projet'!H102*10</f>
        <v>0</v>
      </c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 t="e">
        <f>IF(R87+1&lt;=MIN('Données projet'!$E$9:$E$18),R87+1,"STOP")</f>
        <v>#VALUE!</v>
      </c>
      <c r="S88" s="201" t="e">
        <f t="shared" si="6"/>
        <v>#VALUE!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2">
      <c r="A89" s="195">
        <f>'Données projet'!A103</f>
        <v>0</v>
      </c>
      <c r="B89" s="196">
        <f>'Données projet'!D103</f>
        <v>0</v>
      </c>
      <c r="C89" s="210">
        <f>'Données projet'!E103*150+('Données projet'!F103+'Données projet'!G103)*19.4+'Données projet'!H103*10</f>
        <v>0</v>
      </c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 t="e">
        <f>IF(R88+1&lt;=MIN('Données projet'!$E$9:$E$18),R88+1,"STOP")</f>
        <v>#VALUE!</v>
      </c>
      <c r="S89" s="201" t="e">
        <f t="shared" si="6"/>
        <v>#VALUE!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2">
      <c r="A90" s="195">
        <f>'Données projet'!A104</f>
        <v>0</v>
      </c>
      <c r="B90" s="196">
        <f>'Données projet'!D104</f>
        <v>0</v>
      </c>
      <c r="C90" s="210">
        <f>'Données projet'!E104*150+('Données projet'!F104+'Données projet'!G104)*19.4+'Données projet'!H104*10</f>
        <v>0</v>
      </c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e">
        <f>IF(R89+1&lt;=MIN('Données projet'!$E$9:$E$18),R89+1,"STOP")</f>
        <v>#VALUE!</v>
      </c>
      <c r="S90" s="201" t="e">
        <f t="shared" si="6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2">
      <c r="A91" s="195">
        <f>'Données projet'!A105</f>
        <v>0</v>
      </c>
      <c r="B91" s="196">
        <f>'Données projet'!D105</f>
        <v>0</v>
      </c>
      <c r="C91" s="210">
        <f>'Données projet'!E105*150+('Données projet'!F105+'Données projet'!G105)*19.4+'Données projet'!H105*10</f>
        <v>0</v>
      </c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6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2">
      <c r="A92" s="195">
        <f>'Données projet'!A106</f>
        <v>0</v>
      </c>
      <c r="B92" s="196">
        <f>'Données projet'!D106</f>
        <v>0</v>
      </c>
      <c r="C92" s="210">
        <f>'Données projet'!E106*150+('Données projet'!F106+'Données projet'!G106)*19.4+'Données projet'!H106*10</f>
        <v>0</v>
      </c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6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">
      <c r="A93" s="195">
        <f>'Données projet'!A107</f>
        <v>0</v>
      </c>
      <c r="B93" s="196">
        <f>'Données projet'!D107</f>
        <v>0</v>
      </c>
      <c r="C93" s="210">
        <f>'Données projet'!E107*150+('Données projet'!F107+'Données projet'!G107)*19.4+'Données projet'!H107*10</f>
        <v>0</v>
      </c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8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8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2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8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2">
      <c r="A96" s="49" t="s">
        <v>168</v>
      </c>
      <c r="B96" s="189" t="str">
        <f>IF('Données projet'!B12="","",'Données projet'!B12)</f>
        <v>Pin taeda</v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8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2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8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2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8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2">
      <c r="A99" s="214">
        <v>0</v>
      </c>
      <c r="B99" s="217" t="s">
        <v>132</v>
      </c>
      <c r="C99" s="216" t="s">
        <v>132</v>
      </c>
      <c r="D99" s="215" t="s">
        <v>132</v>
      </c>
      <c r="E99" s="210">
        <v>1125</v>
      </c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9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2">
      <c r="A100" s="195">
        <f>'Données projet'!A114</f>
        <v>15</v>
      </c>
      <c r="B100" s="196">
        <f>'Données projet'!D114</f>
        <v>0</v>
      </c>
      <c r="C100" s="210">
        <f>'Données projet'!E114*42+('Données projet'!F114+'Données projet'!G114)*19.4+'Données projet'!H114*10</f>
        <v>19.399999999999999</v>
      </c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2">
      <c r="A101" s="195">
        <f>'Données projet'!A115</f>
        <v>20</v>
      </c>
      <c r="B101" s="196">
        <f>'Données projet'!D115</f>
        <v>15</v>
      </c>
      <c r="C101" s="210">
        <f>'Données projet'!E115*42+('Données projet'!F115+'Données projet'!G115)*19.4+'Données projet'!H115*10</f>
        <v>19.399999999999999</v>
      </c>
      <c r="D101" s="194">
        <f t="shared" ref="D101:D119" si="10">B101*C101</f>
        <v>291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2">
      <c r="A102" s="195">
        <f>'Données projet'!A116</f>
        <v>25</v>
      </c>
      <c r="B102" s="196">
        <f>'Données projet'!D116</f>
        <v>35</v>
      </c>
      <c r="C102" s="210">
        <f>'Données projet'!E116*42+('Données projet'!F116+'Données projet'!G116)*19.4+'Données projet'!H116*10</f>
        <v>19.399999999999999</v>
      </c>
      <c r="D102" s="194">
        <f t="shared" si="10"/>
        <v>679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2">
      <c r="A103" s="195">
        <f>'Données projet'!A117</f>
        <v>30</v>
      </c>
      <c r="B103" s="196">
        <f>'Données projet'!D117</f>
        <v>35</v>
      </c>
      <c r="C103" s="210">
        <f>'Données projet'!E117*42+('Données projet'!F117+'Données projet'!G117)*19.4+'Données projet'!H117*10</f>
        <v>19.399999999999999</v>
      </c>
      <c r="D103" s="194">
        <f t="shared" si="10"/>
        <v>679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2">
      <c r="A104" s="195">
        <f>'Données projet'!A118</f>
        <v>35</v>
      </c>
      <c r="B104" s="196">
        <f>'Données projet'!D118</f>
        <v>35</v>
      </c>
      <c r="C104" s="210">
        <f>'Données projet'!E118*42+('Données projet'!F118+'Données projet'!G118)*19.4+'Données projet'!H118*10</f>
        <v>23.92</v>
      </c>
      <c r="D104" s="194">
        <f t="shared" si="10"/>
        <v>837.2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2">
      <c r="A105" s="195">
        <f>'Données projet'!A119</f>
        <v>40</v>
      </c>
      <c r="B105" s="196">
        <f>'Données projet'!D119</f>
        <v>35</v>
      </c>
      <c r="C105" s="210">
        <f>'Données projet'!E119*42+('Données projet'!F119+'Données projet'!G119)*19.4+'Données projet'!H119*10</f>
        <v>28.44</v>
      </c>
      <c r="D105" s="194">
        <f t="shared" si="10"/>
        <v>995.40000000000009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2">
      <c r="A106" s="195">
        <f>'Données projet'!A120</f>
        <v>45</v>
      </c>
      <c r="B106" s="196">
        <f>'Données projet'!D120</f>
        <v>35</v>
      </c>
      <c r="C106" s="210">
        <f>'Données projet'!E120*42+('Données projet'!F120+'Données projet'!G120)*19.4+'Données projet'!H120*10</f>
        <v>32.96</v>
      </c>
      <c r="D106" s="194">
        <f t="shared" si="10"/>
        <v>1153.6000000000001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2">
      <c r="A107" s="195">
        <f>'Données projet'!A121</f>
        <v>50</v>
      </c>
      <c r="B107" s="196">
        <f>'Données projet'!D121</f>
        <v>305</v>
      </c>
      <c r="C107" s="210">
        <f>'Données projet'!E121*42+('Données projet'!F121+'Données projet'!G121)*19.4+'Données projet'!H121*10</f>
        <v>37.480000000000004</v>
      </c>
      <c r="D107" s="194">
        <f t="shared" si="10"/>
        <v>11431.400000000001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2">
      <c r="A108" s="195">
        <f>'Données projet'!A122</f>
        <v>0</v>
      </c>
      <c r="B108" s="196">
        <f>'Données projet'!D122</f>
        <v>0</v>
      </c>
      <c r="C108" s="210">
        <f>'Données projet'!E122*42+('Données projet'!F122+'Données projet'!G122)*19.4+'Données projet'!H122*10</f>
        <v>0</v>
      </c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2">
      <c r="A109" s="195">
        <f>'Données projet'!A123</f>
        <v>0</v>
      </c>
      <c r="B109" s="196">
        <f>'Données projet'!D123</f>
        <v>0</v>
      </c>
      <c r="C109" s="210">
        <f>'Données projet'!E123*42+('Données projet'!F123+'Données projet'!G123)*19.4+'Données projet'!H123*10</f>
        <v>0</v>
      </c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2">
      <c r="A110" s="195">
        <f>'Données projet'!A124</f>
        <v>0</v>
      </c>
      <c r="B110" s="196">
        <f>'Données projet'!D124</f>
        <v>0</v>
      </c>
      <c r="C110" s="210">
        <f>'Données projet'!E124*42+('Données projet'!F124+'Données projet'!G124)*19.4+'Données projet'!H124*10</f>
        <v>0</v>
      </c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2">
      <c r="A111" s="195">
        <f>'Données projet'!A125</f>
        <v>0</v>
      </c>
      <c r="B111" s="196">
        <f>'Données projet'!D125</f>
        <v>0</v>
      </c>
      <c r="C111" s="210">
        <f>'Données projet'!E125*42+('Données projet'!F125+'Données projet'!G125)*19.4+'Données projet'!H125*10</f>
        <v>0</v>
      </c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2">
      <c r="A112" s="195">
        <f>'Données projet'!A126</f>
        <v>0</v>
      </c>
      <c r="B112" s="196">
        <f>'Données projet'!D126</f>
        <v>0</v>
      </c>
      <c r="C112" s="210">
        <f>'Données projet'!E126*42+('Données projet'!F126+'Données projet'!G126)*19.4+'Données projet'!H126*10</f>
        <v>0</v>
      </c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2">
      <c r="A113" s="195">
        <f>'Données projet'!A127</f>
        <v>0</v>
      </c>
      <c r="B113" s="196">
        <f>'Données projet'!D127</f>
        <v>0</v>
      </c>
      <c r="C113" s="210">
        <f>'Données projet'!E127*42+('Données projet'!F127+'Données projet'!G127)*19.4+'Données projet'!H127*10</f>
        <v>0</v>
      </c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2">
      <c r="A114" s="195">
        <f>'Données projet'!A128</f>
        <v>0</v>
      </c>
      <c r="B114" s="196">
        <f>'Données projet'!D128</f>
        <v>0</v>
      </c>
      <c r="C114" s="210">
        <f>'Données projet'!E128*42+('Données projet'!F128+'Données projet'!G128)*19.4+'Données projet'!H128*10</f>
        <v>0</v>
      </c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2">
      <c r="A115" s="195">
        <f>'Données projet'!A129</f>
        <v>0</v>
      </c>
      <c r="B115" s="196">
        <f>'Données projet'!D129</f>
        <v>0</v>
      </c>
      <c r="C115" s="210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2">
      <c r="A116" s="195">
        <f>'Données projet'!A130</f>
        <v>0</v>
      </c>
      <c r="B116" s="196">
        <f>'Données projet'!D130</f>
        <v>0</v>
      </c>
      <c r="C116" s="210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2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2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2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2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2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2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2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2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2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2">
      <c r="A126" s="45">
        <f>'Données projet'!A140</f>
        <v>0</v>
      </c>
      <c r="B126" s="190">
        <f>'Données projet'!D140</f>
        <v>0</v>
      </c>
      <c r="C126" s="210">
        <f>'Données projet'!E140*60+('Données projet'!F140+'Données projet'!G140)*19.4+'Données projet'!H140*10</f>
        <v>0</v>
      </c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2">
      <c r="A127" s="45">
        <f>'Données projet'!A141</f>
        <v>0</v>
      </c>
      <c r="B127" s="190">
        <f>'Données projet'!D141</f>
        <v>0</v>
      </c>
      <c r="C127" s="210">
        <f>'Données projet'!E141*60+('Données projet'!F141+'Données projet'!G141)*19.4+'Données projet'!H141*10</f>
        <v>0</v>
      </c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2">
      <c r="A128" s="45">
        <f>'Données projet'!A142</f>
        <v>0</v>
      </c>
      <c r="B128" s="190">
        <f>'Données projet'!D142</f>
        <v>0</v>
      </c>
      <c r="C128" s="210">
        <f>'Données projet'!E142*60+('Données projet'!F142+'Données projet'!G142)*19.4+'Données projet'!H142*10</f>
        <v>0</v>
      </c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2">
      <c r="A129" s="45">
        <f>'Données projet'!A143</f>
        <v>0</v>
      </c>
      <c r="B129" s="190">
        <f>'Données projet'!D143</f>
        <v>0</v>
      </c>
      <c r="C129" s="210">
        <f>'Données projet'!E143*60+('Données projet'!F143+'Données projet'!G143)*19.4+'Données projet'!H143*10</f>
        <v>0</v>
      </c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2">
      <c r="A130" s="45">
        <f>'Données projet'!A144</f>
        <v>0</v>
      </c>
      <c r="B130" s="190">
        <f>'Données projet'!D144</f>
        <v>0</v>
      </c>
      <c r="C130" s="210">
        <f>'Données projet'!E144*60+('Données projet'!F144+'Données projet'!G144)*19.4+'Données projet'!H144*10</f>
        <v>0</v>
      </c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2">
      <c r="A131" s="45">
        <f>'Données projet'!A145</f>
        <v>0</v>
      </c>
      <c r="B131" s="190">
        <f>'Données projet'!D145</f>
        <v>0</v>
      </c>
      <c r="C131" s="210">
        <f>'Données projet'!E145*60+('Données projet'!F145+'Données projet'!G145)*19.4+'Données projet'!H145*10</f>
        <v>0</v>
      </c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2">
      <c r="A132" s="45">
        <f>'Données projet'!A146</f>
        <v>0</v>
      </c>
      <c r="B132" s="190">
        <f>'Données projet'!D146</f>
        <v>0</v>
      </c>
      <c r="C132" s="210">
        <f>'Données projet'!E146*60+('Données projet'!F146+'Données projet'!G146)*19.4+'Données projet'!H146*10</f>
        <v>0</v>
      </c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2">
      <c r="A133" s="45">
        <f>'Données projet'!A147</f>
        <v>0</v>
      </c>
      <c r="B133" s="190">
        <f>'Données projet'!D147</f>
        <v>0</v>
      </c>
      <c r="C133" s="210">
        <f>'Données projet'!E147*60+('Données projet'!F147+'Données projet'!G147)*19.4+'Données projet'!H147*10</f>
        <v>0</v>
      </c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2">
      <c r="A134" s="45">
        <f>'Données projet'!A148</f>
        <v>0</v>
      </c>
      <c r="B134" s="190">
        <f>'Données projet'!D148</f>
        <v>0</v>
      </c>
      <c r="C134" s="210">
        <f>'Données projet'!E148*60+('Données projet'!F148+'Données projet'!G148)*19.4+'Données projet'!H148*10</f>
        <v>0</v>
      </c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2">
      <c r="A135" s="45">
        <f>'Données projet'!A149</f>
        <v>0</v>
      </c>
      <c r="B135" s="190">
        <f>'Données projet'!D149</f>
        <v>0</v>
      </c>
      <c r="C135" s="210">
        <f>'Données projet'!E149*60+('Données projet'!F149+'Données projet'!G149)*19.4+'Données projet'!H149*10</f>
        <v>0</v>
      </c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2">
      <c r="A136" s="45">
        <f>'Données projet'!A150</f>
        <v>0</v>
      </c>
      <c r="B136" s="190">
        <f>'Données projet'!D150</f>
        <v>0</v>
      </c>
      <c r="C136" s="210">
        <f>'Données projet'!E150*60+('Données projet'!F150+'Données projet'!G150)*19.4+'Données projet'!H150*10</f>
        <v>0</v>
      </c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2">
      <c r="A137" s="45">
        <f>'Données projet'!A151</f>
        <v>0</v>
      </c>
      <c r="B137" s="190">
        <f>'Données projet'!D151</f>
        <v>0</v>
      </c>
      <c r="C137" s="210">
        <f>'Données projet'!E151*60+('Données projet'!F151+'Données projet'!G151)*19.4+'Données projet'!H151*10</f>
        <v>0</v>
      </c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2">
      <c r="A138" s="45">
        <f>'Données projet'!A152</f>
        <v>0</v>
      </c>
      <c r="B138" s="190">
        <f>'Données projet'!D152</f>
        <v>0</v>
      </c>
      <c r="C138" s="210">
        <f>'Données projet'!E152*60+('Données projet'!F152+'Données projet'!G152)*19.4+'Données projet'!H152*10</f>
        <v>0</v>
      </c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2">
      <c r="A139" s="45">
        <f>'Données projet'!A153</f>
        <v>0</v>
      </c>
      <c r="B139" s="190">
        <f>'Données projet'!D153</f>
        <v>0</v>
      </c>
      <c r="C139" s="210">
        <f>'Données projet'!E153*60+('Données projet'!F153+'Données projet'!G153)*19.4+'Données projet'!H153*10</f>
        <v>0</v>
      </c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2">
      <c r="A140" s="45">
        <f>'Données projet'!A154</f>
        <v>0</v>
      </c>
      <c r="B140" s="190">
        <f>'Données projet'!D154</f>
        <v>0</v>
      </c>
      <c r="C140" s="210">
        <f>'Données projet'!E154*60+('Données projet'!F154+'Données projet'!G154)*19.4+'Données projet'!H154*10</f>
        <v>0</v>
      </c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2">
      <c r="A141" s="45">
        <f>'Données projet'!A155</f>
        <v>0</v>
      </c>
      <c r="B141" s="190">
        <f>'Données projet'!D155</f>
        <v>0</v>
      </c>
      <c r="C141" s="210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2">
      <c r="A142" s="45">
        <f>'Données projet'!A156</f>
        <v>0</v>
      </c>
      <c r="B142" s="190">
        <f>'Données projet'!D156</f>
        <v>0</v>
      </c>
      <c r="C142" s="210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2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2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2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2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2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2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2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ht="16" x14ac:dyDescent="0.2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ht="16" x14ac:dyDescent="0.2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2">
      <c r="A152" s="195">
        <f>'Données projet'!A166</f>
        <v>0</v>
      </c>
      <c r="B152" s="196">
        <f>'Données projet'!D166</f>
        <v>0</v>
      </c>
      <c r="C152" s="210">
        <f>'Données projet'!E166*42+('Données projet'!F166+'Données projet'!G166)*19.4+'Données projet'!H166*10</f>
        <v>0</v>
      </c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2">
      <c r="A153" s="195">
        <f>'Données projet'!A167</f>
        <v>0</v>
      </c>
      <c r="B153" s="196">
        <f>'Données projet'!D167</f>
        <v>0</v>
      </c>
      <c r="C153" s="210">
        <f>'Données projet'!E167*42+('Données projet'!F167+'Données projet'!G167)*19.4+'Données projet'!H167*10</f>
        <v>0</v>
      </c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2">
      <c r="A154" s="195">
        <f>'Données projet'!A168</f>
        <v>0</v>
      </c>
      <c r="B154" s="196">
        <f>'Données projet'!D168</f>
        <v>0</v>
      </c>
      <c r="C154" s="210">
        <f>'Données projet'!E168*42+('Données projet'!F168+'Données projet'!G168)*19.4+'Données projet'!H168*10</f>
        <v>0</v>
      </c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2">
      <c r="A155" s="195">
        <f>'Données projet'!A169</f>
        <v>0</v>
      </c>
      <c r="B155" s="196">
        <f>'Données projet'!D169</f>
        <v>0</v>
      </c>
      <c r="C155" s="210">
        <f>'Données projet'!E169*42+('Données projet'!F169+'Données projet'!G169)*19.4+'Données projet'!H169*10</f>
        <v>0</v>
      </c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2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2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2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2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2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2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2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2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2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2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2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2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2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2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2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2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2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2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2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2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ht="16" x14ac:dyDescent="0.2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ht="16" x14ac:dyDescent="0.2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2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2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2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2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2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2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2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2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2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2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2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2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2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2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2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2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2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2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2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2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2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2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2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2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ht="16" x14ac:dyDescent="0.2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ht="16" x14ac:dyDescent="0.2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2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2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2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2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2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2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2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2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2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2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2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2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2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2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2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2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2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2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2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2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2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2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2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2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ht="16" x14ac:dyDescent="0.2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ht="16" x14ac:dyDescent="0.2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2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2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2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2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2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2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2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2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2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2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2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2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2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2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2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2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2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2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2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2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2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2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2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2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ht="16" x14ac:dyDescent="0.2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ht="16" x14ac:dyDescent="0.2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2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2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2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2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2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2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2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2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2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2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2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2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2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2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2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2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2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2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2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2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2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2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2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2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2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2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2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2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2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2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2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2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2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2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2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2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2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2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2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2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2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2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2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2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2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2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2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2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2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2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2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2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2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2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2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2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2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2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2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2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2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2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2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2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2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2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2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2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2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2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2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2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2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2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2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2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2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2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2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2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2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2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2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2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2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2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2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2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2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2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2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2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2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2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2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2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2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2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2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2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2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2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2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2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2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2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2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2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2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2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2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2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2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2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2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2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2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2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2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2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2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2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2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2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2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2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2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2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2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2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2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2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2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2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2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2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2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2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2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2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2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2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2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2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2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2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2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2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2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2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2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2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2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2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2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2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2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2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2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2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2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2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2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2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2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2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2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2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2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2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2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2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2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2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2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2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2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2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2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2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2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2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2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2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2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2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2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2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2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2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2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2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2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2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2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2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2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2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2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2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2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2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2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2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2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2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2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2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2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2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2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2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2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2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2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2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2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2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2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2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2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2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2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2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2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2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2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2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2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2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2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2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2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2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2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2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2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2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2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2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2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2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2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2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2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E42:F42"/>
    <mergeCell ref="J36:L36"/>
    <mergeCell ref="J33:L33"/>
    <mergeCell ref="J34:L34"/>
    <mergeCell ref="J35:L35"/>
    <mergeCell ref="I37:L37"/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2022-01-25T14:21:02Z</dcterms:modified>
</cp:coreProperties>
</file>