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oklima1.sharepoint.com/sites/TeamOklima/Shared Documents/03 - Développement/1 - FORET/1 - PROJETS/CHAZALLON Didier/Nouveau dossier/2.Dossier_LBC_déposé/"/>
    </mc:Choice>
  </mc:AlternateContent>
  <xr:revisionPtr revIDLastSave="32" documentId="11_E6967C7E78D5A5CAE6D435F968EBF6B69F8688AF" xr6:coauthVersionLast="47" xr6:coauthVersionMax="47" xr10:uidLastSave="{C7A4EC02-FA11-48CE-8D13-50221BD53C02}"/>
  <bookViews>
    <workbookView xWindow="-110" yWindow="-110" windowWidth="19420" windowHeight="1150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R4" i="2" l="1"/>
  <c r="EC4" i="2"/>
  <c r="FQ4" i="2"/>
  <c r="BQ4" i="2"/>
  <c r="GL4" i="2"/>
  <c r="EA4" i="2"/>
  <c r="FR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B7" i="2"/>
  <c r="EW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FS10" i="2" l="1"/>
  <c r="EB10" i="2"/>
  <c r="EA10" i="2"/>
  <c r="HH10" i="2"/>
  <c r="HG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W12" i="2" l="1"/>
  <c r="EV12" i="2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X14" i="2" l="1"/>
  <c r="EB14" i="2"/>
  <c r="HH14" i="2"/>
  <c r="HG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EV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HH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FS18" i="2"/>
  <c r="EA18" i="2"/>
  <c r="EV18" i="2"/>
  <c r="EW18" i="2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C20" i="2" l="1"/>
  <c r="HH20" i="2"/>
  <c r="EW20" i="2"/>
  <c r="EV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V21" i="2" l="1"/>
  <c r="EW21" i="2"/>
  <c r="EB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A22" i="2" l="1"/>
  <c r="EB22" i="2"/>
  <c r="EW22" i="2"/>
  <c r="HH22" i="2"/>
  <c r="HG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FR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HI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FS28" i="2" s="1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C28" i="2" l="1"/>
  <c r="HI28" i="2"/>
  <c r="EV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FS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V33" i="2"/>
  <c r="EW33" i="2"/>
  <c r="EB33" i="2"/>
  <c r="HG33" i="2"/>
  <c r="HH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FQ35" i="2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FS38" i="2"/>
  <c r="HI38" i="2"/>
  <c r="EA38" i="2"/>
  <c r="EW38" i="2"/>
  <c r="HH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DG43" i="2"/>
  <c r="EA43" i="2"/>
  <c r="H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C44" i="2" l="1"/>
  <c r="EW44" i="2"/>
  <c r="HH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X45" i="2" l="1"/>
  <c r="HG45" i="2"/>
  <c r="EB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EW46" i="2"/>
  <c r="HG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EC48" i="2" l="1"/>
  <c r="HI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A51" i="2" l="1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HI55" i="2" l="1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FS57" i="2" l="1"/>
  <c r="EV57" i="2"/>
  <c r="EB57" i="2"/>
  <c r="HG57" i="2"/>
  <c r="HH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EA59" i="2"/>
  <c r="EB59" i="2"/>
  <c r="HH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EW60" i="2"/>
  <c r="EV60" i="2"/>
  <c r="HH60" i="2"/>
  <c r="HG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X61" i="2" l="1"/>
  <c r="EA61" i="2"/>
  <c r="EV61" i="2"/>
  <c r="EW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C63" i="2" l="1"/>
  <c r="EB63" i="2"/>
  <c r="HG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C64" i="2" l="1"/>
  <c r="EA64" i="2"/>
  <c r="EV64" i="2"/>
  <c r="HH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X66" i="2" l="1"/>
  <c r="FS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EB70" i="2"/>
  <c r="EW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X72" i="2" l="1"/>
  <c r="EB72" i="2"/>
  <c r="HH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FS75" i="2" l="1"/>
  <c r="EA75" i="2"/>
  <c r="EB75" i="2"/>
  <c r="HH75" i="2"/>
  <c r="HG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H76" i="2" l="1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A77" i="2" l="1"/>
  <c r="EB77" i="2"/>
  <c r="EW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HI78" i="2" l="1"/>
  <c r="EB78" i="2"/>
  <c r="EV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H79" i="2"/>
  <c r="HG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EV85" i="2"/>
  <c r="EW85" i="2"/>
  <c r="HG85" i="2"/>
  <c r="HH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B95" i="2" l="1"/>
  <c r="FQ95" i="2"/>
  <c r="HG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X98" i="2" l="1"/>
  <c r="FS98" i="2"/>
  <c r="HI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X100" i="2" l="1"/>
  <c r="EW100" i="2"/>
  <c r="EV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FS105" i="2" l="1"/>
  <c r="EB105" i="2"/>
  <c r="EA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EX107" i="2" s="1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C107" i="2" l="1"/>
  <c r="EA107" i="2"/>
  <c r="EB107" i="2"/>
  <c r="HG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C112" i="2" l="1"/>
  <c r="EX112" i="2"/>
  <c r="HI112" i="2"/>
  <c r="EB112" i="2"/>
  <c r="FQ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C113" i="2" l="1"/>
  <c r="EX113" i="2"/>
  <c r="FS113" i="2"/>
  <c r="EB113" i="2"/>
  <c r="EW113" i="2"/>
  <c r="HG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H114" i="2"/>
  <c r="HG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C116" i="2" l="1"/>
  <c r="EA116" i="2"/>
  <c r="EV116" i="2"/>
  <c r="HG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X118" i="2" l="1"/>
  <c r="FS118" i="2"/>
  <c r="FQ118" i="2"/>
  <c r="HH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FR119" i="2" l="1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X120" i="2" l="1"/>
  <c r="HI120" i="2"/>
  <c r="FQ120" i="2"/>
  <c r="HH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B121" i="2" l="1"/>
  <c r="EA121" i="2"/>
  <c r="FR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FS122" i="2" l="1"/>
  <c r="HI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EW124" i="2"/>
  <c r="HH124" i="2"/>
  <c r="HG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EA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HI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EV128" i="2"/>
  <c r="HG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X130" i="2" l="1"/>
  <c r="FS130" i="2"/>
  <c r="HI130" i="2"/>
  <c r="EB130" i="2"/>
  <c r="EW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A135" i="2" l="1"/>
  <c r="EW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FS136" i="2" s="1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HI136" i="2" l="1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HH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A139" i="2"/>
  <c r="EB139" i="2"/>
  <c r="EW139" i="2"/>
  <c r="HH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C140" i="2" l="1"/>
  <c r="EX140" i="2"/>
  <c r="EB140" i="2"/>
  <c r="FR140" i="2"/>
  <c r="HH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EB141" i="2"/>
  <c r="HG141" i="2"/>
  <c r="HH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W142" i="2" l="1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X144" i="2" l="1"/>
  <c r="EB144" i="2"/>
  <c r="EA144" i="2"/>
  <c r="FR144" i="2"/>
  <c r="HH144" i="2"/>
  <c r="HG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EA145" i="2"/>
  <c r="EB145" i="2"/>
  <c r="FR145" i="2"/>
  <c r="HG145" i="2"/>
  <c r="HH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S146" i="2" l="1"/>
  <c r="HI146" i="2"/>
  <c r="EA146" i="2"/>
  <c r="FR146" i="2"/>
  <c r="HH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C149" i="2" l="1"/>
  <c r="EX149" i="2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FS150" i="2" l="1"/>
  <c r="HI150" i="2"/>
  <c r="EV150" i="2"/>
  <c r="HH150" i="2"/>
  <c r="HG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B152" i="2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B153" i="2"/>
  <c r="EA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EX154" i="2" l="1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AC154" i="2" s="1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EX155" i="2" l="1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EY155" i="2"/>
  <c r="ED155" i="2"/>
  <c r="AX152" i="2"/>
  <c r="HI156" i="2" l="1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EB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EW158" i="2" s="1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EV158" i="2" s="1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AU158" i="2" l="1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HI159" i="2" s="1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C159" i="2" l="1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EB161" i="2"/>
  <c r="EX161" i="2"/>
  <c r="FS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HH162" i="2" s="1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V163" i="2" l="1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EX164" i="2" l="1"/>
  <c r="EA164" i="2"/>
  <c r="EV164" i="2"/>
  <c r="FR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B165" i="2" l="1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HI167" i="2" s="1"/>
  <c r="GI167" i="2"/>
  <c r="FP167" i="2"/>
  <c r="EG167" i="2"/>
  <c r="FL167" i="2"/>
  <c r="EQ167" i="2"/>
  <c r="FW167" i="2"/>
  <c r="EU167" i="2"/>
  <c r="DW167" i="2"/>
  <c r="DY167" i="2"/>
  <c r="EB167" i="2" s="1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C167" i="2" l="1"/>
  <c r="HH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EW168" i="2" s="1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HH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B169" i="2" l="1"/>
  <c r="FS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G172" i="2" s="1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A172" i="2" l="1"/>
  <c r="EW172" i="2"/>
  <c r="HI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HG174" i="2" s="1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C174" i="2" s="1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A174" i="2" l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EA175" i="2" s="1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W175" i="2" l="1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C177" i="2" l="1"/>
  <c r="EW177" i="2"/>
  <c r="FS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FS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HG179" i="2" s="1"/>
  <c r="GJ179" i="2"/>
  <c r="HE179" i="2"/>
  <c r="HH179" i="2" s="1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DF179" i="2" s="1"/>
  <c r="CG179" i="2"/>
  <c r="W179" i="2"/>
  <c r="AX176" i="2"/>
  <c r="ED178" i="2"/>
  <c r="EV179" i="2" l="1"/>
  <c r="HI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C182" i="2" l="1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B183" i="2" l="1"/>
  <c r="FS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HG185" i="2" s="1"/>
  <c r="GJ185" i="2"/>
  <c r="HE185" i="2"/>
  <c r="HH185" i="2" s="1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/>
  <c r="EV185" i="2" l="1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EB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EY188" i="2"/>
  <c r="AX186" i="2"/>
  <c r="EC189" i="2" l="1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W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EC192" i="2" s="1"/>
  <c r="CQ192" i="2"/>
  <c r="CI192" i="2"/>
  <c r="BN192" i="2"/>
  <c r="EQ192" i="2"/>
  <c r="DX192" i="2"/>
  <c r="EA192" i="2" s="1"/>
  <c r="CR192" i="2"/>
  <c r="CJ192" i="2"/>
  <c r="BO192" i="2"/>
  <c r="ER192" i="2"/>
  <c r="DY192" i="2"/>
  <c r="EB192" i="2" s="1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H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EA197" i="2" s="1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HI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H199" i="2"/>
  <c r="HG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D200" i="2"/>
  <c r="DI200" i="2"/>
  <c r="EB201" i="2" l="1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FR202" i="2" s="1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BP203" i="2" s="1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163" i="2" l="1" a="1"/>
  <c r="AH163" i="2" s="1"/>
  <c r="AH62" i="2" a="1"/>
  <c r="AH62" i="2" s="1"/>
  <c r="FR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<sst xmlns="http://schemas.openxmlformats.org/spreadsheetml/2006/main" count="1172" uniqueCount="325">
  <si>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</si>
  <si>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</si>
  <si>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</si>
  <si>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</si>
  <si>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</si>
  <si>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</si>
  <si>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</si>
  <si>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</si>
  <si>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</si>
  <si>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</si>
  <si>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</si>
  <si>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</si>
  <si>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</si>
  <si>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</si>
  <si>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</si>
  <si>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</si>
  <si>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NB : La durée de révolution doit être identique à la dernière année indiquée dans la table de production renseignée en dessous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</si>
  <si>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</si>
  <si>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</si>
  <si>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</si>
  <si>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</si>
  <si>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</si>
  <si>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</si>
  <si>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</si>
  <si>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</si>
  <si>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</si>
  <si>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</si>
  <si>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</si>
  <si>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</si>
  <si>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</si>
  <si>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</si>
  <si>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</si>
  <si>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</si>
  <si>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</si>
  <si>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</si>
  <si>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</si>
  <si>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</si>
  <si>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</si>
  <si>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</si>
  <si>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</si>
  <si>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</si>
  <si>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</si>
  <si>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</si>
  <si>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</si>
  <si>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</si>
  <si>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</si>
  <si>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</si>
  <si>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</si>
  <si>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</si>
  <si>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</si>
  <si>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</si>
  <si>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</si>
  <si>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</si>
  <si>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</si>
  <si>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</si>
  <si>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</si>
  <si>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</si>
  <si>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</si>
  <si>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</si>
  <si>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</si>
  <si>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</si>
  <si>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</si>
  <si>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</si>
  <si>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</si>
  <si>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</si>
  <si>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</si>
  <si>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</si>
  <si>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Conifères (moyenne)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</si>
  <si>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</si>
  <si>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</si>
  <si>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</si>
  <si>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</si>
  <si>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</si>
  <si>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</si>
  <si>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</si>
  <si>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</si>
  <si>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</si>
  <si>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</si>
  <si>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</si>
  <si>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</si>
  <si>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</si>
  <si>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</si>
  <si>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</si>
  <si>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</si>
  <si>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</si>
  <si>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</si>
  <si>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</si>
  <si>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</si>
  <si>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</si>
  <si>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</si>
  <si>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</si>
  <si>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</si>
  <si>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</si>
  <si>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</si>
  <si>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</si>
  <si>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</si>
  <si>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</si>
  <si>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</si>
  <si>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</si>
  <si>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</si>
  <si>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</si>
  <si>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Source</t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</si>
  <si>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</si>
  <si>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</si>
  <si>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</si>
  <si>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</si>
  <si>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</si>
  <si>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</si>
  <si>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</si>
  <si>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</si>
  <si>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</si>
  <si>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</si>
  <si>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</si>
  <si>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</si>
  <si>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</si>
  <si>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</si>
  <si>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</si>
  <si>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</si>
  <si>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</si>
  <si>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</si>
  <si>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</si>
  <si>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</si>
  <si>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</si>
  <si>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</si>
  <si>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</si>
  <si>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</si>
  <si>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</si>
  <si>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</si>
  <si>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</si>
  <si>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</si>
  <si>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</si>
  <si>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</si>
  <si>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</si>
  <si>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</si>
  <si>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</si>
  <si>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</si>
  <si>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</si>
  <si>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</si>
  <si>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</si>
  <si>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</si>
  <si>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</si>
  <si>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</si>
  <si>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</si>
  <si>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</si>
  <si>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</si>
  <si>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</si>
  <si>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</si>
  <si>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</si>
  <si>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</si>
  <si>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</si>
  <si>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</si>
  <si>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</si>
  <si>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</si>
  <si>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</si>
  <si>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</si>
  <si>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</si>
  <si>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</si>
  <si>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</si>
  <si>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</si>
  <si>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</si>
  <si>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</si>
  <si>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</si>
  <si>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</si>
  <si>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</si>
  <si>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</si>
  <si>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</si>
  <si>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</si>
  <si>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</si>
  <si>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</si>
  <si>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</si>
  <si>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</si>
  <si>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</si>
  <si>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</si>
  <si>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</si>
  <si>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</si>
  <si>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</si>
  <si>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</si>
  <si>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</si>
  <si>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Mélèze du Japon</t>
  </si>
  <si>
    <t>Larix kaempferi</t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</si>
  <si>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</si>
  <si>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</si>
  <si>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</si>
  <si>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</si>
  <si>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</si>
  <si>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</si>
  <si>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</si>
  <si>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</si>
  <si>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</si>
  <si>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</si>
  <si>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</si>
  <si>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</si>
  <si>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</si>
  <si>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</si>
  <si>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</si>
  <si>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</si>
  <si>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</si>
  <si>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</si>
  <si>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</si>
  <si>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</si>
  <si>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</si>
  <si>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</si>
  <si>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</si>
  <si>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</si>
  <si>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</si>
  <si>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</si>
  <si>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</si>
  <si>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</si>
  <si>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</si>
  <si>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</si>
  <si>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</si>
  <si>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</si>
  <si>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</si>
  <si>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</si>
  <si>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</si>
  <si>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</si>
  <si>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</si>
  <si>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</si>
  <si>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</si>
  <si>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</si>
  <si>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</si>
  <si>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</si>
  <si>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</si>
  <si>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</si>
  <si>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</si>
  <si>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</si>
  <si>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</si>
  <si>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</si>
  <si>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</si>
  <si>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</si>
  <si>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</si>
  <si>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</si>
  <si>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</si>
  <si>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</si>
  <si>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</si>
  <si>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</si>
  <si>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</si>
  <si>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</si>
  <si>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</si>
  <si>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</si>
  <si>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</si>
  <si>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</si>
  <si>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</si>
  <si>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</si>
  <si>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</si>
  <si>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</si>
  <si>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</si>
  <si>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</si>
  <si>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</si>
  <si>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</si>
  <si>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</si>
  <si>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</si>
  <si>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</si>
  <si>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</si>
  <si>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</si>
  <si>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</si>
  <si>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</si>
  <si>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</si>
  <si>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</si>
  <si>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</si>
  <si>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</si>
  <si>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</si>
  <si>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</si>
  <si>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</si>
  <si>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</si>
  <si>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</si>
  <si>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</si>
  <si>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</si>
  <si>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</si>
  <si>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</si>
  <si>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</si>
  <si>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</si>
  <si>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</si>
  <si>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</si>
  <si>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</si>
  <si>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</si>
  <si>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</si>
  <si>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</si>
  <si>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Feuillus (moyenne)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</si>
  <si>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</si>
  <si>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</si>
  <si>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</si>
  <si>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</si>
  <si>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</si>
  <si>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</si>
  <si>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</si>
  <si>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</si>
  <si>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</si>
  <si>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</si>
  <si>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</si>
  <si>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</si>
  <si>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</si>
  <si>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Seules les cellules en jaune doivent être remplies</t>
  </si>
  <si>
    <t>Taux d'actualisation</t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</si>
  <si>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</si>
  <si>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</si>
  <si>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</si>
  <si>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</si>
  <si>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</si>
  <si>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</si>
  <si>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</si>
  <si>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</si>
  <si>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</si>
  <si>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</si>
  <si>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</si>
  <si>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</si>
  <si>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</si>
  <si>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</si>
  <si>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</si>
  <si>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</si>
  <si>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</si>
  <si>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</si>
  <si>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</si>
  <si>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</si>
  <si>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</si>
  <si>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</si>
  <si>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</si>
  <si>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</si>
  <si>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</si>
  <si>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</si>
  <si>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</si>
  <si>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</si>
  <si>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</si>
  <si>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</si>
  <si>
    <t>CR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</si>
</sst>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0.58953545646096461</c:v>
                </c:pt>
                <c:pt idx="2">
                  <c:v>0.26241922005711332</c:v>
                </c:pt>
                <c:pt idx="3">
                  <c:v>2.9714621485688064</c:v>
                </c:pt>
                <c:pt idx="4">
                  <c:v>8.2862705749171095</c:v>
                </c:pt>
                <c:pt idx="5">
                  <c:v>15.949283791614382</c:v>
                </c:pt>
                <c:pt idx="6">
                  <c:v>25.744686853540628</c:v>
                </c:pt>
                <c:pt idx="7">
                  <c:v>37.47372101639511</c:v>
                </c:pt>
                <c:pt idx="8">
                  <c:v>50.947030356481626</c:v>
                </c:pt>
                <c:pt idx="9">
                  <c:v>65.98122781273662</c:v>
                </c:pt>
                <c:pt idx="10">
                  <c:v>82.397049125160876</c:v>
                </c:pt>
                <c:pt idx="11">
                  <c:v>100.01824202511391</c:v>
                </c:pt>
                <c:pt idx="12">
                  <c:v>118.67084325389196</c:v>
                </c:pt>
                <c:pt idx="13">
                  <c:v>138.18267957981183</c:v>
                </c:pt>
                <c:pt idx="14">
                  <c:v>158.38300715079481</c:v>
                </c:pt>
                <c:pt idx="15">
                  <c:v>179.10224076684889</c:v>
                </c:pt>
                <c:pt idx="16">
                  <c:v>200.1717439783115</c:v>
                </c:pt>
                <c:pt idx="17">
                  <c:v>221.42366162690371</c:v>
                </c:pt>
                <c:pt idx="18">
                  <c:v>242.69078270909122</c:v>
                </c:pt>
                <c:pt idx="19">
                  <c:v>263.80642526364375</c:v>
                </c:pt>
                <c:pt idx="20">
                  <c:v>284.60433740007062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4.3926046297979076</c:v>
                </c:pt>
                <c:pt idx="2">
                  <c:v>8.3612614966873711</c:v>
                </c:pt>
                <c:pt idx="3">
                  <c:v>15.935083980933408</c:v>
                </c:pt>
                <c:pt idx="4">
                  <c:v>30.405468314778947</c:v>
                </c:pt>
                <c:pt idx="5">
                  <c:v>58.082485530805052</c:v>
                </c:pt>
                <c:pt idx="6">
                  <c:v>72.155748931369416</c:v>
                </c:pt>
                <c:pt idx="7">
                  <c:v>94.133673128860323</c:v>
                </c:pt>
                <c:pt idx="8">
                  <c:v>115.98283085356282</c:v>
                </c:pt>
                <c:pt idx="9">
                  <c:v>137.73104312742694</c:v>
                </c:pt>
                <c:pt idx="10">
                  <c:v>159.39654402501074</c:v>
                </c:pt>
                <c:pt idx="11">
                  <c:v>139.70382844505221</c:v>
                </c:pt>
                <c:pt idx="12">
                  <c:v>161.362507950626</c:v>
                </c:pt>
                <c:pt idx="13">
                  <c:v>182.95230030612535</c:v>
                </c:pt>
                <c:pt idx="14">
                  <c:v>204.48248491014036</c:v>
                </c:pt>
                <c:pt idx="15">
                  <c:v>225.96022281826015</c:v>
                </c:pt>
                <c:pt idx="16">
                  <c:v>210.34498910896306</c:v>
                </c:pt>
                <c:pt idx="17">
                  <c:v>229.86009453547467</c:v>
                </c:pt>
                <c:pt idx="18">
                  <c:v>249.33731901797844</c:v>
                </c:pt>
                <c:pt idx="19">
                  <c:v>268.78003756948306</c:v>
                </c:pt>
                <c:pt idx="20">
                  <c:v>288.19109683703851</c:v>
                </c:pt>
                <c:pt idx="21">
                  <c:v>277.32465175371152</c:v>
                </c:pt>
                <c:pt idx="22">
                  <c:v>293.62085999795471</c:v>
                </c:pt>
                <c:pt idx="23">
                  <c:v>309.89688707897216</c:v>
                </c:pt>
                <c:pt idx="24">
                  <c:v>326.1539420224164</c:v>
                </c:pt>
                <c:pt idx="25">
                  <c:v>342.39310348379212</c:v>
                </c:pt>
                <c:pt idx="26">
                  <c:v>334.27569654819109</c:v>
                </c:pt>
                <c:pt idx="27">
                  <c:v>347.41603793627536</c:v>
                </c:pt>
                <c:pt idx="28">
                  <c:v>360.54547259299108</c:v>
                </c:pt>
                <c:pt idx="29">
                  <c:v>373.66445368853493</c:v>
                </c:pt>
                <c:pt idx="30">
                  <c:v>386.77339997206712</c:v>
                </c:pt>
                <c:pt idx="31">
                  <c:v>382.14783395214209</c:v>
                </c:pt>
                <c:pt idx="32">
                  <c:v>392.93895526469413</c:v>
                </c:pt>
                <c:pt idx="33">
                  <c:v>403.7236518794877</c:v>
                </c:pt>
                <c:pt idx="34">
                  <c:v>414.50211965810945</c:v>
                </c:pt>
                <c:pt idx="35">
                  <c:v>425.27454344239982</c:v>
                </c:pt>
                <c:pt idx="36">
                  <c:v>421.04322924291404</c:v>
                </c:pt>
                <c:pt idx="37">
                  <c:v>430.27402055922079</c:v>
                </c:pt>
                <c:pt idx="38">
                  <c:v>439.50055712660475</c:v>
                </c:pt>
                <c:pt idx="39">
                  <c:v>448.72294089251386</c:v>
                </c:pt>
                <c:pt idx="40">
                  <c:v>457.94126927057505</c:v>
                </c:pt>
                <c:pt idx="41">
                  <c:v>457.55725199363536</c:v>
                </c:pt>
                <c:pt idx="42">
                  <c:v>466.7717814393539</c:v>
                </c:pt>
                <c:pt idx="43">
                  <c:v>475.98243422180309</c:v>
                </c:pt>
                <c:pt idx="44">
                  <c:v>485.18929595470831</c:v>
                </c:pt>
                <c:pt idx="45">
                  <c:v>494.39244873679655</c:v>
                </c:pt>
                <c:pt idx="46">
                  <c:v>484.80575132371092</c:v>
                </c:pt>
                <c:pt idx="47">
                  <c:v>484.80575132371092</c:v>
                </c:pt>
                <c:pt idx="48">
                  <c:v>484.80575132371092</c:v>
                </c:pt>
                <c:pt idx="49">
                  <c:v>484.80575132371092</c:v>
                </c:pt>
                <c:pt idx="50">
                  <c:v>484.80575132371092</c:v>
                </c:pt>
                <c:pt idx="51">
                  <c:v>484.80575132371092</c:v>
                </c:pt>
                <c:pt idx="52">
                  <c:v>484.80575132371092</c:v>
                </c:pt>
                <c:pt idx="53">
                  <c:v>484.80575132371092</c:v>
                </c:pt>
                <c:pt idx="54">
                  <c:v>484.80575132371092</c:v>
                </c:pt>
                <c:pt idx="55">
                  <c:v>484.80575132371092</c:v>
                </c:pt>
                <c:pt idx="56">
                  <c:v>484.80575132371092</c:v>
                </c:pt>
                <c:pt idx="57">
                  <c:v>484.80575132371092</c:v>
                </c:pt>
                <c:pt idx="58">
                  <c:v>484.80575132371092</c:v>
                </c:pt>
                <c:pt idx="59">
                  <c:v>484.80575132371092</c:v>
                </c:pt>
                <c:pt idx="60">
                  <c:v>484.80575132371092</c:v>
                </c:pt>
                <c:pt idx="61">
                  <c:v>484.80575132371092</c:v>
                </c:pt>
                <c:pt idx="62">
                  <c:v>484.80575132371092</c:v>
                </c:pt>
                <c:pt idx="63">
                  <c:v>484.80575132371092</c:v>
                </c:pt>
                <c:pt idx="64">
                  <c:v>484.80575132371092</c:v>
                </c:pt>
                <c:pt idx="65">
                  <c:v>484.80575132371092</c:v>
                </c:pt>
                <c:pt idx="66">
                  <c:v>484.80575132371092</c:v>
                </c:pt>
                <c:pt idx="67">
                  <c:v>484.80575132371092</c:v>
                </c:pt>
                <c:pt idx="68">
                  <c:v>484.80575132371092</c:v>
                </c:pt>
                <c:pt idx="69">
                  <c:v>484.80575132371092</c:v>
                </c:pt>
                <c:pt idx="70">
                  <c:v>484.80575132371092</c:v>
                </c:pt>
                <c:pt idx="71">
                  <c:v>484.80575132371092</c:v>
                </c:pt>
                <c:pt idx="72">
                  <c:v>484.80575132371092</c:v>
                </c:pt>
                <c:pt idx="73">
                  <c:v>484.80575132371092</c:v>
                </c:pt>
                <c:pt idx="74">
                  <c:v>484.80575132371092</c:v>
                </c:pt>
                <c:pt idx="75">
                  <c:v>484.80575132371092</c:v>
                </c:pt>
                <c:pt idx="76">
                  <c:v>484.80575132371092</c:v>
                </c:pt>
                <c:pt idx="77">
                  <c:v>484.80575132371092</c:v>
                </c:pt>
                <c:pt idx="78">
                  <c:v>484.80575132371092</c:v>
                </c:pt>
                <c:pt idx="79">
                  <c:v>484.80575132371092</c:v>
                </c:pt>
                <c:pt idx="80">
                  <c:v>484.80575132371092</c:v>
                </c:pt>
                <c:pt idx="81">
                  <c:v>484.80575132371092</c:v>
                </c:pt>
                <c:pt idx="82">
                  <c:v>484.80575132371092</c:v>
                </c:pt>
                <c:pt idx="83">
                  <c:v>484.80575132371092</c:v>
                </c:pt>
                <c:pt idx="84">
                  <c:v>484.80575132371092</c:v>
                </c:pt>
                <c:pt idx="85">
                  <c:v>484.80575132371092</c:v>
                </c:pt>
                <c:pt idx="86">
                  <c:v>484.80575132371092</c:v>
                </c:pt>
                <c:pt idx="87">
                  <c:v>484.80575132371092</c:v>
                </c:pt>
                <c:pt idx="88">
                  <c:v>484.80575132371092</c:v>
                </c:pt>
                <c:pt idx="89">
                  <c:v>484.80575132371092</c:v>
                </c:pt>
                <c:pt idx="90">
                  <c:v>484.80575132371092</c:v>
                </c:pt>
                <c:pt idx="91">
                  <c:v>484.80575132371092</c:v>
                </c:pt>
                <c:pt idx="92">
                  <c:v>484.80575132371092</c:v>
                </c:pt>
                <c:pt idx="93">
                  <c:v>484.80575132371092</c:v>
                </c:pt>
                <c:pt idx="94">
                  <c:v>484.80575132371092</c:v>
                </c:pt>
                <c:pt idx="95">
                  <c:v>484.80575132371092</c:v>
                </c:pt>
                <c:pt idx="96">
                  <c:v>484.80575132371092</c:v>
                </c:pt>
                <c:pt idx="97">
                  <c:v>484.80575132371092</c:v>
                </c:pt>
                <c:pt idx="98">
                  <c:v>484.80575132371092</c:v>
                </c:pt>
                <c:pt idx="99">
                  <c:v>484.80575132371092</c:v>
                </c:pt>
                <c:pt idx="100">
                  <c:v>484.80575132371092</c:v>
                </c:pt>
                <c:pt idx="101">
                  <c:v>484.80575132371092</c:v>
                </c:pt>
                <c:pt idx="102">
                  <c:v>484.80575132371092</c:v>
                </c:pt>
                <c:pt idx="103">
                  <c:v>484.80575132371092</c:v>
                </c:pt>
                <c:pt idx="104">
                  <c:v>484.80575132371092</c:v>
                </c:pt>
                <c:pt idx="105">
                  <c:v>484.80575132371092</c:v>
                </c:pt>
                <c:pt idx="106">
                  <c:v>484.80575132371092</c:v>
                </c:pt>
                <c:pt idx="107">
                  <c:v>484.80575132371092</c:v>
                </c:pt>
                <c:pt idx="108">
                  <c:v>484.80575132371092</c:v>
                </c:pt>
                <c:pt idx="109">
                  <c:v>484.80575132371092</c:v>
                </c:pt>
                <c:pt idx="110">
                  <c:v>484.80575132371092</c:v>
                </c:pt>
                <c:pt idx="111">
                  <c:v>484.80575132371092</c:v>
                </c:pt>
                <c:pt idx="112">
                  <c:v>484.80575132371092</c:v>
                </c:pt>
                <c:pt idx="113">
                  <c:v>484.80575132371092</c:v>
                </c:pt>
                <c:pt idx="114">
                  <c:v>484.80575132371092</c:v>
                </c:pt>
                <c:pt idx="115">
                  <c:v>484.80575132371092</c:v>
                </c:pt>
                <c:pt idx="116">
                  <c:v>484.80575132371092</c:v>
                </c:pt>
                <c:pt idx="117">
                  <c:v>484.80575132371092</c:v>
                </c:pt>
                <c:pt idx="118">
                  <c:v>484.80575132371092</c:v>
                </c:pt>
                <c:pt idx="119">
                  <c:v>484.80575132371092</c:v>
                </c:pt>
                <c:pt idx="120">
                  <c:v>484.80575132371092</c:v>
                </c:pt>
                <c:pt idx="121">
                  <c:v>484.80575132371092</c:v>
                </c:pt>
                <c:pt idx="122">
                  <c:v>484.80575132371092</c:v>
                </c:pt>
                <c:pt idx="123">
                  <c:v>484.80575132371092</c:v>
                </c:pt>
                <c:pt idx="124">
                  <c:v>484.80575132371092</c:v>
                </c:pt>
                <c:pt idx="125">
                  <c:v>484.80575132371092</c:v>
                </c:pt>
                <c:pt idx="126">
                  <c:v>484.80575132371092</c:v>
                </c:pt>
                <c:pt idx="127">
                  <c:v>484.80575132371092</c:v>
                </c:pt>
                <c:pt idx="128">
                  <c:v>484.80575132371092</c:v>
                </c:pt>
                <c:pt idx="129">
                  <c:v>484.80575132371092</c:v>
                </c:pt>
                <c:pt idx="130">
                  <c:v>484.80575132371092</c:v>
                </c:pt>
                <c:pt idx="131">
                  <c:v>484.80575132371092</c:v>
                </c:pt>
                <c:pt idx="132">
                  <c:v>484.80575132371092</c:v>
                </c:pt>
                <c:pt idx="133">
                  <c:v>484.80575132371092</c:v>
                </c:pt>
                <c:pt idx="134">
                  <c:v>484.80575132371092</c:v>
                </c:pt>
                <c:pt idx="135">
                  <c:v>484.80575132371092</c:v>
                </c:pt>
                <c:pt idx="136">
                  <c:v>484.80575132371092</c:v>
                </c:pt>
                <c:pt idx="137">
                  <c:v>484.80575132371092</c:v>
                </c:pt>
                <c:pt idx="138">
                  <c:v>484.80575132371092</c:v>
                </c:pt>
                <c:pt idx="139">
                  <c:v>484.80575132371092</c:v>
                </c:pt>
                <c:pt idx="140">
                  <c:v>484.80575132371092</c:v>
                </c:pt>
                <c:pt idx="141">
                  <c:v>484.80575132371092</c:v>
                </c:pt>
                <c:pt idx="142">
                  <c:v>484.80575132371092</c:v>
                </c:pt>
                <c:pt idx="143">
                  <c:v>484.80575132371092</c:v>
                </c:pt>
                <c:pt idx="144">
                  <c:v>484.80575132371092</c:v>
                </c:pt>
                <c:pt idx="145">
                  <c:v>484.80575132371092</c:v>
                </c:pt>
                <c:pt idx="146">
                  <c:v>484.80575132371092</c:v>
                </c:pt>
                <c:pt idx="147">
                  <c:v>484.80575132371092</c:v>
                </c:pt>
                <c:pt idx="148">
                  <c:v>484.80575132371092</c:v>
                </c:pt>
                <c:pt idx="149">
                  <c:v>484.80575132371092</c:v>
                </c:pt>
                <c:pt idx="150">
                  <c:v>484.80575132371092</c:v>
                </c:pt>
                <c:pt idx="151">
                  <c:v>484.80575132371092</c:v>
                </c:pt>
                <c:pt idx="152">
                  <c:v>484.80575132371092</c:v>
                </c:pt>
                <c:pt idx="153">
                  <c:v>484.80575132371092</c:v>
                </c:pt>
                <c:pt idx="154">
                  <c:v>484.80575132371092</c:v>
                </c:pt>
                <c:pt idx="155">
                  <c:v>484.80575132371092</c:v>
                </c:pt>
                <c:pt idx="156">
                  <c:v>484.80575132371092</c:v>
                </c:pt>
                <c:pt idx="157">
                  <c:v>484.80575132371092</c:v>
                </c:pt>
                <c:pt idx="158">
                  <c:v>484.80575132371092</c:v>
                </c:pt>
                <c:pt idx="159">
                  <c:v>484.80575132371092</c:v>
                </c:pt>
                <c:pt idx="160">
                  <c:v>484.80575132371092</c:v>
                </c:pt>
                <c:pt idx="161">
                  <c:v>484.80575132371092</c:v>
                </c:pt>
                <c:pt idx="162">
                  <c:v>484.80575132371092</c:v>
                </c:pt>
                <c:pt idx="163">
                  <c:v>484.80575132371092</c:v>
                </c:pt>
                <c:pt idx="164">
                  <c:v>484.80575132371092</c:v>
                </c:pt>
                <c:pt idx="165">
                  <c:v>484.80575132371092</c:v>
                </c:pt>
                <c:pt idx="166">
                  <c:v>484.80575132371092</c:v>
                </c:pt>
                <c:pt idx="167">
                  <c:v>484.80575132371092</c:v>
                </c:pt>
                <c:pt idx="168">
                  <c:v>484.80575132371092</c:v>
                </c:pt>
                <c:pt idx="169">
                  <c:v>484.80575132371092</c:v>
                </c:pt>
                <c:pt idx="170">
                  <c:v>484.80575132371092</c:v>
                </c:pt>
                <c:pt idx="171">
                  <c:v>484.80575132371092</c:v>
                </c:pt>
                <c:pt idx="172">
                  <c:v>484.80575132371092</c:v>
                </c:pt>
                <c:pt idx="173">
                  <c:v>484.80575132371092</c:v>
                </c:pt>
                <c:pt idx="174">
                  <c:v>484.80575132371092</c:v>
                </c:pt>
                <c:pt idx="175">
                  <c:v>484.80575132371092</c:v>
                </c:pt>
                <c:pt idx="176">
                  <c:v>484.80575132371092</c:v>
                </c:pt>
                <c:pt idx="177">
                  <c:v>484.80575132371092</c:v>
                </c:pt>
                <c:pt idx="178">
                  <c:v>484.80575132371092</c:v>
                </c:pt>
                <c:pt idx="179">
                  <c:v>484.80575132371092</c:v>
                </c:pt>
                <c:pt idx="180">
                  <c:v>484.80575132371092</c:v>
                </c:pt>
                <c:pt idx="181">
                  <c:v>484.80575132371092</c:v>
                </c:pt>
                <c:pt idx="182">
                  <c:v>484.80575132371092</c:v>
                </c:pt>
                <c:pt idx="183">
                  <c:v>484.80575132371092</c:v>
                </c:pt>
                <c:pt idx="184">
                  <c:v>484.80575132371092</c:v>
                </c:pt>
                <c:pt idx="185">
                  <c:v>484.80575132371092</c:v>
                </c:pt>
                <c:pt idx="186">
                  <c:v>484.80575132371092</c:v>
                </c:pt>
                <c:pt idx="187">
                  <c:v>484.80575132371092</c:v>
                </c:pt>
                <c:pt idx="188">
                  <c:v>484.80575132371092</c:v>
                </c:pt>
                <c:pt idx="189">
                  <c:v>484.80575132371092</c:v>
                </c:pt>
                <c:pt idx="190">
                  <c:v>484.80575132371092</c:v>
                </c:pt>
                <c:pt idx="191">
                  <c:v>484.80575132371092</c:v>
                </c:pt>
                <c:pt idx="192">
                  <c:v>484.80575132371092</c:v>
                </c:pt>
                <c:pt idx="193">
                  <c:v>484.80575132371092</c:v>
                </c:pt>
                <c:pt idx="194">
                  <c:v>484.80575132371092</c:v>
                </c:pt>
                <c:pt idx="195">
                  <c:v>484.80575132371092</c:v>
                </c:pt>
                <c:pt idx="196">
                  <c:v>484.80575132371092</c:v>
                </c:pt>
                <c:pt idx="197">
                  <c:v>484.80575132371092</c:v>
                </c:pt>
                <c:pt idx="198">
                  <c:v>484.80575132371092</c:v>
                </c:pt>
                <c:pt idx="199">
                  <c:v>484.80575132371092</c:v>
                </c:pt>
                <c:pt idx="200">
                  <c:v>484.80575132371092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topLeftCell="A4" zoomScale="80" zoomScaleNormal="80" workbookViewId="0">
      <selection activeCell="B12" sqref="B12:M16"/>
    </sheetView>
  </sheetViews>
  <sheetFormatPr baseColWidth="10" defaultColWidth="11.453125" defaultRowHeight="14.5" x14ac:dyDescent="0.35"/>
  <cols>
    <col min="1" max="1" width="6.7265625" customWidth="1"/>
    <col min="2" max="13" width="15.81640625" customWidth="1"/>
  </cols>
  <sheetData>
    <row r="12" spans="2:13" ht="15" customHeight="1" x14ac:dyDescent="0.35">
      <c r="B12" s="257" t="s">
        <v>0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35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35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3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3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35">
      <c r="B18" s="257" t="s">
        <v>1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3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3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35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35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35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35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35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35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35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35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35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35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35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80" zoomScaleNormal="80" workbookViewId="0">
      <selection activeCell="E11" sqref="E11"/>
    </sheetView>
  </sheetViews>
  <sheetFormatPr baseColWidth="10" defaultColWidth="11.453125" defaultRowHeight="14.5" x14ac:dyDescent="0.35"/>
  <cols>
    <col min="1" max="1" width="13.7265625" style="23" customWidth="1"/>
    <col min="2" max="2" width="36.1796875" style="23" customWidth="1"/>
    <col min="3" max="3" width="14.81640625" style="23" bestFit="1" customWidth="1"/>
    <col min="4" max="4" width="16.453125" style="23" customWidth="1"/>
    <col min="5" max="5" width="23.26953125" style="23" customWidth="1"/>
    <col min="6" max="6" width="28.81640625" style="23" bestFit="1" customWidth="1"/>
    <col min="7" max="8" width="14.7265625" style="23" customWidth="1"/>
    <col min="9" max="9" width="17" style="23" customWidth="1"/>
    <col min="10" max="10" width="13.81640625" style="23" customWidth="1"/>
    <col min="11" max="16384" width="11.453125" style="23"/>
  </cols>
  <sheetData>
    <row r="1" spans="1:38" x14ac:dyDescent="0.35">
      <c r="A1" s="4"/>
      <c r="B1" s="4"/>
      <c r="C1" s="262" t="s">
        <v>2</v>
      </c>
      <c r="D1" s="262"/>
      <c r="E1" s="262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4">
      <c r="A2" s="4"/>
      <c r="B2" s="4"/>
      <c r="C2" s="4"/>
      <c r="D2" s="4"/>
      <c r="E2" s="4"/>
      <c r="F2" s="4"/>
      <c r="G2" s="4"/>
      <c r="H2" s="4"/>
      <c r="I2" s="211" t="s">
        <v>3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5" thickBot="1" x14ac:dyDescent="0.4">
      <c r="A3" s="4"/>
      <c r="B3" s="263" t="s">
        <v>4</v>
      </c>
      <c r="C3" s="264"/>
      <c r="D3" s="264"/>
      <c r="E3" s="264"/>
      <c r="F3" s="265"/>
      <c r="G3" s="89"/>
      <c r="I3" s="211" t="s">
        <v>5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35">
      <c r="A4" s="90"/>
      <c r="B4" s="90"/>
      <c r="C4" s="90"/>
      <c r="D4" s="90"/>
      <c r="E4" s="90"/>
      <c r="F4" s="90"/>
      <c r="G4" s="218"/>
      <c r="I4" s="211" t="s">
        <v>6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35">
      <c r="A5" s="268" t="s">
        <v>7</v>
      </c>
      <c r="B5" s="268"/>
      <c r="C5" s="24">
        <v>2.2999999999999998</v>
      </c>
      <c r="D5" s="269" t="s">
        <v>8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35">
      <c r="A7" s="267" t="s">
        <v>9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10</v>
      </c>
      <c r="C8" s="26" t="s">
        <v>11</v>
      </c>
      <c r="D8" s="27" t="s">
        <v>12</v>
      </c>
      <c r="E8" s="28" t="s">
        <v>13</v>
      </c>
      <c r="F8" s="29" t="s">
        <v>14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15</v>
      </c>
      <c r="B9" s="31" t="s">
        <v>207</v>
      </c>
      <c r="C9" s="32">
        <v>0.626</v>
      </c>
      <c r="D9" s="33">
        <f t="shared" ref="D9:D18" si="0">C9*$C$5</f>
        <v>1.4398</v>
      </c>
      <c r="E9" s="34">
        <v>20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16</v>
      </c>
      <c r="H9" s="23">
        <v>45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17</v>
      </c>
      <c r="B10" s="31" t="s">
        <v>250</v>
      </c>
      <c r="C10" s="32">
        <v>0.37</v>
      </c>
      <c r="D10" s="33">
        <f t="shared" si="0"/>
        <v>0.85099999999999998</v>
      </c>
      <c r="E10" s="34">
        <v>45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18</v>
      </c>
      <c r="B11" s="31"/>
      <c r="C11" s="32"/>
      <c r="D11" s="33">
        <f t="shared" si="0"/>
        <v>0</v>
      </c>
      <c r="E11" s="34"/>
      <c r="F11" s="35" t="str">
        <f t="array" ref="F11">IF(E11="","",IF(INDEX(A:A,MAX(IF(ISNUMBER($A$88:$A$107),ROW($A$88:$A$107),"")))&lt;&gt;E11,"Corrigez : révolution incorrecte","OK"))</f>
        <v/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19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20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21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22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23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24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25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8"/>
      <c r="B19" s="36" t="s">
        <v>26</v>
      </c>
      <c r="C19" s="37">
        <f>SUM(C9:C18)</f>
        <v>0.996</v>
      </c>
      <c r="D19" s="38">
        <f>SUM(D9:D18)</f>
        <v>2.2907999999999999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8"/>
      <c r="B20" s="39" t="s">
        <v>14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5">
      <c r="A22" s="266" t="s">
        <v>27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28</v>
      </c>
      <c r="B24" s="42" t="s">
        <v>29</v>
      </c>
      <c r="C24" s="43">
        <v>0</v>
      </c>
      <c r="D24" s="44" t="s">
        <v>30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31</v>
      </c>
      <c r="B25" s="42" t="s">
        <v>32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33</v>
      </c>
      <c r="B26" s="42" t="s">
        <v>34</v>
      </c>
      <c r="C26" s="43">
        <v>0.1</v>
      </c>
      <c r="D26" s="44" t="s">
        <v>35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36</v>
      </c>
      <c r="B27" s="42" t="s">
        <v>37</v>
      </c>
      <c r="C27" s="43">
        <v>0</v>
      </c>
      <c r="D27" s="44" t="s">
        <v>38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5">
      <c r="A30" s="267" t="s">
        <v>39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15</v>
      </c>
      <c r="B32" s="47" t="str">
        <f>IF(B9="","",B9)</f>
        <v>Peuplier Koster</v>
      </c>
      <c r="D32" s="229" t="s">
        <v>40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5" t="s">
        <v>41</v>
      </c>
      <c r="C34" s="258" t="s">
        <v>42</v>
      </c>
      <c r="D34" s="258"/>
      <c r="E34" s="259" t="s">
        <v>43</v>
      </c>
      <c r="F34" s="260"/>
      <c r="G34" s="260"/>
      <c r="H34" s="261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 x14ac:dyDescent="0.35">
      <c r="A35" s="36" t="s">
        <v>44</v>
      </c>
      <c r="B35" s="36" t="s">
        <v>45</v>
      </c>
      <c r="C35" s="48" t="s">
        <v>46</v>
      </c>
      <c r="D35" s="48" t="s">
        <v>47</v>
      </c>
      <c r="E35" s="36" t="s">
        <v>48</v>
      </c>
      <c r="F35" s="36" t="s">
        <v>49</v>
      </c>
      <c r="G35" s="36" t="s">
        <v>50</v>
      </c>
      <c r="H35" s="36" t="s">
        <v>51</v>
      </c>
      <c r="I35" s="48" t="s">
        <v>52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50">
        <v>2</v>
      </c>
      <c r="B36" s="60">
        <v>0.18435897435897397</v>
      </c>
      <c r="C36" s="60">
        <v>0</v>
      </c>
      <c r="D36" s="60">
        <v>0</v>
      </c>
      <c r="E36" s="51">
        <v>0</v>
      </c>
      <c r="F36" s="51">
        <v>0</v>
      </c>
      <c r="G36" s="51">
        <v>0</v>
      </c>
      <c r="H36" s="51">
        <v>0</v>
      </c>
      <c r="I36" s="49">
        <f>IFERROR(B36/A36,"")</f>
        <v>9.2179487179486985E-2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50">
        <v>3</v>
      </c>
      <c r="B37" s="60">
        <v>2.31</v>
      </c>
      <c r="C37" s="60">
        <v>0</v>
      </c>
      <c r="D37" s="60">
        <v>0</v>
      </c>
      <c r="E37" s="51">
        <v>0</v>
      </c>
      <c r="F37" s="51">
        <v>0</v>
      </c>
      <c r="G37" s="51">
        <v>0</v>
      </c>
      <c r="H37" s="51">
        <v>0</v>
      </c>
      <c r="I37" s="53">
        <f t="shared" ref="I37:I55" si="1">IF(A37&lt;&gt;0,(B37-(B36-D36))/(A37-A36),"")</f>
        <v>2.1256410256410261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50">
        <v>4</v>
      </c>
      <c r="B38" s="60">
        <v>6.6838461538461518</v>
      </c>
      <c r="C38" s="60">
        <v>0</v>
      </c>
      <c r="D38" s="60">
        <v>0</v>
      </c>
      <c r="E38" s="51">
        <v>0</v>
      </c>
      <c r="F38" s="51">
        <v>0</v>
      </c>
      <c r="G38" s="51">
        <v>0</v>
      </c>
      <c r="H38" s="51">
        <v>0</v>
      </c>
      <c r="I38" s="53">
        <f t="shared" si="1"/>
        <v>4.3738461538461522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50">
        <v>5</v>
      </c>
      <c r="B39" s="60">
        <v>13.14935897435897</v>
      </c>
      <c r="C39" s="60">
        <v>0</v>
      </c>
      <c r="D39" s="60">
        <v>0</v>
      </c>
      <c r="E39" s="51">
        <v>0</v>
      </c>
      <c r="F39" s="51">
        <v>0</v>
      </c>
      <c r="G39" s="51">
        <v>0</v>
      </c>
      <c r="H39" s="51">
        <v>0</v>
      </c>
      <c r="I39" s="49">
        <f t="shared" si="1"/>
        <v>6.4655128205128181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50">
        <v>6</v>
      </c>
      <c r="B40" s="60">
        <v>21.549999999999997</v>
      </c>
      <c r="C40" s="60">
        <v>0</v>
      </c>
      <c r="D40" s="60">
        <v>0</v>
      </c>
      <c r="E40" s="51">
        <v>0</v>
      </c>
      <c r="F40" s="51">
        <v>0</v>
      </c>
      <c r="G40" s="51">
        <v>0</v>
      </c>
      <c r="H40" s="51">
        <v>0</v>
      </c>
      <c r="I40" s="49">
        <f t="shared" si="1"/>
        <v>8.4006410256410273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50">
        <v>7</v>
      </c>
      <c r="B41" s="60">
        <v>31.729230769230764</v>
      </c>
      <c r="C41" s="60">
        <v>0</v>
      </c>
      <c r="D41" s="60">
        <v>0</v>
      </c>
      <c r="E41" s="51">
        <v>0</v>
      </c>
      <c r="F41" s="51">
        <v>0</v>
      </c>
      <c r="G41" s="51">
        <v>0</v>
      </c>
      <c r="H41" s="51">
        <v>0</v>
      </c>
      <c r="I41" s="53">
        <f t="shared" si="1"/>
        <v>10.179230769230767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50">
        <v>8</v>
      </c>
      <c r="B42" s="60">
        <v>43.530512820512811</v>
      </c>
      <c r="C42" s="60">
        <v>0</v>
      </c>
      <c r="D42" s="60">
        <v>0</v>
      </c>
      <c r="E42" s="51">
        <v>0</v>
      </c>
      <c r="F42" s="51">
        <v>0</v>
      </c>
      <c r="G42" s="51">
        <v>0</v>
      </c>
      <c r="H42" s="51">
        <v>0</v>
      </c>
      <c r="I42" s="53">
        <f t="shared" si="1"/>
        <v>11.801282051282048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50">
        <v>9</v>
      </c>
      <c r="B43" s="60">
        <v>56.797307692307676</v>
      </c>
      <c r="C43" s="60">
        <v>0</v>
      </c>
      <c r="D43" s="60">
        <v>0</v>
      </c>
      <c r="E43" s="51">
        <v>0</v>
      </c>
      <c r="F43" s="51">
        <v>0</v>
      </c>
      <c r="G43" s="51">
        <v>0</v>
      </c>
      <c r="H43" s="51">
        <v>0</v>
      </c>
      <c r="I43" s="49">
        <f t="shared" si="1"/>
        <v>13.266794871794865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50">
        <v>10</v>
      </c>
      <c r="B44" s="60">
        <v>71.373076923076894</v>
      </c>
      <c r="C44" s="60">
        <v>0</v>
      </c>
      <c r="D44" s="60">
        <v>0</v>
      </c>
      <c r="E44" s="51">
        <v>0</v>
      </c>
      <c r="F44" s="51">
        <v>0</v>
      </c>
      <c r="G44" s="51">
        <v>0</v>
      </c>
      <c r="H44" s="51">
        <v>0</v>
      </c>
      <c r="I44" s="49">
        <f t="shared" si="1"/>
        <v>14.575769230769218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50">
        <v>11</v>
      </c>
      <c r="B45" s="60">
        <v>87.101282051282055</v>
      </c>
      <c r="C45" s="60">
        <v>0</v>
      </c>
      <c r="D45" s="60">
        <v>0</v>
      </c>
      <c r="E45" s="51">
        <v>0</v>
      </c>
      <c r="F45" s="51">
        <v>0</v>
      </c>
      <c r="G45" s="51">
        <v>0</v>
      </c>
      <c r="H45" s="51">
        <v>0</v>
      </c>
      <c r="I45" s="49">
        <f t="shared" si="1"/>
        <v>15.728205128205161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50">
        <v>12</v>
      </c>
      <c r="B46" s="60">
        <v>103.82538461538462</v>
      </c>
      <c r="C46" s="60">
        <v>0</v>
      </c>
      <c r="D46" s="60">
        <v>0</v>
      </c>
      <c r="E46" s="51">
        <v>0</v>
      </c>
      <c r="F46" s="51">
        <v>0</v>
      </c>
      <c r="G46" s="51">
        <v>0</v>
      </c>
      <c r="H46" s="51">
        <v>0</v>
      </c>
      <c r="I46" s="49">
        <f t="shared" si="1"/>
        <v>16.724102564102566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50">
        <v>13</v>
      </c>
      <c r="B47" s="60">
        <v>121.38884615384613</v>
      </c>
      <c r="C47" s="60">
        <v>0</v>
      </c>
      <c r="D47" s="60">
        <v>0</v>
      </c>
      <c r="E47" s="51">
        <v>0</v>
      </c>
      <c r="F47" s="51">
        <v>0</v>
      </c>
      <c r="G47" s="51">
        <v>0</v>
      </c>
      <c r="H47" s="51">
        <v>0</v>
      </c>
      <c r="I47" s="49">
        <f t="shared" si="1"/>
        <v>17.56346153846151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50">
        <v>14</v>
      </c>
      <c r="B48" s="60">
        <v>139.63512820512813</v>
      </c>
      <c r="C48" s="60">
        <v>0</v>
      </c>
      <c r="D48" s="60">
        <v>0</v>
      </c>
      <c r="E48" s="51">
        <v>0</v>
      </c>
      <c r="F48" s="51">
        <v>0</v>
      </c>
      <c r="G48" s="51">
        <v>0</v>
      </c>
      <c r="H48" s="51">
        <v>0</v>
      </c>
      <c r="I48" s="49">
        <f t="shared" si="1"/>
        <v>18.246282051281995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50">
        <v>15</v>
      </c>
      <c r="B49" s="60">
        <v>158.40769230769226</v>
      </c>
      <c r="C49" s="60">
        <v>0</v>
      </c>
      <c r="D49" s="60">
        <v>0</v>
      </c>
      <c r="E49" s="51">
        <v>0</v>
      </c>
      <c r="F49" s="51">
        <v>0</v>
      </c>
      <c r="G49" s="51">
        <v>0</v>
      </c>
      <c r="H49" s="51">
        <v>0</v>
      </c>
      <c r="I49" s="49">
        <f t="shared" si="1"/>
        <v>18.772564102564132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50">
        <v>16</v>
      </c>
      <c r="B50" s="50">
        <v>177.54999999999995</v>
      </c>
      <c r="C50" s="50">
        <v>0</v>
      </c>
      <c r="D50" s="50">
        <v>0</v>
      </c>
      <c r="E50" s="51">
        <v>0</v>
      </c>
      <c r="F50" s="51">
        <v>0</v>
      </c>
      <c r="G50" s="51">
        <v>0</v>
      </c>
      <c r="H50" s="51">
        <v>0</v>
      </c>
      <c r="I50" s="49">
        <f t="shared" si="1"/>
        <v>19.142307692307696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50">
        <v>17</v>
      </c>
      <c r="B51" s="50">
        <v>196.90551282051274</v>
      </c>
      <c r="C51" s="50">
        <v>0</v>
      </c>
      <c r="D51" s="50">
        <v>0</v>
      </c>
      <c r="E51" s="51">
        <v>0</v>
      </c>
      <c r="F51" s="51">
        <v>0</v>
      </c>
      <c r="G51" s="51">
        <v>0</v>
      </c>
      <c r="H51" s="51">
        <v>0</v>
      </c>
      <c r="I51" s="49">
        <f t="shared" si="1"/>
        <v>19.355512820512786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50">
        <v>18</v>
      </c>
      <c r="B52" s="50">
        <v>216.31769230769225</v>
      </c>
      <c r="C52" s="50">
        <v>0</v>
      </c>
      <c r="D52" s="50">
        <v>0</v>
      </c>
      <c r="E52" s="51">
        <v>0</v>
      </c>
      <c r="F52" s="51">
        <v>0</v>
      </c>
      <c r="G52" s="51">
        <v>0</v>
      </c>
      <c r="H52" s="51">
        <v>0</v>
      </c>
      <c r="I52" s="49">
        <f t="shared" si="1"/>
        <v>19.412179487179515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50">
        <v>19</v>
      </c>
      <c r="B53" s="50">
        <v>235.63</v>
      </c>
      <c r="C53" s="50">
        <v>0</v>
      </c>
      <c r="D53" s="50">
        <v>0</v>
      </c>
      <c r="E53" s="51">
        <v>0</v>
      </c>
      <c r="F53" s="51">
        <v>0</v>
      </c>
      <c r="G53" s="51">
        <v>0</v>
      </c>
      <c r="H53" s="51">
        <v>0</v>
      </c>
      <c r="I53" s="49">
        <f t="shared" si="1"/>
        <v>19.312307692307741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50">
        <v>20</v>
      </c>
      <c r="B54" s="50">
        <v>254.68589743589735</v>
      </c>
      <c r="C54" s="50" t="s">
        <v>324</v>
      </c>
      <c r="D54" s="50">
        <v>254.68589743589735</v>
      </c>
      <c r="E54" s="51">
        <v>0.7</v>
      </c>
      <c r="F54" s="51">
        <v>0.15</v>
      </c>
      <c r="G54" s="51">
        <v>0.15</v>
      </c>
      <c r="H54" s="51">
        <v>0</v>
      </c>
      <c r="I54" s="49">
        <f t="shared" si="1"/>
        <v>19.05589743589735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17</v>
      </c>
      <c r="B58" s="52" t="str">
        <f>IF(B10="","",B10)</f>
        <v>Robinier faux-acacia</v>
      </c>
      <c r="D58" s="229" t="s">
        <v>40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5" t="s">
        <v>41</v>
      </c>
      <c r="C60" s="258" t="s">
        <v>42</v>
      </c>
      <c r="D60" s="258"/>
      <c r="E60" s="259" t="s">
        <v>43</v>
      </c>
      <c r="F60" s="260"/>
      <c r="G60" s="260"/>
      <c r="H60" s="261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 x14ac:dyDescent="0.35">
      <c r="A61" s="36" t="s">
        <v>44</v>
      </c>
      <c r="B61" s="36" t="s">
        <v>45</v>
      </c>
      <c r="C61" s="48" t="s">
        <v>46</v>
      </c>
      <c r="D61" s="48" t="s">
        <v>47</v>
      </c>
      <c r="E61" s="36" t="s">
        <v>48</v>
      </c>
      <c r="F61" s="36" t="s">
        <v>49</v>
      </c>
      <c r="G61" s="36" t="s">
        <v>50</v>
      </c>
      <c r="H61" s="36" t="s">
        <v>51</v>
      </c>
      <c r="I61" s="48" t="s">
        <v>52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50">
        <v>5</v>
      </c>
      <c r="B62" s="60">
        <v>28</v>
      </c>
      <c r="C62" s="60">
        <v>1</v>
      </c>
      <c r="D62" s="60">
        <v>4</v>
      </c>
      <c r="E62" s="51">
        <v>0</v>
      </c>
      <c r="F62" s="51">
        <v>0</v>
      </c>
      <c r="G62" s="51">
        <v>0</v>
      </c>
      <c r="H62" s="51">
        <v>1</v>
      </c>
      <c r="I62" s="53">
        <f>IFERROR(B62/A62,"")</f>
        <v>5.6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50">
        <v>10</v>
      </c>
      <c r="B63" s="60">
        <v>79</v>
      </c>
      <c r="C63" s="60">
        <v>2</v>
      </c>
      <c r="D63" s="60">
        <v>21</v>
      </c>
      <c r="E63" s="51">
        <v>0</v>
      </c>
      <c r="F63" s="51">
        <v>0</v>
      </c>
      <c r="G63" s="51">
        <v>0</v>
      </c>
      <c r="H63" s="51">
        <v>1</v>
      </c>
      <c r="I63" s="49">
        <f>IF(A63&lt;&gt;0,(B63-(B62-D62))/(A63-A62),"")</f>
        <v>11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50">
        <v>15</v>
      </c>
      <c r="B64" s="60">
        <v>113</v>
      </c>
      <c r="C64" s="60">
        <v>3</v>
      </c>
      <c r="D64" s="60">
        <v>18</v>
      </c>
      <c r="E64" s="51">
        <v>0</v>
      </c>
      <c r="F64" s="51">
        <v>0</v>
      </c>
      <c r="G64" s="51">
        <v>0</v>
      </c>
      <c r="H64" s="51">
        <v>1</v>
      </c>
      <c r="I64" s="49">
        <f>IF(A64&lt;&gt;0,(B64-(B63-D63))/(A64-A63),"")</f>
        <v>11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50">
        <v>20</v>
      </c>
      <c r="B65" s="60">
        <v>145</v>
      </c>
      <c r="C65" s="60">
        <v>4</v>
      </c>
      <c r="D65" s="60">
        <v>14</v>
      </c>
      <c r="E65" s="51">
        <v>0</v>
      </c>
      <c r="F65" s="51">
        <v>0</v>
      </c>
      <c r="G65" s="51">
        <v>0</v>
      </c>
      <c r="H65" s="51">
        <v>1</v>
      </c>
      <c r="I65" s="49">
        <f>IF(A65&lt;&gt;0,(B65-(B64-D64))/(A65-A64),"")</f>
        <v>10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50">
        <v>25</v>
      </c>
      <c r="B66" s="60">
        <v>173</v>
      </c>
      <c r="C66" s="60">
        <v>5</v>
      </c>
      <c r="D66" s="60">
        <v>11</v>
      </c>
      <c r="E66" s="51">
        <v>0</v>
      </c>
      <c r="F66" s="51">
        <v>0</v>
      </c>
      <c r="G66" s="51">
        <v>0</v>
      </c>
      <c r="H66" s="51">
        <v>1</v>
      </c>
      <c r="I66" s="49">
        <f t="shared" ref="I66:I81" si="2">IF(A66&lt;&gt;0,(B66-(B65-D65))/(A66-A65),"")</f>
        <v>8.4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50">
        <v>30</v>
      </c>
      <c r="B67" s="60">
        <v>196</v>
      </c>
      <c r="C67" s="60">
        <v>6</v>
      </c>
      <c r="D67" s="60">
        <v>8</v>
      </c>
      <c r="E67" s="51">
        <v>0</v>
      </c>
      <c r="F67" s="51">
        <v>0.5</v>
      </c>
      <c r="G67" s="51">
        <v>0</v>
      </c>
      <c r="H67" s="51">
        <v>0.5</v>
      </c>
      <c r="I67" s="49">
        <f t="shared" si="2"/>
        <v>6.8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50">
        <v>35</v>
      </c>
      <c r="B68" s="60">
        <v>216</v>
      </c>
      <c r="C68" s="60">
        <v>7</v>
      </c>
      <c r="D68" s="60">
        <v>7</v>
      </c>
      <c r="E68" s="51">
        <v>0</v>
      </c>
      <c r="F68" s="51">
        <v>0.5</v>
      </c>
      <c r="G68" s="51">
        <v>0</v>
      </c>
      <c r="H68" s="51">
        <v>0.5</v>
      </c>
      <c r="I68" s="49">
        <f t="shared" si="2"/>
        <v>5.6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50">
        <v>40</v>
      </c>
      <c r="B69" s="50">
        <v>233</v>
      </c>
      <c r="C69" s="50">
        <v>8</v>
      </c>
      <c r="D69" s="50">
        <v>5</v>
      </c>
      <c r="E69" s="51">
        <v>0</v>
      </c>
      <c r="F69" s="51">
        <v>0.5</v>
      </c>
      <c r="G69" s="51">
        <v>0</v>
      </c>
      <c r="H69" s="51">
        <v>0.5</v>
      </c>
      <c r="I69" s="49">
        <f t="shared" si="2"/>
        <v>4.8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50">
        <v>45</v>
      </c>
      <c r="B70" s="50">
        <v>252</v>
      </c>
      <c r="C70" s="50">
        <v>9</v>
      </c>
      <c r="D70" s="50">
        <v>5</v>
      </c>
      <c r="E70" s="51">
        <v>0.3</v>
      </c>
      <c r="F70" s="51">
        <v>0.4</v>
      </c>
      <c r="G70" s="51">
        <v>0</v>
      </c>
      <c r="H70" s="51">
        <v>0.3</v>
      </c>
      <c r="I70" s="49">
        <f t="shared" si="2"/>
        <v>4.8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18</v>
      </c>
      <c r="B84" s="52" t="str">
        <f>IF(B11="","",B11)</f>
        <v/>
      </c>
      <c r="D84" s="229" t="s">
        <v>40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5" t="s">
        <v>41</v>
      </c>
      <c r="C86" s="258" t="s">
        <v>42</v>
      </c>
      <c r="D86" s="258"/>
      <c r="E86" s="259" t="s">
        <v>43</v>
      </c>
      <c r="F86" s="260"/>
      <c r="G86" s="260"/>
      <c r="H86" s="261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 x14ac:dyDescent="0.35">
      <c r="A87" s="36" t="s">
        <v>44</v>
      </c>
      <c r="B87" s="36" t="s">
        <v>45</v>
      </c>
      <c r="C87" s="48" t="s">
        <v>46</v>
      </c>
      <c r="D87" s="48" t="s">
        <v>47</v>
      </c>
      <c r="E87" s="36" t="s">
        <v>48</v>
      </c>
      <c r="F87" s="36" t="s">
        <v>49</v>
      </c>
      <c r="G87" s="36" t="s">
        <v>50</v>
      </c>
      <c r="H87" s="36" t="s">
        <v>51</v>
      </c>
      <c r="I87" s="48" t="s">
        <v>52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50"/>
      <c r="B88" s="60"/>
      <c r="C88" s="60"/>
      <c r="D88" s="60"/>
      <c r="E88" s="51"/>
      <c r="F88" s="51"/>
      <c r="G88" s="51"/>
      <c r="H88" s="87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50"/>
      <c r="B89" s="60"/>
      <c r="C89" s="60"/>
      <c r="D89" s="60"/>
      <c r="E89" s="51"/>
      <c r="F89" s="51"/>
      <c r="G89" s="51"/>
      <c r="H89" s="87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50"/>
      <c r="B90" s="60"/>
      <c r="C90" s="60"/>
      <c r="D90" s="60"/>
      <c r="E90" s="87"/>
      <c r="F90" s="87"/>
      <c r="G90" s="87"/>
      <c r="H90" s="87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50"/>
      <c r="B91" s="60"/>
      <c r="C91" s="60"/>
      <c r="D91" s="60"/>
      <c r="E91" s="87"/>
      <c r="F91" s="87"/>
      <c r="G91" s="87"/>
      <c r="H91" s="87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50"/>
      <c r="B92" s="60"/>
      <c r="C92" s="60"/>
      <c r="D92" s="60"/>
      <c r="E92" s="87"/>
      <c r="F92" s="87"/>
      <c r="G92" s="87"/>
      <c r="H92" s="87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50"/>
      <c r="B93" s="60"/>
      <c r="C93" s="60"/>
      <c r="D93" s="60"/>
      <c r="E93" s="87"/>
      <c r="F93" s="87"/>
      <c r="G93" s="87"/>
      <c r="H93" s="87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50"/>
      <c r="B94" s="60"/>
      <c r="C94" s="60"/>
      <c r="D94" s="60"/>
      <c r="E94" s="87"/>
      <c r="F94" s="87"/>
      <c r="G94" s="87"/>
      <c r="H94" s="87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19</v>
      </c>
      <c r="B110" s="52" t="str">
        <f>IF(B12="","",B12)</f>
        <v/>
      </c>
      <c r="D110" s="229" t="s">
        <v>40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5" t="s">
        <v>41</v>
      </c>
      <c r="C112" s="258" t="s">
        <v>42</v>
      </c>
      <c r="D112" s="258"/>
      <c r="E112" s="259" t="s">
        <v>43</v>
      </c>
      <c r="F112" s="260"/>
      <c r="G112" s="260"/>
      <c r="H112" s="261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 x14ac:dyDescent="0.35">
      <c r="A113" s="36" t="s">
        <v>44</v>
      </c>
      <c r="B113" s="36" t="s">
        <v>45</v>
      </c>
      <c r="C113" s="48" t="s">
        <v>46</v>
      </c>
      <c r="D113" s="48" t="s">
        <v>47</v>
      </c>
      <c r="E113" s="36" t="s">
        <v>48</v>
      </c>
      <c r="F113" s="36" t="s">
        <v>49</v>
      </c>
      <c r="G113" s="36" t="s">
        <v>50</v>
      </c>
      <c r="H113" s="36" t="s">
        <v>51</v>
      </c>
      <c r="I113" s="48" t="s">
        <v>52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20</v>
      </c>
      <c r="B136" s="52" t="str">
        <f>IF(B13="","",B13)</f>
        <v/>
      </c>
      <c r="D136" s="229" t="s">
        <v>40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5" t="s">
        <v>41</v>
      </c>
      <c r="C138" s="258" t="s">
        <v>42</v>
      </c>
      <c r="D138" s="258"/>
      <c r="E138" s="259" t="s">
        <v>43</v>
      </c>
      <c r="F138" s="260"/>
      <c r="G138" s="260"/>
      <c r="H138" s="261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 x14ac:dyDescent="0.35">
      <c r="A139" s="36" t="s">
        <v>44</v>
      </c>
      <c r="B139" s="36" t="s">
        <v>45</v>
      </c>
      <c r="C139" s="48" t="s">
        <v>46</v>
      </c>
      <c r="D139" s="48" t="s">
        <v>47</v>
      </c>
      <c r="E139" s="36" t="s">
        <v>48</v>
      </c>
      <c r="F139" s="36" t="s">
        <v>49</v>
      </c>
      <c r="G139" s="36" t="s">
        <v>50</v>
      </c>
      <c r="H139" s="36" t="s">
        <v>51</v>
      </c>
      <c r="I139" s="48" t="s">
        <v>52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21</v>
      </c>
      <c r="B162" s="52" t="str">
        <f>IF(B14="","",B14)</f>
        <v/>
      </c>
      <c r="D162" s="229" t="s">
        <v>40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5" t="s">
        <v>41</v>
      </c>
      <c r="C164" s="258" t="s">
        <v>42</v>
      </c>
      <c r="D164" s="258"/>
      <c r="E164" s="259" t="s">
        <v>43</v>
      </c>
      <c r="F164" s="260"/>
      <c r="G164" s="260"/>
      <c r="H164" s="261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 x14ac:dyDescent="0.35">
      <c r="A165" s="36" t="s">
        <v>44</v>
      </c>
      <c r="B165" s="36" t="s">
        <v>45</v>
      </c>
      <c r="C165" s="48" t="s">
        <v>46</v>
      </c>
      <c r="D165" s="48" t="s">
        <v>47</v>
      </c>
      <c r="E165" s="36" t="s">
        <v>48</v>
      </c>
      <c r="F165" s="36" t="s">
        <v>49</v>
      </c>
      <c r="G165" s="36" t="s">
        <v>50</v>
      </c>
      <c r="H165" s="36" t="s">
        <v>51</v>
      </c>
      <c r="I165" s="48" t="s">
        <v>52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22</v>
      </c>
      <c r="B188" s="52" t="str">
        <f>IF(B15="","",B15)</f>
        <v/>
      </c>
      <c r="D188" s="229" t="s">
        <v>40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5" t="s">
        <v>41</v>
      </c>
      <c r="C190" s="258" t="s">
        <v>42</v>
      </c>
      <c r="D190" s="258"/>
      <c r="E190" s="259" t="s">
        <v>43</v>
      </c>
      <c r="F190" s="260"/>
      <c r="G190" s="260"/>
      <c r="H190" s="261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 x14ac:dyDescent="0.35">
      <c r="A191" s="36" t="s">
        <v>44</v>
      </c>
      <c r="B191" s="36" t="s">
        <v>45</v>
      </c>
      <c r="C191" s="48" t="s">
        <v>46</v>
      </c>
      <c r="D191" s="48" t="s">
        <v>47</v>
      </c>
      <c r="E191" s="36" t="s">
        <v>48</v>
      </c>
      <c r="F191" s="36" t="s">
        <v>49</v>
      </c>
      <c r="G191" s="36" t="s">
        <v>50</v>
      </c>
      <c r="H191" s="36" t="s">
        <v>51</v>
      </c>
      <c r="I191" s="48" t="s">
        <v>52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23</v>
      </c>
      <c r="B214" s="52" t="str">
        <f>IF(B16="","",B16)</f>
        <v/>
      </c>
      <c r="D214" s="229" t="s">
        <v>40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5" t="s">
        <v>41</v>
      </c>
      <c r="C216" s="258" t="s">
        <v>42</v>
      </c>
      <c r="D216" s="258"/>
      <c r="E216" s="259" t="s">
        <v>43</v>
      </c>
      <c r="F216" s="260"/>
      <c r="G216" s="260"/>
      <c r="H216" s="261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 x14ac:dyDescent="0.35">
      <c r="A217" s="36" t="s">
        <v>44</v>
      </c>
      <c r="B217" s="36" t="s">
        <v>45</v>
      </c>
      <c r="C217" s="48" t="s">
        <v>46</v>
      </c>
      <c r="D217" s="48" t="s">
        <v>47</v>
      </c>
      <c r="E217" s="36" t="s">
        <v>48</v>
      </c>
      <c r="F217" s="36" t="s">
        <v>49</v>
      </c>
      <c r="G217" s="36" t="s">
        <v>50</v>
      </c>
      <c r="H217" s="36" t="s">
        <v>51</v>
      </c>
      <c r="I217" s="48" t="s">
        <v>52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24</v>
      </c>
      <c r="B240" s="52" t="str">
        <f>IF(B17="","",B17)</f>
        <v/>
      </c>
      <c r="D240" s="229" t="s">
        <v>40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5" t="s">
        <v>41</v>
      </c>
      <c r="C242" s="258" t="s">
        <v>42</v>
      </c>
      <c r="D242" s="258"/>
      <c r="E242" s="259" t="s">
        <v>43</v>
      </c>
      <c r="F242" s="260"/>
      <c r="G242" s="260"/>
      <c r="H242" s="261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 x14ac:dyDescent="0.35">
      <c r="A243" s="36" t="s">
        <v>44</v>
      </c>
      <c r="B243" s="36" t="s">
        <v>45</v>
      </c>
      <c r="C243" s="48" t="s">
        <v>46</v>
      </c>
      <c r="D243" s="48" t="s">
        <v>47</v>
      </c>
      <c r="E243" s="36" t="s">
        <v>48</v>
      </c>
      <c r="F243" s="36" t="s">
        <v>49</v>
      </c>
      <c r="G243" s="36" t="s">
        <v>50</v>
      </c>
      <c r="H243" s="36" t="s">
        <v>51</v>
      </c>
      <c r="I243" s="48" t="s">
        <v>52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25</v>
      </c>
      <c r="B266" s="52" t="str">
        <f>IF(B18="","",B18)</f>
        <v/>
      </c>
      <c r="D266" s="229" t="s">
        <v>40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5" t="s">
        <v>41</v>
      </c>
      <c r="C268" s="258" t="s">
        <v>42</v>
      </c>
      <c r="D268" s="258"/>
      <c r="E268" s="259" t="s">
        <v>43</v>
      </c>
      <c r="F268" s="260"/>
      <c r="G268" s="260"/>
      <c r="H268" s="261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 x14ac:dyDescent="0.35">
      <c r="A269" s="36" t="s">
        <v>44</v>
      </c>
      <c r="B269" s="36" t="s">
        <v>45</v>
      </c>
      <c r="C269" s="48" t="s">
        <v>46</v>
      </c>
      <c r="D269" s="48" t="s">
        <v>47</v>
      </c>
      <c r="E269" s="36" t="s">
        <v>48</v>
      </c>
      <c r="F269" s="36" t="s">
        <v>49</v>
      </c>
      <c r="G269" s="36" t="s">
        <v>50</v>
      </c>
      <c r="H269" s="36" t="s">
        <v>51</v>
      </c>
      <c r="I269" s="48" t="s">
        <v>52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C1" zoomScaleNormal="100" workbookViewId="0">
      <selection activeCell="G16" sqref="G16"/>
    </sheetView>
  </sheetViews>
  <sheetFormatPr baseColWidth="10" defaultColWidth="11.453125" defaultRowHeight="14.5" x14ac:dyDescent="0.35"/>
  <cols>
    <col min="1" max="1" width="5.81640625" style="1" customWidth="1"/>
    <col min="2" max="2" width="14.1796875" style="1" customWidth="1"/>
    <col min="3" max="3" width="62.1796875" style="1" customWidth="1"/>
    <col min="4" max="5" width="4.26953125" style="1" customWidth="1"/>
    <col min="6" max="6" width="14.26953125" style="1" customWidth="1"/>
    <col min="7" max="7" width="73.26953125" style="1" bestFit="1" customWidth="1"/>
    <col min="8" max="10" width="11.453125" style="1"/>
    <col min="11" max="11" width="12.54296875" style="1" customWidth="1"/>
    <col min="12" max="16384" width="11.453125" style="1"/>
  </cols>
  <sheetData>
    <row r="1" spans="1:38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5" thickBot="1" x14ac:dyDescent="0.65">
      <c r="A2" s="4"/>
      <c r="B2" s="272" t="s">
        <v>53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8" t="s">
        <v>54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9"/>
      <c r="B7" s="26" t="s">
        <v>55</v>
      </c>
      <c r="C7" s="100" t="s">
        <v>56</v>
      </c>
      <c r="D7" s="215"/>
      <c r="E7" s="101"/>
      <c r="F7" s="26" t="s">
        <v>55</v>
      </c>
      <c r="G7" s="100" t="s">
        <v>57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5">
      <c r="A8" s="105">
        <v>1</v>
      </c>
      <c r="B8" s="61">
        <v>1</v>
      </c>
      <c r="C8" s="49" t="s">
        <v>58</v>
      </c>
      <c r="D8" s="23"/>
      <c r="E8" s="105">
        <v>4</v>
      </c>
      <c r="F8" s="61">
        <v>0</v>
      </c>
      <c r="G8" s="102" t="s">
        <v>59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5">
        <v>2</v>
      </c>
      <c r="B9" s="61">
        <v>0</v>
      </c>
      <c r="C9" s="108" t="s">
        <v>60</v>
      </c>
      <c r="D9" s="23"/>
      <c r="E9" s="105">
        <v>5</v>
      </c>
      <c r="F9" s="61">
        <v>0</v>
      </c>
      <c r="G9" s="103" t="s">
        <v>61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5">
        <v>3</v>
      </c>
      <c r="B10" s="61">
        <v>0</v>
      </c>
      <c r="C10" s="109" t="s">
        <v>62</v>
      </c>
      <c r="D10" s="23"/>
      <c r="E10" s="4"/>
      <c r="F10" s="106">
        <f>SUM(F7:F9)</f>
        <v>0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6"/>
      <c r="B13" s="107"/>
      <c r="C13" s="98" t="s">
        <v>63</v>
      </c>
      <c r="D13" s="216"/>
      <c r="E13" s="99"/>
      <c r="F13" s="107"/>
      <c r="G13" s="98" t="s">
        <v>64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5">
      <c r="A14" s="216"/>
      <c r="B14" s="107"/>
      <c r="C14" s="98" t="s">
        <v>65</v>
      </c>
      <c r="D14" s="216"/>
      <c r="E14" s="99"/>
      <c r="F14" s="107"/>
      <c r="G14" s="98" t="s">
        <v>66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5">
      <c r="A15" s="23"/>
      <c r="B15" s="26" t="s">
        <v>55</v>
      </c>
      <c r="C15" s="4"/>
      <c r="D15" s="23"/>
      <c r="E15" s="4"/>
      <c r="F15" s="4"/>
      <c r="G15" s="2" t="s">
        <v>67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1</v>
      </c>
      <c r="C16" s="110" t="s">
        <v>68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0</v>
      </c>
      <c r="C17" s="110" t="s">
        <v>69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10" t="s">
        <v>70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6">
        <f>SUM(B16:B18)</f>
        <v>1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/>
    <col min="5" max="5" width="9.54296875" style="4" customWidth="1"/>
    <col min="6" max="7" width="11.453125" style="4"/>
    <col min="8" max="8" width="10.7265625" style="4" customWidth="1"/>
    <col min="9" max="9" width="9.453125" style="4" customWidth="1"/>
    <col min="10" max="11" width="10.54296875" style="4" bestFit="1" customWidth="1"/>
    <col min="12" max="12" width="14" style="4" bestFit="1" customWidth="1"/>
    <col min="13" max="13" width="14" style="4" customWidth="1"/>
    <col min="14" max="23" width="11.453125" style="4"/>
    <col min="24" max="24" width="11.7265625" style="4" bestFit="1" customWidth="1"/>
    <col min="25" max="25" width="14.54296875" style="4" bestFit="1" customWidth="1"/>
    <col min="26" max="26" width="12.453125" style="4" bestFit="1" customWidth="1"/>
    <col min="27" max="27" width="9.72656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/>
    <col min="33" max="34" width="14" style="4" bestFit="1" customWidth="1"/>
    <col min="35" max="35" width="10.54296875" style="4" bestFit="1" customWidth="1"/>
    <col min="36" max="36" width="9.453125" style="4" bestFit="1" customWidth="1"/>
    <col min="37" max="38" width="10.54296875" style="4" bestFit="1" customWidth="1"/>
    <col min="39" max="41" width="10.54296875" style="4" customWidth="1"/>
    <col min="42" max="42" width="9" style="4" bestFit="1" customWidth="1"/>
    <col min="43" max="43" width="10.54296875" style="4" bestFit="1" customWidth="1"/>
    <col min="44" max="44" width="9.26953125" style="4" bestFit="1" customWidth="1"/>
    <col min="45" max="45" width="11.7265625" style="4" bestFit="1" customWidth="1"/>
    <col min="46" max="46" width="8.453125" style="4" bestFit="1" customWidth="1"/>
    <col min="47" max="47" width="9.453125" style="4" bestFit="1" customWidth="1"/>
    <col min="48" max="48" width="9.72656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54296875" style="4" bestFit="1" customWidth="1"/>
    <col min="54" max="54" width="14.26953125" style="4" customWidth="1"/>
    <col min="55" max="55" width="14" style="4" customWidth="1"/>
    <col min="56" max="56" width="10.54296875" style="4" bestFit="1" customWidth="1"/>
    <col min="57" max="57" width="9.453125" style="4" bestFit="1" customWidth="1"/>
    <col min="58" max="59" width="10.54296875" style="4" bestFit="1" customWidth="1"/>
    <col min="60" max="62" width="10.54296875" style="4" customWidth="1"/>
    <col min="63" max="63" width="9" style="4" bestFit="1" customWidth="1"/>
    <col min="64" max="64" width="10.54296875" style="4" bestFit="1" customWidth="1"/>
    <col min="65" max="65" width="9.26953125" style="4" bestFit="1" customWidth="1"/>
    <col min="66" max="66" width="11.7265625" style="4" bestFit="1" customWidth="1"/>
    <col min="67" max="67" width="8.453125" style="4" bestFit="1" customWidth="1"/>
    <col min="68" max="68" width="9.453125" style="4" bestFit="1" customWidth="1"/>
    <col min="69" max="69" width="9.72656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54296875" style="4" bestFit="1" customWidth="1"/>
    <col min="75" max="75" width="14" style="4" bestFit="1" customWidth="1"/>
    <col min="76" max="76" width="13.81640625" style="4" customWidth="1"/>
    <col min="77" max="77" width="10.54296875" style="4" bestFit="1" customWidth="1"/>
    <col min="78" max="78" width="9.453125" style="4" bestFit="1" customWidth="1"/>
    <col min="79" max="80" width="10.54296875" style="4" bestFit="1" customWidth="1"/>
    <col min="81" max="83" width="10.54296875" style="4" customWidth="1"/>
    <col min="84" max="84" width="11.453125" style="4"/>
    <col min="85" max="85" width="10.54296875" style="4" bestFit="1" customWidth="1"/>
    <col min="86" max="86" width="9.26953125" style="4" bestFit="1" customWidth="1"/>
    <col min="87" max="87" width="11.7265625" style="4" bestFit="1" customWidth="1"/>
    <col min="88" max="88" width="8.453125" style="4" bestFit="1" customWidth="1"/>
    <col min="89" max="89" width="9.453125" style="4" bestFit="1" customWidth="1"/>
    <col min="90" max="90" width="9.72656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/>
    <col min="96" max="97" width="14" style="4" customWidth="1"/>
    <col min="98" max="98" width="10.54296875" style="4" bestFit="1" customWidth="1"/>
    <col min="99" max="99" width="9.453125" style="4" bestFit="1" customWidth="1"/>
    <col min="100" max="101" width="10.54296875" style="4" bestFit="1" customWidth="1"/>
    <col min="102" max="104" width="10.54296875" style="4" customWidth="1"/>
    <col min="105" max="105" width="9" style="4" bestFit="1" customWidth="1"/>
    <col min="106" max="106" width="10.54296875" style="4" bestFit="1" customWidth="1"/>
    <col min="107" max="107" width="9.26953125" style="4" bestFit="1" customWidth="1"/>
    <col min="108" max="108" width="11.7265625" style="4" bestFit="1" customWidth="1"/>
    <col min="109" max="109" width="8.453125" style="4" bestFit="1" customWidth="1"/>
    <col min="110" max="110" width="9.453125" style="4" bestFit="1" customWidth="1"/>
    <col min="111" max="111" width="9.72656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54296875" style="4" bestFit="1" customWidth="1"/>
    <col min="117" max="117" width="14.26953125" style="4" customWidth="1"/>
    <col min="118" max="118" width="14" style="4" bestFit="1" customWidth="1"/>
    <col min="119" max="119" width="10.54296875" style="4" bestFit="1" customWidth="1"/>
    <col min="120" max="120" width="9.453125" style="4" bestFit="1" customWidth="1"/>
    <col min="121" max="122" width="10.54296875" style="4" bestFit="1" customWidth="1"/>
    <col min="123" max="125" width="10.54296875" style="4" customWidth="1"/>
    <col min="126" max="126" width="9" style="4" bestFit="1" customWidth="1"/>
    <col min="127" max="127" width="10.54296875" style="4" bestFit="1" customWidth="1"/>
    <col min="128" max="128" width="9.26953125" style="4" bestFit="1" customWidth="1"/>
    <col min="129" max="129" width="11.7265625" style="4" bestFit="1" customWidth="1"/>
    <col min="130" max="130" width="8.453125" style="4" bestFit="1" customWidth="1"/>
    <col min="131" max="131" width="9.453125" style="4" bestFit="1" customWidth="1"/>
    <col min="132" max="132" width="9.72656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54296875" style="4" bestFit="1" customWidth="1"/>
    <col min="138" max="139" width="14" style="4" customWidth="1"/>
    <col min="140" max="140" width="10.54296875" style="4" bestFit="1" customWidth="1"/>
    <col min="141" max="141" width="9.453125" style="4" bestFit="1" customWidth="1"/>
    <col min="142" max="143" width="10.54296875" style="4" bestFit="1" customWidth="1"/>
    <col min="144" max="146" width="10.54296875" style="4" customWidth="1"/>
    <col min="147" max="147" width="9" style="4" bestFit="1" customWidth="1"/>
    <col min="148" max="148" width="10.54296875" style="4" bestFit="1" customWidth="1"/>
    <col min="149" max="149" width="9.26953125" style="4" bestFit="1" customWidth="1"/>
    <col min="150" max="150" width="11.7265625" style="4" bestFit="1" customWidth="1"/>
    <col min="151" max="151" width="8.453125" style="4" bestFit="1" customWidth="1"/>
    <col min="152" max="152" width="9.453125" style="4" bestFit="1" customWidth="1"/>
    <col min="153" max="153" width="9.72656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/>
    <col min="159" max="160" width="14" style="4" bestFit="1" customWidth="1"/>
    <col min="161" max="161" width="10.54296875" style="4" bestFit="1" customWidth="1"/>
    <col min="162" max="162" width="9.453125" style="4" bestFit="1" customWidth="1"/>
    <col min="163" max="164" width="10.54296875" style="4" bestFit="1" customWidth="1"/>
    <col min="165" max="167" width="10.54296875" style="4" customWidth="1"/>
    <col min="168" max="168" width="9" style="4" bestFit="1" customWidth="1"/>
    <col min="169" max="169" width="10.54296875" style="4" bestFit="1" customWidth="1"/>
    <col min="170" max="170" width="9.26953125" style="4" bestFit="1" customWidth="1"/>
    <col min="171" max="171" width="11.7265625" style="4" bestFit="1" customWidth="1"/>
    <col min="172" max="172" width="8.1796875" style="4" bestFit="1" customWidth="1"/>
    <col min="173" max="173" width="9.453125" style="4" bestFit="1" customWidth="1"/>
    <col min="174" max="174" width="9.72656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54296875" style="4" bestFit="1" customWidth="1"/>
    <col min="180" max="181" width="14" style="4" bestFit="1" customWidth="1"/>
    <col min="182" max="182" width="10.54296875" style="4" bestFit="1" customWidth="1"/>
    <col min="183" max="183" width="9.453125" style="4" bestFit="1" customWidth="1"/>
    <col min="184" max="185" width="10.54296875" style="4" bestFit="1" customWidth="1"/>
    <col min="186" max="188" width="10.54296875" style="4" customWidth="1"/>
    <col min="189" max="189" width="9" style="4" bestFit="1" customWidth="1"/>
    <col min="190" max="190" width="10.54296875" style="4" bestFit="1" customWidth="1"/>
    <col min="191" max="191" width="9.26953125" style="4" bestFit="1" customWidth="1"/>
    <col min="192" max="192" width="11.453125" style="4"/>
    <col min="193" max="193" width="8.453125" style="4" bestFit="1" customWidth="1"/>
    <col min="194" max="194" width="9.453125" style="4" bestFit="1" customWidth="1"/>
    <col min="195" max="195" width="9.72656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54296875" style="4" bestFit="1" customWidth="1"/>
    <col min="201" max="201" width="14" style="4" customWidth="1"/>
    <col min="202" max="202" width="14.26953125" style="4" customWidth="1"/>
    <col min="203" max="203" width="10.54296875" style="4" bestFit="1" customWidth="1"/>
    <col min="204" max="204" width="9.453125" style="4" bestFit="1" customWidth="1"/>
    <col min="205" max="206" width="10.54296875" style="4" bestFit="1" customWidth="1"/>
    <col min="207" max="209" width="10.54296875" style="4" customWidth="1"/>
    <col min="210" max="210" width="9" style="4" bestFit="1" customWidth="1"/>
    <col min="211" max="211" width="10.54296875" style="4" bestFit="1" customWidth="1"/>
    <col min="212" max="212" width="9.26953125" style="4" bestFit="1" customWidth="1"/>
    <col min="213" max="213" width="11.7265625" style="4" bestFit="1" customWidth="1"/>
    <col min="214" max="214" width="8.453125" style="4" bestFit="1" customWidth="1"/>
    <col min="215" max="215" width="9.453125" style="4" bestFit="1" customWidth="1"/>
    <col min="216" max="216" width="9.7265625" style="4" bestFit="1" customWidth="1"/>
    <col min="217" max="217" width="11" style="4" bestFit="1" customWidth="1"/>
    <col min="218" max="218" width="9.453125" style="4" bestFit="1" customWidth="1"/>
    <col min="219" max="16384" width="11.453125" style="4"/>
  </cols>
  <sheetData>
    <row r="1" spans="1:218" ht="26.5" thickBot="1" x14ac:dyDescent="0.65">
      <c r="B1" s="278" t="s">
        <v>71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Peuplier Koster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>Robinier faux-acacia</v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/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/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/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/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/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58.5" thickBot="1" x14ac:dyDescent="0.4">
      <c r="A2" s="71" t="s">
        <v>72</v>
      </c>
      <c r="B2" s="72" t="s">
        <v>73</v>
      </c>
      <c r="C2" s="5" t="s">
        <v>74</v>
      </c>
      <c r="D2" s="5" t="s">
        <v>75</v>
      </c>
      <c r="E2" s="5" t="s">
        <v>76</v>
      </c>
      <c r="F2" s="5" t="s">
        <v>77</v>
      </c>
      <c r="G2" s="5" t="s">
        <v>78</v>
      </c>
      <c r="H2" s="66" t="s">
        <v>79</v>
      </c>
      <c r="I2" s="68" t="s">
        <v>76</v>
      </c>
      <c r="J2" s="69" t="s">
        <v>77</v>
      </c>
      <c r="K2" s="6" t="s">
        <v>80</v>
      </c>
      <c r="L2" s="6" t="s">
        <v>81</v>
      </c>
      <c r="M2" s="6" t="s">
        <v>81</v>
      </c>
      <c r="N2" s="6" t="s">
        <v>82</v>
      </c>
      <c r="O2" s="6" t="s">
        <v>83</v>
      </c>
      <c r="P2" s="6" t="s">
        <v>84</v>
      </c>
      <c r="Q2" s="6" t="s">
        <v>78</v>
      </c>
      <c r="R2" s="6" t="s">
        <v>85</v>
      </c>
      <c r="S2" s="6" t="s">
        <v>86</v>
      </c>
      <c r="T2" s="6" t="s">
        <v>87</v>
      </c>
      <c r="U2" s="7" t="s">
        <v>88</v>
      </c>
      <c r="V2" s="8" t="s">
        <v>89</v>
      </c>
      <c r="W2" s="7" t="s">
        <v>48</v>
      </c>
      <c r="X2" s="7" t="s">
        <v>49</v>
      </c>
      <c r="Y2" s="7" t="s">
        <v>90</v>
      </c>
      <c r="Z2" s="8" t="s">
        <v>91</v>
      </c>
      <c r="AA2" s="8" t="s">
        <v>92</v>
      </c>
      <c r="AB2" s="8" t="s">
        <v>93</v>
      </c>
      <c r="AC2" s="9" t="s">
        <v>94</v>
      </c>
      <c r="AD2" s="69" t="s">
        <v>76</v>
      </c>
      <c r="AE2" s="69" t="s">
        <v>77</v>
      </c>
      <c r="AF2" s="6" t="s">
        <v>80</v>
      </c>
      <c r="AG2" s="6" t="s">
        <v>81</v>
      </c>
      <c r="AH2" s="6" t="s">
        <v>81</v>
      </c>
      <c r="AI2" s="6" t="s">
        <v>82</v>
      </c>
      <c r="AJ2" s="6" t="s">
        <v>83</v>
      </c>
      <c r="AK2" s="6" t="s">
        <v>84</v>
      </c>
      <c r="AL2" s="6" t="s">
        <v>78</v>
      </c>
      <c r="AM2" s="6" t="s">
        <v>85</v>
      </c>
      <c r="AN2" s="6" t="s">
        <v>86</v>
      </c>
      <c r="AO2" s="6" t="s">
        <v>87</v>
      </c>
      <c r="AP2" s="7" t="s">
        <v>88</v>
      </c>
      <c r="AQ2" s="8" t="s">
        <v>89</v>
      </c>
      <c r="AR2" s="7" t="s">
        <v>48</v>
      </c>
      <c r="AS2" s="7" t="s">
        <v>49</v>
      </c>
      <c r="AT2" s="8" t="s">
        <v>95</v>
      </c>
      <c r="AU2" s="8" t="s">
        <v>91</v>
      </c>
      <c r="AV2" s="8" t="s">
        <v>92</v>
      </c>
      <c r="AW2" s="8" t="s">
        <v>93</v>
      </c>
      <c r="AX2" s="8" t="s">
        <v>94</v>
      </c>
      <c r="AY2" s="68" t="s">
        <v>76</v>
      </c>
      <c r="AZ2" s="69" t="s">
        <v>77</v>
      </c>
      <c r="BA2" s="6" t="s">
        <v>80</v>
      </c>
      <c r="BB2" s="6" t="s">
        <v>81</v>
      </c>
      <c r="BC2" s="6" t="s">
        <v>81</v>
      </c>
      <c r="BD2" s="6" t="s">
        <v>82</v>
      </c>
      <c r="BE2" s="6" t="s">
        <v>83</v>
      </c>
      <c r="BF2" s="6" t="s">
        <v>84</v>
      </c>
      <c r="BG2" s="6" t="s">
        <v>78</v>
      </c>
      <c r="BH2" s="6" t="s">
        <v>85</v>
      </c>
      <c r="BI2" s="6" t="s">
        <v>86</v>
      </c>
      <c r="BJ2" s="6" t="s">
        <v>87</v>
      </c>
      <c r="BK2" s="7" t="s">
        <v>88</v>
      </c>
      <c r="BL2" s="8" t="s">
        <v>89</v>
      </c>
      <c r="BM2" s="7" t="s">
        <v>48</v>
      </c>
      <c r="BN2" s="7" t="s">
        <v>49</v>
      </c>
      <c r="BO2" s="8" t="s">
        <v>95</v>
      </c>
      <c r="BP2" s="8" t="s">
        <v>91</v>
      </c>
      <c r="BQ2" s="8" t="s">
        <v>92</v>
      </c>
      <c r="BR2" s="8" t="s">
        <v>93</v>
      </c>
      <c r="BS2" s="9" t="s">
        <v>94</v>
      </c>
      <c r="BT2" s="68" t="s">
        <v>76</v>
      </c>
      <c r="BU2" s="69" t="s">
        <v>77</v>
      </c>
      <c r="BV2" s="6" t="s">
        <v>80</v>
      </c>
      <c r="BW2" s="6" t="s">
        <v>81</v>
      </c>
      <c r="BX2" s="6" t="s">
        <v>81</v>
      </c>
      <c r="BY2" s="6" t="s">
        <v>82</v>
      </c>
      <c r="BZ2" s="6" t="s">
        <v>83</v>
      </c>
      <c r="CA2" s="6" t="s">
        <v>84</v>
      </c>
      <c r="CB2" s="6" t="s">
        <v>78</v>
      </c>
      <c r="CC2" s="6" t="s">
        <v>85</v>
      </c>
      <c r="CD2" s="6" t="s">
        <v>86</v>
      </c>
      <c r="CE2" s="6" t="s">
        <v>87</v>
      </c>
      <c r="CF2" s="7" t="s">
        <v>88</v>
      </c>
      <c r="CG2" s="8" t="s">
        <v>89</v>
      </c>
      <c r="CH2" s="7" t="s">
        <v>48</v>
      </c>
      <c r="CI2" s="7" t="s">
        <v>49</v>
      </c>
      <c r="CJ2" s="8" t="s">
        <v>95</v>
      </c>
      <c r="CK2" s="8" t="s">
        <v>91</v>
      </c>
      <c r="CL2" s="8" t="s">
        <v>92</v>
      </c>
      <c r="CM2" s="8" t="s">
        <v>93</v>
      </c>
      <c r="CN2" s="9" t="s">
        <v>94</v>
      </c>
      <c r="CO2" s="68" t="s">
        <v>76</v>
      </c>
      <c r="CP2" s="69" t="s">
        <v>77</v>
      </c>
      <c r="CQ2" s="6" t="s">
        <v>80</v>
      </c>
      <c r="CR2" s="6" t="s">
        <v>81</v>
      </c>
      <c r="CS2" s="6" t="s">
        <v>81</v>
      </c>
      <c r="CT2" s="6" t="s">
        <v>82</v>
      </c>
      <c r="CU2" s="6" t="s">
        <v>83</v>
      </c>
      <c r="CV2" s="6" t="s">
        <v>84</v>
      </c>
      <c r="CW2" s="6" t="s">
        <v>78</v>
      </c>
      <c r="CX2" s="6" t="s">
        <v>85</v>
      </c>
      <c r="CY2" s="6" t="s">
        <v>86</v>
      </c>
      <c r="CZ2" s="6" t="s">
        <v>87</v>
      </c>
      <c r="DA2" s="7" t="s">
        <v>88</v>
      </c>
      <c r="DB2" s="8" t="s">
        <v>89</v>
      </c>
      <c r="DC2" s="7" t="s">
        <v>48</v>
      </c>
      <c r="DD2" s="7" t="s">
        <v>49</v>
      </c>
      <c r="DE2" s="8" t="s">
        <v>95</v>
      </c>
      <c r="DF2" s="8" t="s">
        <v>91</v>
      </c>
      <c r="DG2" s="8" t="s">
        <v>92</v>
      </c>
      <c r="DH2" s="8" t="s">
        <v>93</v>
      </c>
      <c r="DI2" s="9" t="s">
        <v>94</v>
      </c>
      <c r="DJ2" s="68" t="s">
        <v>76</v>
      </c>
      <c r="DK2" s="69" t="s">
        <v>77</v>
      </c>
      <c r="DL2" s="6" t="s">
        <v>80</v>
      </c>
      <c r="DM2" s="6" t="s">
        <v>81</v>
      </c>
      <c r="DN2" s="6" t="s">
        <v>81</v>
      </c>
      <c r="DO2" s="6" t="s">
        <v>82</v>
      </c>
      <c r="DP2" s="6" t="s">
        <v>83</v>
      </c>
      <c r="DQ2" s="6" t="s">
        <v>84</v>
      </c>
      <c r="DR2" s="6" t="s">
        <v>78</v>
      </c>
      <c r="DS2" s="6" t="s">
        <v>85</v>
      </c>
      <c r="DT2" s="6" t="s">
        <v>86</v>
      </c>
      <c r="DU2" s="6" t="s">
        <v>87</v>
      </c>
      <c r="DV2" s="7" t="s">
        <v>88</v>
      </c>
      <c r="DW2" s="8" t="s">
        <v>89</v>
      </c>
      <c r="DX2" s="7" t="s">
        <v>48</v>
      </c>
      <c r="DY2" s="7" t="s">
        <v>49</v>
      </c>
      <c r="DZ2" s="8" t="s">
        <v>95</v>
      </c>
      <c r="EA2" s="8" t="s">
        <v>91</v>
      </c>
      <c r="EB2" s="8" t="s">
        <v>92</v>
      </c>
      <c r="EC2" s="8" t="s">
        <v>93</v>
      </c>
      <c r="ED2" s="9" t="s">
        <v>94</v>
      </c>
      <c r="EE2" s="68" t="s">
        <v>76</v>
      </c>
      <c r="EF2" s="69" t="s">
        <v>77</v>
      </c>
      <c r="EG2" s="6" t="s">
        <v>80</v>
      </c>
      <c r="EH2" s="6" t="s">
        <v>81</v>
      </c>
      <c r="EI2" s="6" t="s">
        <v>81</v>
      </c>
      <c r="EJ2" s="6" t="s">
        <v>82</v>
      </c>
      <c r="EK2" s="6" t="s">
        <v>83</v>
      </c>
      <c r="EL2" s="6" t="s">
        <v>84</v>
      </c>
      <c r="EM2" s="6" t="s">
        <v>78</v>
      </c>
      <c r="EN2" s="6" t="s">
        <v>85</v>
      </c>
      <c r="EO2" s="6" t="s">
        <v>86</v>
      </c>
      <c r="EP2" s="6" t="s">
        <v>87</v>
      </c>
      <c r="EQ2" s="7" t="s">
        <v>88</v>
      </c>
      <c r="ER2" s="8" t="s">
        <v>89</v>
      </c>
      <c r="ES2" s="7" t="s">
        <v>48</v>
      </c>
      <c r="ET2" s="7" t="s">
        <v>49</v>
      </c>
      <c r="EU2" s="8" t="s">
        <v>95</v>
      </c>
      <c r="EV2" s="8" t="s">
        <v>91</v>
      </c>
      <c r="EW2" s="8" t="s">
        <v>92</v>
      </c>
      <c r="EX2" s="8" t="s">
        <v>93</v>
      </c>
      <c r="EY2" s="9" t="s">
        <v>94</v>
      </c>
      <c r="EZ2" s="68" t="s">
        <v>76</v>
      </c>
      <c r="FA2" s="69" t="s">
        <v>77</v>
      </c>
      <c r="FB2" s="6" t="s">
        <v>80</v>
      </c>
      <c r="FC2" s="6" t="s">
        <v>81</v>
      </c>
      <c r="FD2" s="6" t="s">
        <v>81</v>
      </c>
      <c r="FE2" s="6" t="s">
        <v>82</v>
      </c>
      <c r="FF2" s="6" t="s">
        <v>83</v>
      </c>
      <c r="FG2" s="6" t="s">
        <v>84</v>
      </c>
      <c r="FH2" s="6" t="s">
        <v>78</v>
      </c>
      <c r="FI2" s="6" t="s">
        <v>85</v>
      </c>
      <c r="FJ2" s="6" t="s">
        <v>86</v>
      </c>
      <c r="FK2" s="6" t="s">
        <v>87</v>
      </c>
      <c r="FL2" s="7" t="s">
        <v>88</v>
      </c>
      <c r="FM2" s="8" t="s">
        <v>89</v>
      </c>
      <c r="FN2" s="7" t="s">
        <v>48</v>
      </c>
      <c r="FO2" s="7" t="s">
        <v>49</v>
      </c>
      <c r="FP2" s="8" t="s">
        <v>96</v>
      </c>
      <c r="FQ2" s="8" t="s">
        <v>91</v>
      </c>
      <c r="FR2" s="8" t="s">
        <v>92</v>
      </c>
      <c r="FS2" s="8" t="s">
        <v>93</v>
      </c>
      <c r="FT2" s="9" t="s">
        <v>94</v>
      </c>
      <c r="FU2" s="68" t="s">
        <v>76</v>
      </c>
      <c r="FV2" s="69" t="s">
        <v>77</v>
      </c>
      <c r="FW2" s="6" t="s">
        <v>80</v>
      </c>
      <c r="FX2" s="6" t="s">
        <v>81</v>
      </c>
      <c r="FY2" s="6" t="s">
        <v>81</v>
      </c>
      <c r="FZ2" s="6" t="s">
        <v>82</v>
      </c>
      <c r="GA2" s="6" t="s">
        <v>83</v>
      </c>
      <c r="GB2" s="6" t="s">
        <v>84</v>
      </c>
      <c r="GC2" s="6" t="s">
        <v>78</v>
      </c>
      <c r="GD2" s="6" t="s">
        <v>85</v>
      </c>
      <c r="GE2" s="6" t="s">
        <v>86</v>
      </c>
      <c r="GF2" s="6" t="s">
        <v>87</v>
      </c>
      <c r="GG2" s="7" t="s">
        <v>88</v>
      </c>
      <c r="GH2" s="8" t="s">
        <v>89</v>
      </c>
      <c r="GI2" s="7" t="s">
        <v>48</v>
      </c>
      <c r="GJ2" s="7" t="s">
        <v>49</v>
      </c>
      <c r="GK2" s="8" t="s">
        <v>95</v>
      </c>
      <c r="GL2" s="8" t="s">
        <v>91</v>
      </c>
      <c r="GM2" s="8" t="s">
        <v>92</v>
      </c>
      <c r="GN2" s="8" t="s">
        <v>93</v>
      </c>
      <c r="GO2" s="8" t="s">
        <v>94</v>
      </c>
      <c r="GP2" s="68" t="s">
        <v>76</v>
      </c>
      <c r="GQ2" s="69" t="s">
        <v>77</v>
      </c>
      <c r="GR2" s="6" t="s">
        <v>80</v>
      </c>
      <c r="GS2" s="6" t="s">
        <v>81</v>
      </c>
      <c r="GT2" s="6" t="s">
        <v>81</v>
      </c>
      <c r="GU2" s="6" t="s">
        <v>82</v>
      </c>
      <c r="GV2" s="6" t="s">
        <v>83</v>
      </c>
      <c r="GW2" s="6" t="s">
        <v>84</v>
      </c>
      <c r="GX2" s="6" t="s">
        <v>78</v>
      </c>
      <c r="GY2" s="6" t="s">
        <v>85</v>
      </c>
      <c r="GZ2" s="6" t="s">
        <v>86</v>
      </c>
      <c r="HA2" s="6" t="s">
        <v>87</v>
      </c>
      <c r="HB2" s="7" t="s">
        <v>88</v>
      </c>
      <c r="HC2" s="8" t="s">
        <v>89</v>
      </c>
      <c r="HD2" s="7" t="s">
        <v>48</v>
      </c>
      <c r="HE2" s="7" t="s">
        <v>49</v>
      </c>
      <c r="HF2" s="8" t="s">
        <v>95</v>
      </c>
      <c r="HG2" s="8" t="s">
        <v>91</v>
      </c>
      <c r="HH2" s="8" t="s">
        <v>92</v>
      </c>
      <c r="HI2" s="8" t="s">
        <v>93</v>
      </c>
      <c r="HJ2" s="9" t="s">
        <v>94</v>
      </c>
    </row>
    <row r="3" spans="1:218" x14ac:dyDescent="0.35">
      <c r="A3" s="10">
        <v>0</v>
      </c>
      <c r="B3" s="73">
        <f>'Scénario référence'!$B$16*5+'Scénario référence'!$B$17*0+'Scénario référence'!$B$18*5</f>
        <v>5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" s="11">
        <f>IF(OR('Scénario référence'!$F$8&gt;0,'Scénario référence'!$F$9&gt;0),('Scénario référence'!$F$8+'Scénario référence'!$F$9)*10,0)</f>
        <v>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67">
        <f>(B3+E3+F3)*44/12+(C3+D3)*0.475*44/12</f>
        <v>183.33333333333334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165</v>
      </c>
      <c r="S3" s="59">
        <f ca="1">AVERAGE(OFFSET($R$3,0,0,'Données projet'!$E$9+1,1))-AVERAGE(OFFSET($H$3,0,0,'Données projet'!$E$9+1,1))</f>
        <v>112.82287576550925</v>
      </c>
      <c r="T3" s="59">
        <f>IF('Données projet'!E9&gt;30,$R$33-$H$33,LOOKUP('Données projet'!$E$9,$A$3:$A$203,R3:R203)-LOOKUP('Données projet'!$E$9,$A$3:$A$203,$H$3:$H$203))</f>
        <v>317.78570695363294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165</v>
      </c>
      <c r="AN3" s="59">
        <f ca="1">AVERAGE(OFFSET($AM$3,0,0,'Données projet'!$E$10+1,1))-AVERAGE(OFFSET($H$3,0,0,'Données projet'!$E$10+1,1))</f>
        <v>312.51355033343896</v>
      </c>
      <c r="AO3" s="59">
        <f>IF('Données projet'!E10&gt;30,$AM$33-$H$33,LOOKUP('Données projet'!$E$10,$A$3:$A$203,AM3:AM203)-LOOKUP('Données projet'!$E$10,$A$3:$A$203,$H$3:$H$203))</f>
        <v>442.54749157177571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5">
      <c r="A4" s="10">
        <f>A3+1</f>
        <v>1</v>
      </c>
      <c r="B4" s="73">
        <f>'Scénario référence'!$B$16*5+'Scénario référence'!$B$17*0+'Scénario référence'!$B$18*5</f>
        <v>5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1">
        <f>IFERROR(EXP(-1.0587+0.8836*LN(C4)+0.284),0)</f>
        <v>0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" s="11">
        <f>IF(OR('Scénario référence'!$F$8&gt;0,'Scénario référence'!$F$9&gt;0),('Scénario référence'!$F$8+'Scénario référence'!$F$9)*10,0)</f>
        <v>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67">
        <f t="shared" ref="H4:H67" si="1">(B4+E4+F4)*44/12+(C4+D4)*0.475*44/12</f>
        <v>183.33333333333334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9.2179487179486985E-2</v>
      </c>
      <c r="N4" s="13">
        <f>IF('Données projet'!$A$36&gt;35,N3+M4-V3,IF(A4&lt;'Données projet'!$A$36,$K$205^A4,IF(A4='Données projet'!$A$36,'Données projet'!$B$36,N3+M4-V3)))</f>
        <v>0.42937043954955023</v>
      </c>
      <c r="O4" s="13">
        <f>N4*VLOOKUP('Données projet'!$B$9,Paramètres!$A$1:$I$89,3,0)*VLOOKUP('Données projet'!$B$9,Paramètres!$A$1:$I$89,5,0)</f>
        <v>0.21836063073731929</v>
      </c>
      <c r="P4" s="13">
        <f>EXP(-1.0587+0.8836*LN(O4)+0.284)</f>
        <v>0.12012862656084218</v>
      </c>
      <c r="Q4" s="20">
        <f t="shared" ref="Q4:Q34" si="2">(O4+P4)*0.475*44/12</f>
        <v>0.58953545646096461</v>
      </c>
      <c r="R4" s="59">
        <f t="shared" si="0"/>
        <v>168.4019694093848</v>
      </c>
      <c r="S4" s="59">
        <f ca="1">AVERAGE(OFFSET($R$3,0,0,'Données projet'!$E$9+1,1))-AVERAGE(OFFSET($H$3,0,0,'Données projet'!$E$9+1,1))</f>
        <v>112.82287576550925</v>
      </c>
      <c r="T4" s="59">
        <f>$T$3</f>
        <v>317.78570695363294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5.6</v>
      </c>
      <c r="AI4" s="13">
        <f>IF('Données projet'!$A$62&gt;35,AI3+AH4-AQ3,IF(A4&lt;'Données projet'!$A$62,$AF$205^A4,IF(A4='Données projet'!$A$62,'Données projet'!$B$62,AI3+AH4-AQ3)))</f>
        <v>1.9472943612303364</v>
      </c>
      <c r="AJ4" s="13">
        <f>AI4*VLOOKUP('Données projet'!$B$10,Paramètres!$A$1:$I$89,3,0)*VLOOKUP('Données projet'!$B$10,Paramètres!$A$1:$I$89,5,0)</f>
        <v>1.7619119380412083</v>
      </c>
      <c r="AK4" s="13">
        <f>EXP(-1.0587+0.8836*LN(AJ4)+0.284)</f>
        <v>0.76015770586189668</v>
      </c>
      <c r="AL4" s="20">
        <f t="shared" ref="AL4:AL67" si="4">(AJ4+AK4)*0.475*44/12</f>
        <v>4.3926046297979076</v>
      </c>
      <c r="AM4" s="59">
        <f t="shared" ref="AM4:AM67" si="5">AL4+(AD4+AE4)*44/12</f>
        <v>172.20503858272176</v>
      </c>
      <c r="AN4" s="59">
        <f ca="1">AVERAGE(OFFSET($AM$3,0,0,'Données projet'!$E$10+1,1))-AVERAGE(OFFSET($H$3,0,0,'Données projet'!$E$10+1,1))</f>
        <v>312.51355033343896</v>
      </c>
      <c r="AO4" s="59">
        <f>$AO$3</f>
        <v>442.54749157177571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5">
      <c r="A5" s="10">
        <f t="shared" ref="A5:A68" si="31">A4+1</f>
        <v>2</v>
      </c>
      <c r="B5" s="73">
        <f>'Scénario référence'!$B$16*5+'Scénario référence'!$B$17*0+'Scénario référence'!$B$18*5</f>
        <v>5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1">
        <f t="shared" ref="D5:D68" si="32">IFERROR(EXP(-1.0587+0.8836*LN(C5)+0.284),0)</f>
        <v>0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" s="11">
        <f>IF(OR('Scénario référence'!$F$8&gt;0,'Scénario référence'!$F$9&gt;0),('Scénario référence'!$F$8+'Scénario référence'!$F$9)*10,0)</f>
        <v>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67">
        <f t="shared" si="1"/>
        <v>183.33333333333334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2">
        <f>VLOOKUP(A5,'Données projet'!$A$35:$I$55,2,0)</f>
        <v>0.18435897435897397</v>
      </c>
      <c r="L5" s="12">
        <f>VLOOKUP(A5,'Données projet'!$A$35:$I$55,9,0)</f>
        <v>9.2179487179486985E-2</v>
      </c>
      <c r="M5" s="12">
        <f t="array" ref="M5">INDEX(L:L,MIN(IF(ISNUMBER(L5:L201),ROW(L5:L201),"")))</f>
        <v>9.2179487179486985E-2</v>
      </c>
      <c r="N5" s="13">
        <f>IF('Données projet'!$A$36&gt;35,N4+M5-V4,IF(A5&lt;'Données projet'!$A$36,$K$205^A5,IF(A5='Données projet'!$A$36,'Données projet'!$B$36,N4+M5-V4)))</f>
        <v>0.18435897435897397</v>
      </c>
      <c r="O5" s="13">
        <f>N5*VLOOKUP('Données projet'!$B$9,Paramètres!$A$1:$I$89,3,0)*VLOOKUP('Données projet'!$B$9,Paramètres!$A$1:$I$89,5,0)</f>
        <v>9.3757599999999816E-2</v>
      </c>
      <c r="P5" s="13">
        <f t="shared" ref="P5:P68" si="33">EXP(-1.0587+0.8836*LN(O5)+0.284)</f>
        <v>5.6913722520830795E-2</v>
      </c>
      <c r="Q5" s="20">
        <f t="shared" si="2"/>
        <v>0.26241922005711332</v>
      </c>
      <c r="R5" s="59">
        <f t="shared" si="0"/>
        <v>170.85970050755796</v>
      </c>
      <c r="S5" s="59">
        <f ca="1">AVERAGE(OFFSET($R$3,0,0,'Données projet'!$E$9+1,1))-AVERAGE(OFFSET($H$3,0,0,'Données projet'!$E$9+1,1))</f>
        <v>112.82287576550925</v>
      </c>
      <c r="T5" s="59">
        <f t="shared" ref="T5:T68" si="34">$T$3</f>
        <v>317.78570695363294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5.6</v>
      </c>
      <c r="AI5" s="13">
        <f>IF('Données projet'!$A$62&gt;35,AI4+AH5-AQ4,IF(A5&lt;'Données projet'!$A$62,$AF$205^A5,IF(A5='Données projet'!$A$62,'Données projet'!$B$62,AI4+AH5-AQ4)))</f>
        <v>3.7919553292794639</v>
      </c>
      <c r="AJ5" s="13">
        <f>AI5*VLOOKUP('Données projet'!$B$10,Paramètres!$A$1:$I$89,3,0)*VLOOKUP('Données projet'!$B$10,Paramètres!$A$1:$I$89,5,0)</f>
        <v>3.4309611819320587</v>
      </c>
      <c r="AK5" s="13">
        <f t="shared" ref="AK5:AK68" si="35">EXP(-1.0587+0.8836*LN(AJ5)+0.284)</f>
        <v>1.3697631223860498</v>
      </c>
      <c r="AL5" s="20">
        <f t="shared" si="4"/>
        <v>8.3612614966873711</v>
      </c>
      <c r="AM5" s="59">
        <f t="shared" si="5"/>
        <v>178.95854278418821</v>
      </c>
      <c r="AN5" s="59">
        <f ca="1">AVERAGE(OFFSET($AM$3,0,0,'Données projet'!$E$10+1,1))-AVERAGE(OFFSET($H$3,0,0,'Données projet'!$E$10+1,1))</f>
        <v>312.51355033343896</v>
      </c>
      <c r="AO5" s="59">
        <f t="shared" ref="AO5:AO68" si="36">$AO$3</f>
        <v>442.54749157177571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3">
        <f>'Scénario référence'!$B$16*5+'Scénario référence'!$B$17*0+'Scénario référence'!$B$18*5</f>
        <v>5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1">
        <f t="shared" si="32"/>
        <v>0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" s="11">
        <f>IF(OR('Scénario référence'!$F$8&gt;0,'Scénario référence'!$F$9&gt;0),('Scénario référence'!$F$8+'Scénario référence'!$F$9)*10,0)</f>
        <v>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67">
        <f t="shared" si="1"/>
        <v>183.33333333333334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">
        <f>VLOOKUP(A6,'Données projet'!$A$35:$I$55,2,0)</f>
        <v>2.31</v>
      </c>
      <c r="L6" s="12">
        <f>VLOOKUP(A6,'Données projet'!$A$35:$I$55,9,0)</f>
        <v>2.1256410256410261</v>
      </c>
      <c r="M6" s="12">
        <f t="array" ref="M6">INDEX(L:L,MIN(IF(ISNUMBER(L6:L202),ROW(L6:L202),"")))</f>
        <v>2.1256410256410261</v>
      </c>
      <c r="N6" s="13">
        <f>IF('Données projet'!$A$36&gt;35,N5+M6-V5,IF(A6&lt;'Données projet'!$A$36,$K$205^A6,IF(A6='Données projet'!$A$36,'Données projet'!$B$36,N5+M6-V5)))</f>
        <v>2.31</v>
      </c>
      <c r="O6" s="13">
        <f>N6*VLOOKUP('Données projet'!$B$9,Paramètres!$A$1:$I$89,3,0)*VLOOKUP('Données projet'!$B$9,Paramètres!$A$1:$I$89,5,0)</f>
        <v>1.1747736000000002</v>
      </c>
      <c r="P6" s="13">
        <f t="shared" si="33"/>
        <v>0.5313290690347211</v>
      </c>
      <c r="Q6" s="20">
        <f t="shared" si="2"/>
        <v>2.9714621485688064</v>
      </c>
      <c r="R6" s="59">
        <f t="shared" si="0"/>
        <v>176.32648271845369</v>
      </c>
      <c r="S6" s="59">
        <f ca="1">AVERAGE(OFFSET($R$3,0,0,'Données projet'!$E$9+1,1))-AVERAGE(OFFSET($H$3,0,0,'Données projet'!$E$9+1,1))</f>
        <v>112.82287576550925</v>
      </c>
      <c r="T6" s="59">
        <f t="shared" si="34"/>
        <v>317.78570695363294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5.6</v>
      </c>
      <c r="AI6" s="13">
        <f>IF('Données projet'!$A$62&gt;35,AI5+AH6-AQ5,IF(A6&lt;'Données projet'!$A$62,$AF$205^A6,IF(A6='Données projet'!$A$62,'Données projet'!$B$62,AI5+AH6-AQ5)))</f>
        <v>7.3840532307432234</v>
      </c>
      <c r="AJ6" s="13">
        <f>AI6*VLOOKUP('Données projet'!$B$10,Paramètres!$A$1:$I$89,3,0)*VLOOKUP('Données projet'!$B$10,Paramètres!$A$1:$I$89,5,0)</f>
        <v>6.6810913631764679</v>
      </c>
      <c r="AK6" s="13">
        <f t="shared" si="35"/>
        <v>2.4682391521919964</v>
      </c>
      <c r="AL6" s="20">
        <f t="shared" si="4"/>
        <v>15.935083980933408</v>
      </c>
      <c r="AM6" s="59">
        <f t="shared" si="5"/>
        <v>189.29010455081828</v>
      </c>
      <c r="AN6" s="59">
        <f ca="1">AVERAGE(OFFSET($AM$3,0,0,'Données projet'!$E$10+1,1))-AVERAGE(OFFSET($H$3,0,0,'Données projet'!$E$10+1,1))</f>
        <v>312.51355033343896</v>
      </c>
      <c r="AO6" s="59">
        <f t="shared" si="36"/>
        <v>442.54749157177571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3">
        <f>'Scénario référence'!$B$16*5+'Scénario référence'!$B$17*0+'Scénario référence'!$B$18*5</f>
        <v>5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1">
        <f t="shared" si="32"/>
        <v>0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" s="11">
        <f>IF(OR('Scénario référence'!$F$8&gt;0,'Scénario référence'!$F$9&gt;0),('Scénario référence'!$F$8+'Scénario référence'!$F$9)*10,0)</f>
        <v>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67">
        <f t="shared" si="1"/>
        <v>183.33333333333334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2">
        <f>VLOOKUP(A7,'Données projet'!$A$35:$I$55,2,0)</f>
        <v>6.6838461538461518</v>
      </c>
      <c r="L7" s="12">
        <f>VLOOKUP(A7,'Données projet'!$A$35:$I$55,9,0)</f>
        <v>4.3738461538461522</v>
      </c>
      <c r="M7" s="12">
        <f t="array" ref="M7">INDEX(L:L,MIN(IF(ISNUMBER(L7:L203),ROW(L7:L203),"")))</f>
        <v>4.3738461538461522</v>
      </c>
      <c r="N7" s="13">
        <f>IF('Données projet'!$A$36&gt;35,N6+M7-V6,IF(A7&lt;'Données projet'!$A$36,$K$205^A7,IF(A7='Données projet'!$A$36,'Données projet'!$B$36,N6+M7-V6)))</f>
        <v>6.6838461538461527</v>
      </c>
      <c r="O7" s="13">
        <f>N7*VLOOKUP('Données projet'!$B$9,Paramètres!$A$1:$I$89,3,0)*VLOOKUP('Données projet'!$B$9,Paramètres!$A$1:$I$89,5,0)</f>
        <v>3.3991367999999995</v>
      </c>
      <c r="P7" s="13">
        <f t="shared" si="33"/>
        <v>1.3585305157418814</v>
      </c>
      <c r="Q7" s="20">
        <f t="shared" si="2"/>
        <v>8.2862705749171095</v>
      </c>
      <c r="R7" s="59">
        <f t="shared" si="0"/>
        <v>184.37239263909404</v>
      </c>
      <c r="S7" s="59">
        <f ca="1">AVERAGE(OFFSET($R$3,0,0,'Données projet'!$E$9+1,1))-AVERAGE(OFFSET($H$3,0,0,'Données projet'!$E$9+1,1))</f>
        <v>112.82287576550925</v>
      </c>
      <c r="T7" s="59">
        <f t="shared" si="34"/>
        <v>317.78570695363294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5.6</v>
      </c>
      <c r="AI7" s="13">
        <f>IF('Données projet'!$A$62&gt;35,AI6+AH7-AQ6,IF(A7&lt;'Données projet'!$A$62,$AF$205^A7,IF(A7='Données projet'!$A$62,'Données projet'!$B$62,AI6+AH7-AQ6)))</f>
        <v>14.378925219250927</v>
      </c>
      <c r="AJ7" s="13">
        <f>AI7*VLOOKUP('Données projet'!$B$10,Paramètres!$A$1:$I$89,3,0)*VLOOKUP('Données projet'!$B$10,Paramètres!$A$1:$I$89,5,0)</f>
        <v>13.010051538378239</v>
      </c>
      <c r="AK7" s="13">
        <f t="shared" si="35"/>
        <v>4.4476336184326453</v>
      </c>
      <c r="AL7" s="20">
        <f t="shared" si="4"/>
        <v>30.405468314778947</v>
      </c>
      <c r="AM7" s="59">
        <f t="shared" si="5"/>
        <v>206.49159037895589</v>
      </c>
      <c r="AN7" s="59">
        <f ca="1">AVERAGE(OFFSET($AM$3,0,0,'Données projet'!$E$10+1,1))-AVERAGE(OFFSET($H$3,0,0,'Données projet'!$E$10+1,1))</f>
        <v>312.51355033343896</v>
      </c>
      <c r="AO7" s="59">
        <f t="shared" si="36"/>
        <v>442.54749157177571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3">
        <f>'Scénario référence'!$B$16*5+'Scénario référence'!$B$17*0+'Scénario référence'!$B$18*5</f>
        <v>5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1">
        <f t="shared" si="32"/>
        <v>0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" s="11">
        <f>IF(OR('Scénario référence'!$F$8&gt;0,'Scénario référence'!$F$9&gt;0),('Scénario référence'!$F$8+'Scénario référence'!$F$9)*10,0)</f>
        <v>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67">
        <f t="shared" si="1"/>
        <v>183.33333333333334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2">
        <f>VLOOKUP(A8,'Données projet'!$A$35:$I$55,2,0)</f>
        <v>13.14935897435897</v>
      </c>
      <c r="L8" s="12">
        <f>VLOOKUP(A8,'Données projet'!$A$35:$I$55,9,0)</f>
        <v>6.4655128205128181</v>
      </c>
      <c r="M8" s="12">
        <f t="array" ref="M8">INDEX(L:L,MIN(IF(ISNUMBER(L8:L204),ROW(L8:L204),"")))</f>
        <v>6.4655128205128181</v>
      </c>
      <c r="N8" s="13">
        <f>IF('Données projet'!$A$36&gt;35,N7+M8-V7,IF(A8&lt;'Données projet'!$A$36,$K$205^A8,IF(A8='Données projet'!$A$36,'Données projet'!$B$36,N7+M8-V7)))</f>
        <v>13.149358974358972</v>
      </c>
      <c r="O8" s="13">
        <f>N8*VLOOKUP('Données projet'!$B$9,Paramètres!$A$1:$I$89,3,0)*VLOOKUP('Données projet'!$B$9,Paramètres!$A$1:$I$89,5,0)</f>
        <v>6.6872379999999989</v>
      </c>
      <c r="P8" s="13">
        <f t="shared" si="33"/>
        <v>2.4702455167163944</v>
      </c>
      <c r="Q8" s="20">
        <f t="shared" si="2"/>
        <v>15.949283791614382</v>
      </c>
      <c r="R8" s="59">
        <f t="shared" si="0"/>
        <v>194.74033166806174</v>
      </c>
      <c r="S8" s="59">
        <f ca="1">AVERAGE(OFFSET($R$3,0,0,'Données projet'!$E$9+1,1))-AVERAGE(OFFSET($H$3,0,0,'Données projet'!$E$9+1,1))</f>
        <v>112.82287576550925</v>
      </c>
      <c r="T8" s="59">
        <f t="shared" si="34"/>
        <v>317.78570695363294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2">
        <f>VLOOKUP(A8,'Données projet'!$A$61:$I$81,2,0)</f>
        <v>28</v>
      </c>
      <c r="AG8" s="12">
        <f>VLOOKUP(A8,'Données projet'!$A$61:$I$81,9,0)</f>
        <v>5.6</v>
      </c>
      <c r="AH8" s="12">
        <f t="array" ref="AH8">INDEX(AG:AG,MIN(IF(ISNUMBER(AG8:AG204),ROW(AG8:AG204),"")))</f>
        <v>5.6</v>
      </c>
      <c r="AI8" s="13">
        <f>IF('Données projet'!$A$62&gt;35,AI7+AH8-AQ7,IF(A8&lt;'Données projet'!$A$62,$AF$205^A8,IF(A8='Données projet'!$A$62,'Données projet'!$B$62,AI7+AH8-AQ7)))</f>
        <v>28</v>
      </c>
      <c r="AJ8" s="13">
        <f>AI8*VLOOKUP('Données projet'!$B$10,Paramètres!$A$1:$I$89,3,0)*VLOOKUP('Données projet'!$B$10,Paramètres!$A$1:$I$89,5,0)</f>
        <v>25.334399999999999</v>
      </c>
      <c r="AK8" s="13">
        <f t="shared" si="35"/>
        <v>8.0143955200794572</v>
      </c>
      <c r="AL8" s="20">
        <f t="shared" si="4"/>
        <v>58.082485530805052</v>
      </c>
      <c r="AM8" s="59">
        <f t="shared" si="5"/>
        <v>236.87353340725241</v>
      </c>
      <c r="AN8" s="59">
        <f ca="1">AVERAGE(OFFSET($AM$3,0,0,'Données projet'!$E$10+1,1))-AVERAGE(OFFSET($H$3,0,0,'Données projet'!$E$10+1,1))</f>
        <v>312.51355033343896</v>
      </c>
      <c r="AO8" s="59">
        <f t="shared" si="36"/>
        <v>442.54749157177571</v>
      </c>
      <c r="AP8" s="15">
        <f>IF(ISNA(VLOOKUP(A8,'Données projet'!$A$61:$I$81,3,0)),0,VLOOKUP(A8,'Données projet'!$A$61:$I$81,3,0))</f>
        <v>1</v>
      </c>
      <c r="AQ8" s="15">
        <f>IF(ISNA(VLOOKUP(A8,'Données projet'!$A$61:$I$81,4,0)),0,VLOOKUP(A8,'Données projet'!$A$61:$I$81,4,0))</f>
        <v>4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3">
        <f>'Scénario référence'!$B$16*5+'Scénario référence'!$B$17*0+'Scénario référence'!$B$18*5</f>
        <v>5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1">
        <f t="shared" si="32"/>
        <v>0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" s="11">
        <f>IF(OR('Scénario référence'!$F$8&gt;0,'Scénario référence'!$F$9&gt;0),('Scénario référence'!$F$8+'Scénario référence'!$F$9)*10,0)</f>
        <v>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67">
        <f t="shared" si="1"/>
        <v>183.33333333333334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">
        <f>VLOOKUP(A9,'Données projet'!$A$35:$I$55,2,0)</f>
        <v>21.549999999999997</v>
      </c>
      <c r="L9" s="12">
        <f>VLOOKUP(A9,'Données projet'!$A$35:$I$55,9,0)</f>
        <v>8.4006410256410273</v>
      </c>
      <c r="M9" s="12">
        <f t="array" ref="M9">INDEX(L:L,MIN(IF(ISNUMBER(L9:L205),ROW(L9:L205),"")))</f>
        <v>8.4006410256410273</v>
      </c>
      <c r="N9" s="13">
        <f>IF('Données projet'!$A$36&gt;35,N8+M9-V8,IF(A9&lt;'Données projet'!$A$36,$K$205^A9,IF(A9='Données projet'!$A$36,'Données projet'!$B$36,N8+M9-V8)))</f>
        <v>21.549999999999997</v>
      </c>
      <c r="O9" s="13">
        <f>N9*VLOOKUP('Données projet'!$B$9,Paramètres!$A$1:$I$89,3,0)*VLOOKUP('Données projet'!$B$9,Paramètres!$A$1:$I$89,5,0)</f>
        <v>10.959467999999999</v>
      </c>
      <c r="P9" s="13">
        <f t="shared" si="33"/>
        <v>3.8221703848080173</v>
      </c>
      <c r="Q9" s="20">
        <f t="shared" si="2"/>
        <v>25.744686853540628</v>
      </c>
      <c r="R9" s="59">
        <f t="shared" si="0"/>
        <v>207.2149389497996</v>
      </c>
      <c r="S9" s="59">
        <f ca="1">AVERAGE(OFFSET($R$3,0,0,'Données projet'!$E$9+1,1))-AVERAGE(OFFSET($H$3,0,0,'Données projet'!$E$9+1,1))</f>
        <v>112.82287576550925</v>
      </c>
      <c r="T9" s="59">
        <f t="shared" si="34"/>
        <v>317.78570695363294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11</v>
      </c>
      <c r="AI9" s="13">
        <f>IF('Données projet'!$A$62&gt;35,AI8+AH9-AQ8,IF(A9&lt;'Données projet'!$A$62,$AF$205^A9,IF(A9='Données projet'!$A$62,'Données projet'!$B$62,AI8+AH9-AQ8)))</f>
        <v>35</v>
      </c>
      <c r="AJ9" s="13">
        <f>AI9*VLOOKUP('Données projet'!$B$10,Paramètres!$A$1:$I$89,3,0)*VLOOKUP('Données projet'!$B$10,Paramètres!$A$1:$I$89,5,0)</f>
        <v>31.667999999999996</v>
      </c>
      <c r="AK9" s="13">
        <f t="shared" si="35"/>
        <v>9.7611381424130652</v>
      </c>
      <c r="AL9" s="20">
        <f t="shared" si="4"/>
        <v>72.155748931369416</v>
      </c>
      <c r="AM9" s="59">
        <f t="shared" si="5"/>
        <v>253.62600102762838</v>
      </c>
      <c r="AN9" s="59">
        <f ca="1">AVERAGE(OFFSET($AM$3,0,0,'Données projet'!$E$10+1,1))-AVERAGE(OFFSET($H$3,0,0,'Données projet'!$E$10+1,1))</f>
        <v>312.51355033343896</v>
      </c>
      <c r="AO9" s="59">
        <f t="shared" si="36"/>
        <v>442.54749157177571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3">
        <f>'Scénario référence'!$B$16*5+'Scénario référence'!$B$17*0+'Scénario référence'!$B$18*5</f>
        <v>5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1">
        <f t="shared" si="32"/>
        <v>0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" s="11">
        <f>IF(OR('Scénario référence'!$F$8&gt;0,'Scénario référence'!$F$9&gt;0),('Scénario référence'!$F$8+'Scénario référence'!$F$9)*10,0)</f>
        <v>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67">
        <f t="shared" si="1"/>
        <v>183.33333333333334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2">
        <f>VLOOKUP(A10,'Données projet'!$A$35:$I$55,2,0)</f>
        <v>31.729230769230764</v>
      </c>
      <c r="L10" s="12">
        <f>VLOOKUP(A10,'Données projet'!$A$35:$I$55,9,0)</f>
        <v>10.179230769230767</v>
      </c>
      <c r="M10" s="12">
        <f t="array" ref="M10">INDEX(L:L,MIN(IF(ISNUMBER(L10:L206),ROW(L10:L206),"")))</f>
        <v>10.179230769230767</v>
      </c>
      <c r="N10" s="13">
        <f>IF('Données projet'!$A$36&gt;35,N9+M10-V9,IF(A10&lt;'Données projet'!$A$36,$K$205^A10,IF(A10='Données projet'!$A$36,'Données projet'!$B$36,N9+M10-V9)))</f>
        <v>31.729230769230764</v>
      </c>
      <c r="O10" s="13">
        <f>N10*VLOOKUP('Données projet'!$B$9,Paramètres!$A$1:$I$89,3,0)*VLOOKUP('Données projet'!$B$9,Paramètres!$A$1:$I$89,5,0)</f>
        <v>16.136217599999998</v>
      </c>
      <c r="P10" s="13">
        <f t="shared" si="33"/>
        <v>5.3797944668297326</v>
      </c>
      <c r="Q10" s="20">
        <f t="shared" si="2"/>
        <v>37.47372101639511</v>
      </c>
      <c r="R10" s="59">
        <f t="shared" si="0"/>
        <v>221.59790195213134</v>
      </c>
      <c r="S10" s="59">
        <f ca="1">AVERAGE(OFFSET($R$3,0,0,'Données projet'!$E$9+1,1))-AVERAGE(OFFSET($H$3,0,0,'Données projet'!$E$9+1,1))</f>
        <v>112.82287576550925</v>
      </c>
      <c r="T10" s="59">
        <f t="shared" si="34"/>
        <v>317.78570695363294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11</v>
      </c>
      <c r="AI10" s="13">
        <f>IF('Données projet'!$A$62&gt;35,AI9+AH10-AQ9,IF(A10&lt;'Données projet'!$A$62,$AF$205^A10,IF(A10='Données projet'!$A$62,'Données projet'!$B$62,AI9+AH10-AQ9)))</f>
        <v>46</v>
      </c>
      <c r="AJ10" s="13">
        <f>AI10*VLOOKUP('Données projet'!$B$10,Paramètres!$A$1:$I$89,3,0)*VLOOKUP('Données projet'!$B$10,Paramètres!$A$1:$I$89,5,0)</f>
        <v>41.620800000000003</v>
      </c>
      <c r="AK10" s="13">
        <f t="shared" si="35"/>
        <v>12.427241987862391</v>
      </c>
      <c r="AL10" s="20">
        <f t="shared" si="4"/>
        <v>94.133673128860323</v>
      </c>
      <c r="AM10" s="59">
        <f t="shared" si="5"/>
        <v>278.25785406459659</v>
      </c>
      <c r="AN10" s="59">
        <f ca="1">AVERAGE(OFFSET($AM$3,0,0,'Données projet'!$E$10+1,1))-AVERAGE(OFFSET($H$3,0,0,'Données projet'!$E$10+1,1))</f>
        <v>312.51355033343896</v>
      </c>
      <c r="AO10" s="59">
        <f t="shared" si="36"/>
        <v>442.54749157177571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3">
        <f>'Scénario référence'!$B$16*5+'Scénario référence'!$B$17*0+'Scénario référence'!$B$18*5</f>
        <v>5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1">
        <f t="shared" si="32"/>
        <v>0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" s="11">
        <f>IF(OR('Scénario référence'!$F$8&gt;0,'Scénario référence'!$F$9&gt;0),('Scénario référence'!$F$8+'Scénario référence'!$F$9)*10,0)</f>
        <v>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67">
        <f t="shared" si="1"/>
        <v>183.33333333333334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2">
        <f>VLOOKUP(A11,'Données projet'!$A$35:$I$55,2,0)</f>
        <v>43.530512820512811</v>
      </c>
      <c r="L11" s="12">
        <f>VLOOKUP(A11,'Données projet'!$A$35:$I$55,9,0)</f>
        <v>11.801282051282048</v>
      </c>
      <c r="M11" s="12">
        <f t="array" ref="M11">INDEX(L:L,MIN(IF(ISNUMBER(L11:L207),ROW(L11:L207),"")))</f>
        <v>11.801282051282048</v>
      </c>
      <c r="N11" s="13">
        <f>IF('Données projet'!$A$36&gt;35,N10+M11-V10,IF(A11&lt;'Données projet'!$A$36,$K$205^A11,IF(A11='Données projet'!$A$36,'Données projet'!$B$36,N10+M11-V10)))</f>
        <v>43.530512820512811</v>
      </c>
      <c r="O11" s="13">
        <f>N11*VLOOKUP('Données projet'!$B$9,Paramètres!$A$1:$I$89,3,0)*VLOOKUP('Données projet'!$B$9,Paramètres!$A$1:$I$89,5,0)</f>
        <v>22.137877599999996</v>
      </c>
      <c r="P11" s="13">
        <f t="shared" si="33"/>
        <v>7.1140058582669683</v>
      </c>
      <c r="Q11" s="20">
        <f t="shared" si="2"/>
        <v>50.947030356481626</v>
      </c>
      <c r="R11" s="59">
        <f t="shared" si="0"/>
        <v>237.70030322270219</v>
      </c>
      <c r="S11" s="59">
        <f ca="1">AVERAGE(OFFSET($R$3,0,0,'Données projet'!$E$9+1,1))-AVERAGE(OFFSET($H$3,0,0,'Données projet'!$E$9+1,1))</f>
        <v>112.82287576550925</v>
      </c>
      <c r="T11" s="59">
        <f t="shared" si="34"/>
        <v>317.78570695363294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11</v>
      </c>
      <c r="AI11" s="13">
        <f>IF('Données projet'!$A$62&gt;35,AI10+AH11-AQ10,IF(A11&lt;'Données projet'!$A$62,$AF$205^A11,IF(A11='Données projet'!$A$62,'Données projet'!$B$62,AI10+AH11-AQ10)))</f>
        <v>57</v>
      </c>
      <c r="AJ11" s="13">
        <f>AI11*VLOOKUP('Données projet'!$B$10,Paramètres!$A$1:$I$89,3,0)*VLOOKUP('Données projet'!$B$10,Paramètres!$A$1:$I$89,5,0)</f>
        <v>51.573599999999992</v>
      </c>
      <c r="AK11" s="13">
        <f t="shared" si="35"/>
        <v>15.019412930275323</v>
      </c>
      <c r="AL11" s="20">
        <f t="shared" si="4"/>
        <v>115.98283085356282</v>
      </c>
      <c r="AM11" s="59">
        <f t="shared" si="5"/>
        <v>302.73610371978339</v>
      </c>
      <c r="AN11" s="59">
        <f ca="1">AVERAGE(OFFSET($AM$3,0,0,'Données projet'!$E$10+1,1))-AVERAGE(OFFSET($H$3,0,0,'Données projet'!$E$10+1,1))</f>
        <v>312.51355033343896</v>
      </c>
      <c r="AO11" s="59">
        <f t="shared" si="36"/>
        <v>442.54749157177571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3">
        <f>'Scénario référence'!$B$16*5+'Scénario référence'!$B$17*0+'Scénario référence'!$B$18*5</f>
        <v>5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1">
        <f t="shared" si="32"/>
        <v>0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" s="11">
        <f>IF(OR('Scénario référence'!$F$8&gt;0,'Scénario référence'!$F$9&gt;0),('Scénario référence'!$F$8+'Scénario référence'!$F$9)*10,0)</f>
        <v>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67">
        <f t="shared" si="1"/>
        <v>183.33333333333334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">
        <f>VLOOKUP(A12,'Données projet'!$A$35:$I$55,2,0)</f>
        <v>56.797307692307676</v>
      </c>
      <c r="L12" s="12">
        <f>VLOOKUP(A12,'Données projet'!$A$35:$I$55,9,0)</f>
        <v>13.266794871794865</v>
      </c>
      <c r="M12" s="12">
        <f t="array" ref="M12">INDEX(L:L,MIN(IF(ISNUMBER(L12:L208),ROW(L12:L208),"")))</f>
        <v>13.266794871794865</v>
      </c>
      <c r="N12" s="13">
        <f>IF('Données projet'!$A$36&gt;35,N11+M12-V11,IF(A12&lt;'Données projet'!$A$36,$K$205^A12,IF(A12='Données projet'!$A$36,'Données projet'!$B$36,N11+M12-V11)))</f>
        <v>56.797307692307676</v>
      </c>
      <c r="O12" s="13">
        <f>N12*VLOOKUP('Données projet'!$B$9,Paramètres!$A$1:$I$89,3,0)*VLOOKUP('Données projet'!$B$9,Paramètres!$A$1:$I$89,5,0)</f>
        <v>28.884838799999994</v>
      </c>
      <c r="P12" s="13">
        <f t="shared" si="33"/>
        <v>8.9991197527674434</v>
      </c>
      <c r="Q12" s="20">
        <f t="shared" si="2"/>
        <v>65.98122781273662</v>
      </c>
      <c r="R12" s="59">
        <f t="shared" si="0"/>
        <v>255.33918656529269</v>
      </c>
      <c r="S12" s="59">
        <f ca="1">AVERAGE(OFFSET($R$3,0,0,'Données projet'!$E$9+1,1))-AVERAGE(OFFSET($H$3,0,0,'Données projet'!$E$9+1,1))</f>
        <v>112.82287576550925</v>
      </c>
      <c r="T12" s="59">
        <f t="shared" si="34"/>
        <v>317.78570695363294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11</v>
      </c>
      <c r="AI12" s="13">
        <f>IF('Données projet'!$A$62&gt;35,AI11+AH12-AQ11,IF(A12&lt;'Données projet'!$A$62,$AF$205^A12,IF(A12='Données projet'!$A$62,'Données projet'!$B$62,AI11+AH12-AQ11)))</f>
        <v>68</v>
      </c>
      <c r="AJ12" s="13">
        <f>AI12*VLOOKUP('Données projet'!$B$10,Paramètres!$A$1:$I$89,3,0)*VLOOKUP('Données projet'!$B$10,Paramètres!$A$1:$I$89,5,0)</f>
        <v>61.526399999999995</v>
      </c>
      <c r="AK12" s="13">
        <f t="shared" si="35"/>
        <v>17.553624762159014</v>
      </c>
      <c r="AL12" s="20">
        <f t="shared" si="4"/>
        <v>137.73104312742694</v>
      </c>
      <c r="AM12" s="59">
        <f t="shared" si="5"/>
        <v>327.08900187998302</v>
      </c>
      <c r="AN12" s="59">
        <f ca="1">AVERAGE(OFFSET($AM$3,0,0,'Données projet'!$E$10+1,1))-AVERAGE(OFFSET($H$3,0,0,'Données projet'!$E$10+1,1))</f>
        <v>312.51355033343896</v>
      </c>
      <c r="AO12" s="59">
        <f t="shared" si="36"/>
        <v>442.54749157177571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3">
        <f>'Scénario référence'!$B$16*5+'Scénario référence'!$B$17*0+'Scénario référence'!$B$18*5</f>
        <v>5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1">
        <f t="shared" si="32"/>
        <v>0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" s="11">
        <f>IF(OR('Scénario référence'!$F$8&gt;0,'Scénario référence'!$F$9&gt;0),('Scénario référence'!$F$8+'Scénario référence'!$F$9)*10,0)</f>
        <v>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67">
        <f t="shared" si="1"/>
        <v>183.33333333333334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2">
        <f>VLOOKUP(A13,'Données projet'!$A$35:$I$55,2,0)</f>
        <v>71.373076923076894</v>
      </c>
      <c r="L13" s="12">
        <f>VLOOKUP(A13,'Données projet'!$A$35:$I$55,9,0)</f>
        <v>14.575769230769218</v>
      </c>
      <c r="M13" s="12">
        <f t="array" ref="M13">INDEX(L:L,MIN(IF(ISNUMBER(L13:L209),ROW(L13:L209),"")))</f>
        <v>14.575769230769218</v>
      </c>
      <c r="N13" s="13">
        <f>IF('Données projet'!$A$36&gt;35,N12+M13-V12,IF(A13&lt;'Données projet'!$A$36,$K$205^A13,IF(A13='Données projet'!$A$36,'Données projet'!$B$36,N12+M13-V12)))</f>
        <v>71.373076923076894</v>
      </c>
      <c r="O13" s="13">
        <f>N13*VLOOKUP('Données projet'!$B$9,Paramètres!$A$1:$I$89,3,0)*VLOOKUP('Données projet'!$B$9,Paramètres!$A$1:$I$89,5,0)</f>
        <v>36.297491999999991</v>
      </c>
      <c r="P13" s="13">
        <f t="shared" si="33"/>
        <v>11.011818502484722</v>
      </c>
      <c r="Q13" s="20">
        <f t="shared" si="2"/>
        <v>82.397049125160876</v>
      </c>
      <c r="R13" s="59">
        <f t="shared" si="0"/>
        <v>274.33571111020575</v>
      </c>
      <c r="S13" s="59">
        <f ca="1">AVERAGE(OFFSET($R$3,0,0,'Données projet'!$E$9+1,1))-AVERAGE(OFFSET($H$3,0,0,'Données projet'!$E$9+1,1))</f>
        <v>112.82287576550925</v>
      </c>
      <c r="T13" s="59">
        <f t="shared" si="34"/>
        <v>317.78570695363294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2">
        <f>VLOOKUP(A13,'Données projet'!$A$61:$I$81,2,0)</f>
        <v>79</v>
      </c>
      <c r="AG13" s="12">
        <f>VLOOKUP(A13,'Données projet'!$A$61:$I$81,9,0)</f>
        <v>11</v>
      </c>
      <c r="AH13" s="12">
        <f t="array" ref="AH13">INDEX(AG:AG,MIN(IF(ISNUMBER(AG13:AG209),ROW(AG13:AG209),"")))</f>
        <v>11</v>
      </c>
      <c r="AI13" s="13">
        <f>IF('Données projet'!$A$62&gt;35,AI12+AH13-AQ12,IF(A13&lt;'Données projet'!$A$62,$AF$205^A13,IF(A13='Données projet'!$A$62,'Données projet'!$B$62,AI12+AH13-AQ12)))</f>
        <v>79</v>
      </c>
      <c r="AJ13" s="13">
        <f>AI13*VLOOKUP('Données projet'!$B$10,Paramètres!$A$1:$I$89,3,0)*VLOOKUP('Données projet'!$B$10,Paramètres!$A$1:$I$89,5,0)</f>
        <v>71.479200000000006</v>
      </c>
      <c r="AK13" s="13">
        <f t="shared" si="35"/>
        <v>20.040346808618612</v>
      </c>
      <c r="AL13" s="20">
        <f t="shared" si="4"/>
        <v>159.39654402501074</v>
      </c>
      <c r="AM13" s="59">
        <f t="shared" si="5"/>
        <v>351.33520601005563</v>
      </c>
      <c r="AN13" s="59">
        <f ca="1">AVERAGE(OFFSET($AM$3,0,0,'Données projet'!$E$10+1,1))-AVERAGE(OFFSET($H$3,0,0,'Données projet'!$E$10+1,1))</f>
        <v>312.51355033343896</v>
      </c>
      <c r="AO13" s="59">
        <f t="shared" si="36"/>
        <v>442.54749157177571</v>
      </c>
      <c r="AP13" s="15">
        <f>IF(ISNA(VLOOKUP(A13,'Données projet'!$A$61:$I$81,3,0)),0,VLOOKUP(A13,'Données projet'!$A$61:$I$81,3,0))</f>
        <v>2</v>
      </c>
      <c r="AQ13" s="15">
        <f>IF(ISNA(VLOOKUP(A13,'Données projet'!$A$61:$I$81,4,0)),0,VLOOKUP(A13,'Données projet'!$A$61:$I$81,4,0))</f>
        <v>21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3">
        <f>'Scénario référence'!$B$16*5+'Scénario référence'!$B$17*0+'Scénario référence'!$B$18*5</f>
        <v>5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1">
        <f t="shared" si="32"/>
        <v>0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" s="11">
        <f>IF(OR('Scénario référence'!$F$8&gt;0,'Scénario référence'!$F$9&gt;0),('Scénario référence'!$F$8+'Scénario référence'!$F$9)*10,0)</f>
        <v>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67">
        <f t="shared" si="1"/>
        <v>183.33333333333334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2">
        <f>VLOOKUP(A14,'Données projet'!$A$35:$I$55,2,0)</f>
        <v>87.101282051282055</v>
      </c>
      <c r="L14" s="12">
        <f>VLOOKUP(A14,'Données projet'!$A$35:$I$55,9,0)</f>
        <v>15.728205128205161</v>
      </c>
      <c r="M14" s="12">
        <f t="array" ref="M14">INDEX(L:L,MIN(IF(ISNUMBER(L14:L210),ROW(L14:L210),"")))</f>
        <v>15.728205128205161</v>
      </c>
      <c r="N14" s="13">
        <f>IF('Données projet'!$A$36&gt;35,N13+M14-V13,IF(A14&lt;'Données projet'!$A$36,$K$205^A14,IF(A14='Données projet'!$A$36,'Données projet'!$B$36,N13+M14-V13)))</f>
        <v>87.101282051282055</v>
      </c>
      <c r="O14" s="13">
        <f>N14*VLOOKUP('Données projet'!$B$9,Paramètres!$A$1:$I$89,3,0)*VLOOKUP('Données projet'!$B$9,Paramètres!$A$1:$I$89,5,0)</f>
        <v>44.296228000000006</v>
      </c>
      <c r="P14" s="13">
        <f t="shared" si="33"/>
        <v>13.130513832601283</v>
      </c>
      <c r="Q14" s="20">
        <f t="shared" si="2"/>
        <v>100.01824202511391</v>
      </c>
      <c r="R14" s="59">
        <f t="shared" si="0"/>
        <v>294.51404063422802</v>
      </c>
      <c r="S14" s="59">
        <f ca="1">AVERAGE(OFFSET($R$3,0,0,'Données projet'!$E$9+1,1))-AVERAGE(OFFSET($H$3,0,0,'Données projet'!$E$9+1,1))</f>
        <v>112.82287576550925</v>
      </c>
      <c r="T14" s="59">
        <f t="shared" si="34"/>
        <v>317.78570695363294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11</v>
      </c>
      <c r="AI14" s="13">
        <f>IF('Données projet'!$A$62&gt;35,AI13+AH14-AQ13,IF(A14&lt;'Données projet'!$A$62,$AF$205^A14,IF(A14='Données projet'!$A$62,'Données projet'!$B$62,AI13+AH14-AQ13)))</f>
        <v>69</v>
      </c>
      <c r="AJ14" s="13">
        <f>AI14*VLOOKUP('Données projet'!$B$10,Paramètres!$A$1:$I$89,3,0)*VLOOKUP('Données projet'!$B$10,Paramètres!$A$1:$I$89,5,0)</f>
        <v>62.431199999999997</v>
      </c>
      <c r="AK14" s="13">
        <f t="shared" si="35"/>
        <v>17.781524466058684</v>
      </c>
      <c r="AL14" s="20">
        <f t="shared" si="4"/>
        <v>139.70382844505221</v>
      </c>
      <c r="AM14" s="59">
        <f t="shared" si="5"/>
        <v>334.19962705416634</v>
      </c>
      <c r="AN14" s="59">
        <f ca="1">AVERAGE(OFFSET($AM$3,0,0,'Données projet'!$E$10+1,1))-AVERAGE(OFFSET($H$3,0,0,'Données projet'!$E$10+1,1))</f>
        <v>312.51355033343896</v>
      </c>
      <c r="AO14" s="59">
        <f t="shared" si="36"/>
        <v>442.54749157177571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3">
        <f>'Scénario référence'!$B$16*5+'Scénario référence'!$B$17*0+'Scénario référence'!$B$18*5</f>
        <v>5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1">
        <f t="shared" si="32"/>
        <v>0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" s="11">
        <f>IF(OR('Scénario référence'!$F$8&gt;0,'Scénario référence'!$F$9&gt;0),('Scénario référence'!$F$8+'Scénario référence'!$F$9)*10,0)</f>
        <v>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67">
        <f t="shared" si="1"/>
        <v>183.33333333333334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">
        <f>VLOOKUP(A15,'Données projet'!$A$35:$I$55,2,0)</f>
        <v>103.82538461538462</v>
      </c>
      <c r="L15" s="12">
        <f>VLOOKUP(A15,'Données projet'!$A$35:$I$55,9,0)</f>
        <v>16.724102564102566</v>
      </c>
      <c r="M15" s="12">
        <f t="array" ref="M15">INDEX(L:L,MIN(IF(ISNUMBER(L15:L211),ROW(L15:L211),"")))</f>
        <v>16.724102564102566</v>
      </c>
      <c r="N15" s="13">
        <f>IF('Données projet'!$A$36&gt;35,N14+M15-V14,IF(A15&lt;'Données projet'!$A$36,$K$205^A15,IF(A15='Données projet'!$A$36,'Données projet'!$B$36,N14+M15-V14)))</f>
        <v>103.82538461538462</v>
      </c>
      <c r="O15" s="13">
        <f>N15*VLOOKUP('Données projet'!$B$9,Paramètres!$A$1:$I$89,3,0)*VLOOKUP('Données projet'!$B$9,Paramètres!$A$1:$I$89,5,0)</f>
        <v>52.801437600000007</v>
      </c>
      <c r="P15" s="13">
        <f t="shared" si="33"/>
        <v>15.334931732378159</v>
      </c>
      <c r="Q15" s="20">
        <f t="shared" si="2"/>
        <v>118.67084325389196</v>
      </c>
      <c r="R15" s="59">
        <f t="shared" si="0"/>
        <v>315.70062070662482</v>
      </c>
      <c r="S15" s="59">
        <f ca="1">AVERAGE(OFFSET($R$3,0,0,'Données projet'!$E$9+1,1))-AVERAGE(OFFSET($H$3,0,0,'Données projet'!$E$9+1,1))</f>
        <v>112.82287576550925</v>
      </c>
      <c r="T15" s="59">
        <f t="shared" si="34"/>
        <v>317.78570695363294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11</v>
      </c>
      <c r="AI15" s="13">
        <f>IF('Données projet'!$A$62&gt;35,AI14+AH15-AQ14,IF(A15&lt;'Données projet'!$A$62,$AF$205^A15,IF(A15='Données projet'!$A$62,'Données projet'!$B$62,AI14+AH15-AQ14)))</f>
        <v>80</v>
      </c>
      <c r="AJ15" s="13">
        <f>AI15*VLOOKUP('Données projet'!$B$10,Paramètres!$A$1:$I$89,3,0)*VLOOKUP('Données projet'!$B$10,Paramètres!$A$1:$I$89,5,0)</f>
        <v>72.384</v>
      </c>
      <c r="AK15" s="13">
        <f t="shared" si="35"/>
        <v>20.264329923804397</v>
      </c>
      <c r="AL15" s="20">
        <f t="shared" si="4"/>
        <v>161.362507950626</v>
      </c>
      <c r="AM15" s="59">
        <f t="shared" si="5"/>
        <v>358.39228540335887</v>
      </c>
      <c r="AN15" s="59">
        <f ca="1">AVERAGE(OFFSET($AM$3,0,0,'Données projet'!$E$10+1,1))-AVERAGE(OFFSET($H$3,0,0,'Données projet'!$E$10+1,1))</f>
        <v>312.51355033343896</v>
      </c>
      <c r="AO15" s="59">
        <f t="shared" si="36"/>
        <v>442.54749157177571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3">
        <f>'Scénario référence'!$B$16*5+'Scénario référence'!$B$17*0+'Scénario référence'!$B$18*5</f>
        <v>5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1">
        <f t="shared" si="32"/>
        <v>0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" s="11">
        <f>IF(OR('Scénario référence'!$F$8&gt;0,'Scénario référence'!$F$9&gt;0),('Scénario référence'!$F$8+'Scénario référence'!$F$9)*10,0)</f>
        <v>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67">
        <f t="shared" si="1"/>
        <v>183.33333333333334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2">
        <f>VLOOKUP(A16,'Données projet'!$A$35:$I$55,2,0)</f>
        <v>121.38884615384613</v>
      </c>
      <c r="L16" s="12">
        <f>VLOOKUP(A16,'Données projet'!$A$35:$I$55,9,0)</f>
        <v>17.56346153846151</v>
      </c>
      <c r="M16" s="12">
        <f t="array" ref="M16">INDEX(L:L,MIN(IF(ISNUMBER(L16:L212),ROW(L16:L212),"")))</f>
        <v>17.56346153846151</v>
      </c>
      <c r="N16" s="13">
        <f>IF('Données projet'!$A$36&gt;35,N15+M16-V15,IF(A16&lt;'Données projet'!$A$36,$K$205^A16,IF(A16='Données projet'!$A$36,'Données projet'!$B$36,N15+M16-V15)))</f>
        <v>121.38884615384613</v>
      </c>
      <c r="O16" s="13">
        <f>N16*VLOOKUP('Données projet'!$B$9,Paramètres!$A$1:$I$89,3,0)*VLOOKUP('Données projet'!$B$9,Paramètres!$A$1:$I$89,5,0)</f>
        <v>61.733511599999993</v>
      </c>
      <c r="P16" s="13">
        <f t="shared" si="33"/>
        <v>17.605825957786696</v>
      </c>
      <c r="Q16" s="20">
        <f t="shared" si="2"/>
        <v>138.18267957981183</v>
      </c>
      <c r="R16" s="59">
        <f t="shared" si="0"/>
        <v>337.72367983143067</v>
      </c>
      <c r="S16" s="59">
        <f ca="1">AVERAGE(OFFSET($R$3,0,0,'Données projet'!$E$9+1,1))-AVERAGE(OFFSET($H$3,0,0,'Données projet'!$E$9+1,1))</f>
        <v>112.82287576550925</v>
      </c>
      <c r="T16" s="59">
        <f t="shared" si="34"/>
        <v>317.78570695363294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11</v>
      </c>
      <c r="AI16" s="13">
        <f>IF('Données projet'!$A$62&gt;35,AI15+AH16-AQ15,IF(A16&lt;'Données projet'!$A$62,$AF$205^A16,IF(A16='Données projet'!$A$62,'Données projet'!$B$62,AI15+AH16-AQ15)))</f>
        <v>91</v>
      </c>
      <c r="AJ16" s="13">
        <f>AI16*VLOOKUP('Données projet'!$B$10,Paramètres!$A$1:$I$89,3,0)*VLOOKUP('Données projet'!$B$10,Paramètres!$A$1:$I$89,5,0)</f>
        <v>82.336799999999997</v>
      </c>
      <c r="AK16" s="13">
        <f t="shared" si="35"/>
        <v>22.707582950885364</v>
      </c>
      <c r="AL16" s="20">
        <f t="shared" si="4"/>
        <v>182.95230030612535</v>
      </c>
      <c r="AM16" s="59">
        <f t="shared" si="5"/>
        <v>382.49330055774419</v>
      </c>
      <c r="AN16" s="59">
        <f ca="1">AVERAGE(OFFSET($AM$3,0,0,'Données projet'!$E$10+1,1))-AVERAGE(OFFSET($H$3,0,0,'Données projet'!$E$10+1,1))</f>
        <v>312.51355033343896</v>
      </c>
      <c r="AO16" s="59">
        <f t="shared" si="36"/>
        <v>442.54749157177571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3">
        <f>'Scénario référence'!$B$16*5+'Scénario référence'!$B$17*0+'Scénario référence'!$B$18*5</f>
        <v>5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1">
        <f t="shared" si="32"/>
        <v>0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" s="11">
        <f>IF(OR('Scénario référence'!$F$8&gt;0,'Scénario référence'!$F$9&gt;0),('Scénario référence'!$F$8+'Scénario référence'!$F$9)*10,0)</f>
        <v>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67">
        <f t="shared" si="1"/>
        <v>183.33333333333334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2">
        <f>VLOOKUP(A17,'Données projet'!$A$35:$I$55,2,0)</f>
        <v>139.63512820512813</v>
      </c>
      <c r="L17" s="12">
        <f>VLOOKUP(A17,'Données projet'!$A$35:$I$55,9,0)</f>
        <v>18.246282051281995</v>
      </c>
      <c r="M17" s="12">
        <f t="array" ref="M17">INDEX(L:L,MIN(IF(ISNUMBER(L17:L213),ROW(L17:L213),"")))</f>
        <v>18.246282051281995</v>
      </c>
      <c r="N17" s="13">
        <f>IF('Données projet'!$A$36&gt;35,N16+M17-V16,IF(A17&lt;'Données projet'!$A$36,$K$205^A17,IF(A17='Données projet'!$A$36,'Données projet'!$B$36,N16+M17-V16)))</f>
        <v>139.63512820512813</v>
      </c>
      <c r="O17" s="13">
        <f>N17*VLOOKUP('Données projet'!$B$9,Paramètres!$A$1:$I$89,3,0)*VLOOKUP('Données projet'!$B$9,Paramètres!$A$1:$I$89,5,0)</f>
        <v>71.012840799999964</v>
      </c>
      <c r="P17" s="13">
        <f t="shared" si="33"/>
        <v>19.924770961221942</v>
      </c>
      <c r="Q17" s="20">
        <f t="shared" si="2"/>
        <v>158.38300715079481</v>
      </c>
      <c r="R17" s="59">
        <f t="shared" si="0"/>
        <v>360.412868923068</v>
      </c>
      <c r="S17" s="59">
        <f ca="1">AVERAGE(OFFSET($R$3,0,0,'Données projet'!$E$9+1,1))-AVERAGE(OFFSET($H$3,0,0,'Données projet'!$E$9+1,1))</f>
        <v>112.82287576550925</v>
      </c>
      <c r="T17" s="59">
        <f t="shared" si="34"/>
        <v>317.78570695363294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11</v>
      </c>
      <c r="AI17" s="13">
        <f>IF('Données projet'!$A$62&gt;35,AI16+AH17-AQ16,IF(A17&lt;'Données projet'!$A$62,$AF$205^A17,IF(A17='Données projet'!$A$62,'Données projet'!$B$62,AI16+AH17-AQ16)))</f>
        <v>102</v>
      </c>
      <c r="AJ17" s="13">
        <f>AI17*VLOOKUP('Données projet'!$B$10,Paramètres!$A$1:$I$89,3,0)*VLOOKUP('Données projet'!$B$10,Paramètres!$A$1:$I$89,5,0)</f>
        <v>92.289599999999993</v>
      </c>
      <c r="AK17" s="13">
        <f t="shared" si="35"/>
        <v>25.116611431659546</v>
      </c>
      <c r="AL17" s="20">
        <f t="shared" si="4"/>
        <v>204.48248491014036</v>
      </c>
      <c r="AM17" s="59">
        <f t="shared" si="5"/>
        <v>406.51234668241352</v>
      </c>
      <c r="AN17" s="59">
        <f ca="1">AVERAGE(OFFSET($AM$3,0,0,'Données projet'!$E$10+1,1))-AVERAGE(OFFSET($H$3,0,0,'Données projet'!$E$10+1,1))</f>
        <v>312.51355033343896</v>
      </c>
      <c r="AO17" s="59">
        <f t="shared" si="36"/>
        <v>442.54749157177571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3">
        <f>'Scénario référence'!$B$16*5+'Scénario référence'!$B$17*0+'Scénario référence'!$B$18*5</f>
        <v>5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1">
        <f t="shared" si="32"/>
        <v>0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" s="11">
        <f>IF(OR('Scénario référence'!$F$8&gt;0,'Scénario référence'!$F$9&gt;0),('Scénario référence'!$F$8+'Scénario référence'!$F$9)*10,0)</f>
        <v>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67">
        <f t="shared" si="1"/>
        <v>183.33333333333334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">
        <f>VLOOKUP(A18,'Données projet'!$A$35:$I$55,2,0)</f>
        <v>158.40769230769226</v>
      </c>
      <c r="L18" s="12">
        <f>VLOOKUP(A18,'Données projet'!$A$35:$I$55,9,0)</f>
        <v>18.772564102564132</v>
      </c>
      <c r="M18" s="12">
        <f t="array" ref="M18">INDEX(L:L,MIN(IF(ISNUMBER(L18:L214),ROW(L18:L214),"")))</f>
        <v>18.772564102564132</v>
      </c>
      <c r="N18" s="13">
        <f>IF('Données projet'!$A$36&gt;35,N17+M18-V17,IF(A18&lt;'Données projet'!$A$36,$K$205^A18,IF(A18='Données projet'!$A$36,'Données projet'!$B$36,N17+M18-V17)))</f>
        <v>158.40769230769226</v>
      </c>
      <c r="O18" s="13">
        <f>N18*VLOOKUP('Données projet'!$B$9,Paramètres!$A$1:$I$89,3,0)*VLOOKUP('Données projet'!$B$9,Paramètres!$A$1:$I$89,5,0)</f>
        <v>80.559815999999984</v>
      </c>
      <c r="P18" s="13">
        <f t="shared" si="33"/>
        <v>22.274006449865396</v>
      </c>
      <c r="Q18" s="20">
        <f t="shared" si="2"/>
        <v>179.10224076684889</v>
      </c>
      <c r="R18" s="59">
        <f t="shared" si="0"/>
        <v>383.59899069972994</v>
      </c>
      <c r="S18" s="59">
        <f ca="1">AVERAGE(OFFSET($R$3,0,0,'Données projet'!$E$9+1,1))-AVERAGE(OFFSET($H$3,0,0,'Données projet'!$E$9+1,1))</f>
        <v>112.82287576550925</v>
      </c>
      <c r="T18" s="59">
        <f t="shared" si="34"/>
        <v>317.78570695363294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">
        <f>VLOOKUP(A18,'Données projet'!$A$61:$I$81,2,0)</f>
        <v>113</v>
      </c>
      <c r="AG18" s="12">
        <f>VLOOKUP(A18,'Données projet'!$A$61:$I$81,9,0)</f>
        <v>11</v>
      </c>
      <c r="AH18" s="12">
        <f t="array" ref="AH18">INDEX(AG:AG,MIN(IF(ISNUMBER(AG18:AG214),ROW(AG18:AG214),"")))</f>
        <v>11</v>
      </c>
      <c r="AI18" s="13">
        <f>IF('Données projet'!$A$62&gt;35,AI17+AH18-AQ17,IF(A18&lt;'Données projet'!$A$62,$AF$205^A18,IF(A18='Données projet'!$A$62,'Données projet'!$B$62,AI17+AH18-AQ17)))</f>
        <v>113</v>
      </c>
      <c r="AJ18" s="13">
        <f>AI18*VLOOKUP('Données projet'!$B$10,Paramètres!$A$1:$I$89,3,0)*VLOOKUP('Données projet'!$B$10,Paramètres!$A$1:$I$89,5,0)</f>
        <v>102.24239999999999</v>
      </c>
      <c r="AK18" s="13">
        <f t="shared" si="35"/>
        <v>27.495526976991481</v>
      </c>
      <c r="AL18" s="20">
        <f t="shared" si="4"/>
        <v>225.96022281826015</v>
      </c>
      <c r="AM18" s="59">
        <f t="shared" si="5"/>
        <v>430.45697275114117</v>
      </c>
      <c r="AN18" s="59">
        <f ca="1">AVERAGE(OFFSET($AM$3,0,0,'Données projet'!$E$10+1,1))-AVERAGE(OFFSET($H$3,0,0,'Données projet'!$E$10+1,1))</f>
        <v>312.51355033343896</v>
      </c>
      <c r="AO18" s="59">
        <f t="shared" si="36"/>
        <v>442.54749157177571</v>
      </c>
      <c r="AP18" s="15">
        <f>IF(ISNA(VLOOKUP(A18,'Données projet'!$A$61:$I$81,3,0)),0,VLOOKUP(A18,'Données projet'!$A$61:$I$81,3,0))</f>
        <v>3</v>
      </c>
      <c r="AQ18" s="15">
        <f>IF(ISNA(VLOOKUP(A18,'Données projet'!$A$61:$I$81,4,0)),0,VLOOKUP(A18,'Données projet'!$A$61:$I$81,4,0))</f>
        <v>18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3">
        <f>'Scénario référence'!$B$16*5+'Scénario référence'!$B$17*0+'Scénario référence'!$B$18*5</f>
        <v>5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1">
        <f t="shared" si="32"/>
        <v>0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" s="11">
        <f>IF(OR('Scénario référence'!$F$8&gt;0,'Scénario référence'!$F$9&gt;0),('Scénario référence'!$F$8+'Scénario référence'!$F$9)*10,0)</f>
        <v>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67">
        <f t="shared" si="1"/>
        <v>183.33333333333334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2">
        <f>VLOOKUP(A19,'Données projet'!$A$35:$I$55,2,0)</f>
        <v>177.54999999999995</v>
      </c>
      <c r="L19" s="12">
        <f>VLOOKUP(A19,'Données projet'!$A$35:$I$55,9,0)</f>
        <v>19.142307692307696</v>
      </c>
      <c r="M19" s="12">
        <f t="array" ref="M19">INDEX(L:L,MIN(IF(ISNUMBER(L19:L215),ROW(L19:L215),"")))</f>
        <v>19.142307692307696</v>
      </c>
      <c r="N19" s="13">
        <f>IF('Données projet'!$A$36&gt;35,N18+M19-V18,IF(A19&lt;'Données projet'!$A$36,$K$205^A19,IF(A19='Données projet'!$A$36,'Données projet'!$B$36,N18+M19-V18)))</f>
        <v>177.54999999999995</v>
      </c>
      <c r="O19" s="13">
        <f>N19*VLOOKUP('Données projet'!$B$9,Paramètres!$A$1:$I$89,3,0)*VLOOKUP('Données projet'!$B$9,Paramètres!$A$1:$I$89,5,0)</f>
        <v>90.294827999999981</v>
      </c>
      <c r="P19" s="13">
        <f t="shared" si="33"/>
        <v>24.636316867930056</v>
      </c>
      <c r="Q19" s="20">
        <f t="shared" si="2"/>
        <v>200.1717439783115</v>
      </c>
      <c r="R19" s="59">
        <f t="shared" si="0"/>
        <v>407.11378990042556</v>
      </c>
      <c r="S19" s="59">
        <f ca="1">AVERAGE(OFFSET($R$3,0,0,'Données projet'!$E$9+1,1))-AVERAGE(OFFSET($H$3,0,0,'Données projet'!$E$9+1,1))</f>
        <v>112.82287576550925</v>
      </c>
      <c r="T19" s="59">
        <f t="shared" si="34"/>
        <v>317.78570695363294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10</v>
      </c>
      <c r="AI19" s="13">
        <f>IF('Données projet'!$A$62&gt;35,AI18+AH19-AQ18,IF(A19&lt;'Données projet'!$A$62,$AF$205^A19,IF(A19='Données projet'!$A$62,'Données projet'!$B$62,AI18+AH19-AQ18)))</f>
        <v>105</v>
      </c>
      <c r="AJ19" s="13">
        <f>AI19*VLOOKUP('Données projet'!$B$10,Paramètres!$A$1:$I$89,3,0)*VLOOKUP('Données projet'!$B$10,Paramètres!$A$1:$I$89,5,0)</f>
        <v>95.004000000000005</v>
      </c>
      <c r="AK19" s="13">
        <f t="shared" si="35"/>
        <v>25.768242550600785</v>
      </c>
      <c r="AL19" s="20">
        <f t="shared" si="4"/>
        <v>210.34498910896306</v>
      </c>
      <c r="AM19" s="59">
        <f t="shared" si="5"/>
        <v>417.28703503107715</v>
      </c>
      <c r="AN19" s="59">
        <f ca="1">AVERAGE(OFFSET($AM$3,0,0,'Données projet'!$E$10+1,1))-AVERAGE(OFFSET($H$3,0,0,'Données projet'!$E$10+1,1))</f>
        <v>312.51355033343896</v>
      </c>
      <c r="AO19" s="59">
        <f t="shared" si="36"/>
        <v>442.54749157177571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3">
        <f>'Scénario référence'!$B$16*5+'Scénario référence'!$B$17*0+'Scénario référence'!$B$18*5</f>
        <v>5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1">
        <f t="shared" si="32"/>
        <v>0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" s="11">
        <f>IF(OR('Scénario référence'!$F$8&gt;0,'Scénario référence'!$F$9&gt;0),('Scénario référence'!$F$8+'Scénario référence'!$F$9)*10,0)</f>
        <v>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67">
        <f t="shared" si="1"/>
        <v>183.33333333333334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2">
        <f>VLOOKUP(A20,'Données projet'!$A$35:$I$55,2,0)</f>
        <v>196.90551282051274</v>
      </c>
      <c r="L20" s="12">
        <f>VLOOKUP(A20,'Données projet'!$A$35:$I$55,9,0)</f>
        <v>19.355512820512786</v>
      </c>
      <c r="M20" s="12">
        <f t="array" ref="M20">INDEX(L:L,MIN(IF(ISNUMBER(L20:L216),ROW(L20:L216),"")))</f>
        <v>19.355512820512786</v>
      </c>
      <c r="N20" s="13">
        <f>IF('Données projet'!$A$36&gt;35,N19+M20-V19,IF(A20&lt;'Données projet'!$A$36,$K$205^A20,IF(A20='Données projet'!$A$36,'Données projet'!$B$36,N19+M20-V19)))</f>
        <v>196.90551282051274</v>
      </c>
      <c r="O20" s="13">
        <f>N20*VLOOKUP('Données projet'!$B$9,Paramètres!$A$1:$I$89,3,0)*VLOOKUP('Données projet'!$B$9,Paramètres!$A$1:$I$89,5,0)</f>
        <v>100.13826759999998</v>
      </c>
      <c r="P20" s="13">
        <f t="shared" si="33"/>
        <v>26.994935247983022</v>
      </c>
      <c r="Q20" s="20">
        <f t="shared" si="2"/>
        <v>221.42366162690371</v>
      </c>
      <c r="R20" s="59">
        <f t="shared" si="0"/>
        <v>430.78978594277646</v>
      </c>
      <c r="S20" s="59">
        <f ca="1">AVERAGE(OFFSET($R$3,0,0,'Données projet'!$E$9+1,1))-AVERAGE(OFFSET($H$3,0,0,'Données projet'!$E$9+1,1))</f>
        <v>112.82287576550925</v>
      </c>
      <c r="T20" s="59">
        <f t="shared" si="34"/>
        <v>317.78570695363294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10</v>
      </c>
      <c r="AI20" s="13">
        <f>IF('Données projet'!$A$62&gt;35,AI19+AH20-AQ19,IF(A20&lt;'Données projet'!$A$62,$AF$205^A20,IF(A20='Données projet'!$A$62,'Données projet'!$B$62,AI19+AH20-AQ19)))</f>
        <v>115</v>
      </c>
      <c r="AJ20" s="13">
        <f>AI20*VLOOKUP('Données projet'!$B$10,Paramètres!$A$1:$I$89,3,0)*VLOOKUP('Données projet'!$B$10,Paramètres!$A$1:$I$89,5,0)</f>
        <v>104.05199999999999</v>
      </c>
      <c r="AK20" s="13">
        <f t="shared" si="35"/>
        <v>27.925087771564417</v>
      </c>
      <c r="AL20" s="20">
        <f t="shared" si="4"/>
        <v>229.86009453547467</v>
      </c>
      <c r="AM20" s="59">
        <f t="shared" si="5"/>
        <v>439.22621885134743</v>
      </c>
      <c r="AN20" s="59">
        <f ca="1">AVERAGE(OFFSET($AM$3,0,0,'Données projet'!$E$10+1,1))-AVERAGE(OFFSET($H$3,0,0,'Données projet'!$E$10+1,1))</f>
        <v>312.51355033343896</v>
      </c>
      <c r="AO20" s="59">
        <f t="shared" si="36"/>
        <v>442.54749157177571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3">
        <f>'Scénario référence'!$B$16*5+'Scénario référence'!$B$17*0+'Scénario référence'!$B$18*5</f>
        <v>5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1">
        <f t="shared" si="32"/>
        <v>0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1" s="11">
        <f>IF(OR('Scénario référence'!$F$8&gt;0,'Scénario référence'!$F$9&gt;0),('Scénario référence'!$F$8+'Scénario référence'!$F$9)*10,0)</f>
        <v>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67">
        <f t="shared" si="1"/>
        <v>183.33333333333334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">
        <f>VLOOKUP(A21,'Données projet'!$A$35:$I$55,2,0)</f>
        <v>216.31769230769225</v>
      </c>
      <c r="L21" s="12">
        <f>VLOOKUP(A21,'Données projet'!$A$35:$I$55,9,0)</f>
        <v>19.412179487179515</v>
      </c>
      <c r="M21" s="12">
        <f t="array" ref="M21">INDEX(L:L,MIN(IF(ISNUMBER(L21:L217),ROW(L21:L217),"")))</f>
        <v>19.412179487179515</v>
      </c>
      <c r="N21" s="13">
        <f>IF('Données projet'!$A$36&gt;35,N20+M21-V20,IF(A21&lt;'Données projet'!$A$36,$K$205^A21,IF(A21='Données projet'!$A$36,'Données projet'!$B$36,N20+M21-V20)))</f>
        <v>216.31769230769225</v>
      </c>
      <c r="O21" s="13">
        <f>N21*VLOOKUP('Données projet'!$B$9,Paramètres!$A$1:$I$89,3,0)*VLOOKUP('Données projet'!$B$9,Paramètres!$A$1:$I$89,5,0)</f>
        <v>110.01052559999998</v>
      </c>
      <c r="P21" s="13">
        <f t="shared" si="33"/>
        <v>29.333464472205538</v>
      </c>
      <c r="Q21" s="20">
        <f t="shared" si="2"/>
        <v>242.69078270909122</v>
      </c>
      <c r="R21" s="59">
        <f t="shared" si="0"/>
        <v>454.4601359010943</v>
      </c>
      <c r="S21" s="59">
        <f ca="1">AVERAGE(OFFSET($R$3,0,0,'Données projet'!$E$9+1,1))-AVERAGE(OFFSET($H$3,0,0,'Données projet'!$E$9+1,1))</f>
        <v>112.82287576550925</v>
      </c>
      <c r="T21" s="59">
        <f t="shared" si="34"/>
        <v>317.78570695363294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10</v>
      </c>
      <c r="AI21" s="13">
        <f>IF('Données projet'!$A$62&gt;35,AI20+AH21-AQ20,IF(A21&lt;'Données projet'!$A$62,$AF$205^A21,IF(A21='Données projet'!$A$62,'Données projet'!$B$62,AI20+AH21-AQ20)))</f>
        <v>125</v>
      </c>
      <c r="AJ21" s="13">
        <f>AI21*VLOOKUP('Données projet'!$B$10,Paramètres!$A$1:$I$89,3,0)*VLOOKUP('Données projet'!$B$10,Paramètres!$A$1:$I$89,5,0)</f>
        <v>113.10000000000001</v>
      </c>
      <c r="AK21" s="13">
        <f t="shared" si="35"/>
        <v>30.060183168217279</v>
      </c>
      <c r="AL21" s="20">
        <f t="shared" si="4"/>
        <v>249.33731901797844</v>
      </c>
      <c r="AM21" s="59">
        <f t="shared" si="5"/>
        <v>461.10667220998153</v>
      </c>
      <c r="AN21" s="59">
        <f ca="1">AVERAGE(OFFSET($AM$3,0,0,'Données projet'!$E$10+1,1))-AVERAGE(OFFSET($H$3,0,0,'Données projet'!$E$10+1,1))</f>
        <v>312.51355033343896</v>
      </c>
      <c r="AO21" s="59">
        <f t="shared" si="36"/>
        <v>442.54749157177571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3">
        <f>'Scénario référence'!$B$16*5+'Scénario référence'!$B$17*0+'Scénario référence'!$B$18*5</f>
        <v>5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1">
        <f t="shared" si="32"/>
        <v>0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2" s="11">
        <f>IF(OR('Scénario référence'!$F$8&gt;0,'Scénario référence'!$F$9&gt;0),('Scénario référence'!$F$8+'Scénario référence'!$F$9)*10,0)</f>
        <v>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67">
        <f t="shared" si="1"/>
        <v>183.33333333333334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2">
        <f>VLOOKUP(A22,'Données projet'!$A$35:$I$55,2,0)</f>
        <v>235.63</v>
      </c>
      <c r="L22" s="12">
        <f>VLOOKUP(A22,'Données projet'!$A$35:$I$55,9,0)</f>
        <v>19.312307692307741</v>
      </c>
      <c r="M22" s="12">
        <f t="array" ref="M22">INDEX(L:L,MIN(IF(ISNUMBER(L22:L218),ROW(L22:L218),"")))</f>
        <v>19.312307692307741</v>
      </c>
      <c r="N22" s="13">
        <f>IF('Données projet'!$A$36&gt;35,N21+M22-V21,IF(A22&lt;'Données projet'!$A$36,$K$205^A22,IF(A22='Données projet'!$A$36,'Données projet'!$B$36,N21+M22-V21)))</f>
        <v>235.63</v>
      </c>
      <c r="O22" s="13">
        <f>N22*VLOOKUP('Données projet'!$B$9,Paramètres!$A$1:$I$89,3,0)*VLOOKUP('Données projet'!$B$9,Paramètres!$A$1:$I$89,5,0)</f>
        <v>119.83199280000001</v>
      </c>
      <c r="P22" s="13">
        <f t="shared" si="33"/>
        <v>31.635811179125575</v>
      </c>
      <c r="Q22" s="20">
        <f t="shared" si="2"/>
        <v>263.80642526364375</v>
      </c>
      <c r="R22" s="59">
        <f t="shared" si="0"/>
        <v>477.95851950666724</v>
      </c>
      <c r="S22" s="59">
        <f ca="1">AVERAGE(OFFSET($R$3,0,0,'Données projet'!$E$9+1,1))-AVERAGE(OFFSET($H$3,0,0,'Données projet'!$E$9+1,1))</f>
        <v>112.82287576550925</v>
      </c>
      <c r="T22" s="59">
        <f t="shared" si="34"/>
        <v>317.78570695363294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10</v>
      </c>
      <c r="AI22" s="13">
        <f>IF('Données projet'!$A$62&gt;35,AI21+AH22-AQ21,IF(A22&lt;'Données projet'!$A$62,$AF$205^A22,IF(A22='Données projet'!$A$62,'Données projet'!$B$62,AI21+AH22-AQ21)))</f>
        <v>135</v>
      </c>
      <c r="AJ22" s="13">
        <f>AI22*VLOOKUP('Données projet'!$B$10,Paramètres!$A$1:$I$89,3,0)*VLOOKUP('Données projet'!$B$10,Paramètres!$A$1:$I$89,5,0)</f>
        <v>122.148</v>
      </c>
      <c r="AK22" s="13">
        <f t="shared" si="35"/>
        <v>32.175466547071615</v>
      </c>
      <c r="AL22" s="20">
        <f t="shared" si="4"/>
        <v>268.78003756948306</v>
      </c>
      <c r="AM22" s="59">
        <f t="shared" si="5"/>
        <v>482.93213181250655</v>
      </c>
      <c r="AN22" s="59">
        <f ca="1">AVERAGE(OFFSET($AM$3,0,0,'Données projet'!$E$10+1,1))-AVERAGE(OFFSET($H$3,0,0,'Données projet'!$E$10+1,1))</f>
        <v>312.51355033343896</v>
      </c>
      <c r="AO22" s="59">
        <f t="shared" si="36"/>
        <v>442.54749157177571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3">
        <f>'Scénario référence'!$B$16*5+'Scénario référence'!$B$17*0+'Scénario référence'!$B$18*5</f>
        <v>5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1">
        <f t="shared" si="32"/>
        <v>0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3" s="11">
        <f>IF(OR('Scénario référence'!$F$8&gt;0,'Scénario référence'!$F$9&gt;0),('Scénario référence'!$F$8+'Scénario référence'!$F$9)*10,0)</f>
        <v>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67">
        <f t="shared" si="1"/>
        <v>183.33333333333334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2">
        <f>VLOOKUP(A23,'Données projet'!$A$35:$I$55,2,0)</f>
        <v>254.68589743589735</v>
      </c>
      <c r="L23" s="12">
        <f>VLOOKUP(A23,'Données projet'!$A$35:$I$55,9,0)</f>
        <v>19.05589743589735</v>
      </c>
      <c r="M23" s="12">
        <f t="array" ref="M23">INDEX(L:L,MIN(IF(ISNUMBER(L23:L219),ROW(L23:L219),"")))</f>
        <v>19.05589743589735</v>
      </c>
      <c r="N23" s="13">
        <f>IF('Données projet'!$A$36&gt;35,N22+M23-V22,IF(A23&lt;'Données projet'!$A$36,$K$205^A23,IF(A23='Données projet'!$A$36,'Données projet'!$B$36,N22+M23-V22)))</f>
        <v>254.68589743589735</v>
      </c>
      <c r="O23" s="13">
        <f>N23*VLOOKUP('Données projet'!$B$9,Paramètres!$A$1:$I$89,3,0)*VLOOKUP('Données projet'!$B$9,Paramètres!$A$1:$I$89,5,0)</f>
        <v>129.52305999999996</v>
      </c>
      <c r="P23" s="13">
        <f t="shared" si="33"/>
        <v>33.886128937839644</v>
      </c>
      <c r="Q23" s="20">
        <f t="shared" si="2"/>
        <v>284.60433740007062</v>
      </c>
      <c r="R23" s="59">
        <f t="shared" si="0"/>
        <v>501.11904028696631</v>
      </c>
      <c r="S23" s="59">
        <f ca="1">AVERAGE(OFFSET($R$3,0,0,'Données projet'!$E$9+1,1))-AVERAGE(OFFSET($H$3,0,0,'Données projet'!$E$9+1,1))</f>
        <v>112.82287576550925</v>
      </c>
      <c r="T23" s="59">
        <f t="shared" si="34"/>
        <v>317.78570695363294</v>
      </c>
      <c r="U23" s="15" t="str">
        <f>IF(ISNA(VLOOKUP(A23,'Données projet'!$A$35:$I$55,3,0)),0,VLOOKUP(A23,'Données projet'!$A$35:$I$55,3,0))</f>
        <v>CR</v>
      </c>
      <c r="V23" s="15">
        <f>IF(ISNA(VLOOKUP(A23,'Données projet'!$A$35:$I$55,4,0)),0,VLOOKUP(A23,'Données projet'!$A$35:$I$55,4,0))</f>
        <v>254.68589743589735</v>
      </c>
      <c r="W23" s="16">
        <f>IF(ISNA(VLOOKUP(A23,'Données projet'!$A$35:$I$55,5,0)),0%,VLOOKUP(A23,'Données projet'!$A$35:$I$55,5,0)*VLOOKUP('Données projet'!$B$9,Paramètres!$A$1:$I$89,7,0))</f>
        <v>0.42</v>
      </c>
      <c r="X23" s="16">
        <f>IF(ISNA(VLOOKUP(A23,'Données projet'!$A$35:$I$55,6,0)),0%,VLOOKUP(A23,'Données projet'!$A$35:$I$55,6,0)*VLOOKUP('Données projet'!$B$9,Paramètres!$A$1:$I$89,7,0))</f>
        <v>0.09</v>
      </c>
      <c r="Y23" s="16">
        <f>IF(ISNA(VLOOKUP(A23,'Données projet'!$A$35:$I$55,7,0)),0%,VLOOKUP(A23,'Données projet'!$A$35:$I$55,7,0))</f>
        <v>0.15</v>
      </c>
      <c r="Z23" s="21">
        <f>EXP(-LN(2)/35)*Z22+(1-EXP(-LN(2)/35))/(LN(2)/35)*V23*W23*VLOOKUP('Données projet'!$B$9,Paramètres!$A$1:$I$89,3,0)*0.475*44/12</f>
        <v>60.137240644516993</v>
      </c>
      <c r="AA23" s="21">
        <f>EXP(-LN(2)/25)*AA22+(1-EXP(-LN(2)/25))/(LN(2)/25)*Calculateur!V23*Calculateur!X23*VLOOKUP('Données projet'!$B$9,Paramètres!$A$1:$I$89,3,0)*0.475*44/12</f>
        <v>12.835812303003088</v>
      </c>
      <c r="AB23" s="21">
        <f>EXP(-LN(2)/2)*AB22+(1-EXP(-LN(2)/2))/(LN(2)/2)*V23*Y23*VLOOKUP('Données projet'!$B$9,Paramètres!$A$1:$I$89,3,0)*0.475*44/12</f>
        <v>18.331273975807282</v>
      </c>
      <c r="AC23" s="22">
        <f t="shared" si="3"/>
        <v>91.304326923327352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2">
        <f>VLOOKUP(A23,'Données projet'!$A$61:$I$81,2,0)</f>
        <v>145</v>
      </c>
      <c r="AG23" s="12">
        <f>VLOOKUP(A23,'Données projet'!$A$61:$I$81,9,0)</f>
        <v>10</v>
      </c>
      <c r="AH23" s="12">
        <f t="array" ref="AH23">INDEX(AG:AG,MIN(IF(ISNUMBER(AG23:AG219),ROW(AG23:AG219),"")))</f>
        <v>10</v>
      </c>
      <c r="AI23" s="13">
        <f>IF('Données projet'!$A$62&gt;35,AI22+AH23-AQ22,IF(A23&lt;'Données projet'!$A$62,$AF$205^A23,IF(A23='Données projet'!$A$62,'Données projet'!$B$62,AI22+AH23-AQ22)))</f>
        <v>145</v>
      </c>
      <c r="AJ23" s="13">
        <f>AI23*VLOOKUP('Données projet'!$B$10,Paramètres!$A$1:$I$89,3,0)*VLOOKUP('Données projet'!$B$10,Paramètres!$A$1:$I$89,5,0)</f>
        <v>131.196</v>
      </c>
      <c r="AK23" s="13">
        <f t="shared" si="35"/>
        <v>34.272572346624997</v>
      </c>
      <c r="AL23" s="20">
        <f t="shared" si="4"/>
        <v>288.19109683703851</v>
      </c>
      <c r="AM23" s="59">
        <f t="shared" si="5"/>
        <v>504.70579972393421</v>
      </c>
      <c r="AN23" s="59">
        <f ca="1">AVERAGE(OFFSET($AM$3,0,0,'Données projet'!$E$10+1,1))-AVERAGE(OFFSET($H$3,0,0,'Données projet'!$E$10+1,1))</f>
        <v>312.51355033343896</v>
      </c>
      <c r="AO23" s="59">
        <f t="shared" si="36"/>
        <v>442.54749157177571</v>
      </c>
      <c r="AP23" s="15">
        <f>IF(ISNA(VLOOKUP(A23,'Données projet'!$A$61:$I$81,3,0)),0,VLOOKUP(A23,'Données projet'!$A$61:$I$81,3,0))</f>
        <v>4</v>
      </c>
      <c r="AQ23" s="15">
        <f>IF(ISNA(VLOOKUP(A23,'Données projet'!$A$61:$I$81,4,0)),0,VLOOKUP(A23,'Données projet'!$A$61:$I$81,4,0))</f>
        <v>14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3">
        <f>'Scénario référence'!$B$16*5+'Scénario référence'!$B$17*0+'Scénario référence'!$B$18*5</f>
        <v>5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1">
        <f t="shared" si="32"/>
        <v>0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4" s="11">
        <f>IF(OR('Scénario référence'!$F$8&gt;0,'Scénario référence'!$F$9&gt;0),('Scénario référence'!$F$8+'Scénario référence'!$F$9)*10,0)</f>
        <v>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67">
        <f t="shared" si="1"/>
        <v>183.33333333333334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0</v>
      </c>
      <c r="N24" s="13">
        <f>IF('Données projet'!$A$36&gt;35,N23+M24-V23,IF(A24&lt;'Données projet'!$A$36,$K$205^A24,IF(A24='Données projet'!$A$36,'Données projet'!$B$36,N23+M24-V23)))</f>
        <v>0</v>
      </c>
      <c r="O24" s="13">
        <f>N24*VLOOKUP('Données projet'!$B$9,Paramètres!$A$1:$I$89,3,0)*VLOOKUP('Données projet'!$B$9,Paramètres!$A$1:$I$89,5,0)</f>
        <v>0</v>
      </c>
      <c r="P24" s="13" t="e">
        <f t="shared" si="33"/>
        <v>#NUM!</v>
      </c>
      <c r="Q24" s="20" t="e">
        <f t="shared" si="2"/>
        <v>#NUM!</v>
      </c>
      <c r="R24" s="59" t="e">
        <f t="shared" si="0"/>
        <v>#NUM!</v>
      </c>
      <c r="S24" s="59">
        <f ca="1">AVERAGE(OFFSET($R$3,0,0,'Données projet'!$E$9+1,1))-AVERAGE(OFFSET($H$3,0,0,'Données projet'!$E$9+1,1))</f>
        <v>112.82287576550925</v>
      </c>
      <c r="T24" s="59">
        <f t="shared" si="34"/>
        <v>317.78570695363294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58.957986035572951</v>
      </c>
      <c r="AA24" s="21">
        <f>EXP(-LN(2)/25)*AA23+(1-EXP(-LN(2)/25))/(LN(2)/25)*Calculateur!V24*Calculateur!X24*VLOOKUP('Données projet'!$B$9,Paramètres!$A$1:$I$89,3,0)*0.475*44/12</f>
        <v>12.484816340571436</v>
      </c>
      <c r="AB24" s="21">
        <f>EXP(-LN(2)/2)*AB23+(1-EXP(-LN(2)/2))/(LN(2)/2)*V24*Y24*VLOOKUP('Données projet'!$B$9,Paramètres!$A$1:$I$89,3,0)*0.475*44/12</f>
        <v>12.962168136081813</v>
      </c>
      <c r="AC24" s="22">
        <f t="shared" si="3"/>
        <v>84.4049705122262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8.4</v>
      </c>
      <c r="AI24" s="13">
        <f>IF('Données projet'!$A$62&gt;35,AI23+AH24-AQ23,IF(A24&lt;'Données projet'!$A$62,$AF$205^A24,IF(A24='Données projet'!$A$62,'Données projet'!$B$62,AI23+AH24-AQ23)))</f>
        <v>139.4</v>
      </c>
      <c r="AJ24" s="13">
        <f>AI24*VLOOKUP('Données projet'!$B$10,Paramètres!$A$1:$I$89,3,0)*VLOOKUP('Données projet'!$B$10,Paramètres!$A$1:$I$89,5,0)</f>
        <v>126.12912000000001</v>
      </c>
      <c r="AK24" s="13">
        <f t="shared" si="35"/>
        <v>33.100345121748241</v>
      </c>
      <c r="AL24" s="20">
        <f t="shared" si="4"/>
        <v>277.32465175371152</v>
      </c>
      <c r="AM24" s="59">
        <f t="shared" si="5"/>
        <v>496.1821801295859</v>
      </c>
      <c r="AN24" s="59">
        <f ca="1">AVERAGE(OFFSET($AM$3,0,0,'Données projet'!$E$10+1,1))-AVERAGE(OFFSET($H$3,0,0,'Données projet'!$E$10+1,1))</f>
        <v>312.51355033343896</v>
      </c>
      <c r="AO24" s="59">
        <f t="shared" si="36"/>
        <v>442.54749157177571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3">
        <f>'Scénario référence'!$B$16*5+'Scénario référence'!$B$17*0+'Scénario référence'!$B$18*5</f>
        <v>5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1">
        <f t="shared" si="32"/>
        <v>0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5" s="11">
        <f>IF(OR('Scénario référence'!$F$8&gt;0,'Scénario référence'!$F$9&gt;0),('Scénario référence'!$F$8+'Scénario référence'!$F$9)*10,0)</f>
        <v>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67">
        <f t="shared" si="1"/>
        <v>183.33333333333334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0</v>
      </c>
      <c r="N25" s="13">
        <f>IF('Données projet'!$A$36&gt;35,N24+M25-V24,IF(A25&lt;'Données projet'!$A$36,$K$205^A25,IF(A25='Données projet'!$A$36,'Données projet'!$B$36,N24+M25-V24)))</f>
        <v>0</v>
      </c>
      <c r="O25" s="13">
        <f>N25*VLOOKUP('Données projet'!$B$9,Paramètres!$A$1:$I$89,3,0)*VLOOKUP('Données projet'!$B$9,Paramètres!$A$1:$I$89,5,0)</f>
        <v>0</v>
      </c>
      <c r="P25" s="13" t="e">
        <f t="shared" si="33"/>
        <v>#NUM!</v>
      </c>
      <c r="Q25" s="20" t="e">
        <f t="shared" si="2"/>
        <v>#NUM!</v>
      </c>
      <c r="R25" s="59" t="e">
        <f t="shared" si="0"/>
        <v>#NUM!</v>
      </c>
      <c r="S25" s="59">
        <f ca="1">AVERAGE(OFFSET($R$3,0,0,'Données projet'!$E$9+1,1))-AVERAGE(OFFSET($H$3,0,0,'Données projet'!$E$9+1,1))</f>
        <v>112.82287576550925</v>
      </c>
      <c r="T25" s="59">
        <f t="shared" si="34"/>
        <v>317.78570695363294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57.801855890236013</v>
      </c>
      <c r="AA25" s="21">
        <f>EXP(-LN(2)/25)*AA24+(1-EXP(-LN(2)/25))/(LN(2)/25)*Calculateur!V25*Calculateur!X25*VLOOKUP('Données projet'!$B$9,Paramètres!$A$1:$I$89,3,0)*0.475*44/12</f>
        <v>12.143418381190553</v>
      </c>
      <c r="AB25" s="21">
        <f>EXP(-LN(2)/2)*AB24+(1-EXP(-LN(2)/2))/(LN(2)/2)*V25*Y25*VLOOKUP('Données projet'!$B$9,Paramètres!$A$1:$I$89,3,0)*0.475*44/12</f>
        <v>9.1656369879036408</v>
      </c>
      <c r="AC25" s="22">
        <f t="shared" si="3"/>
        <v>79.110911259330209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8.4</v>
      </c>
      <c r="AI25" s="13">
        <f>IF('Données projet'!$A$62&gt;35,AI24+AH25-AQ24,IF(A25&lt;'Données projet'!$A$62,$AF$205^A25,IF(A25='Données projet'!$A$62,'Données projet'!$B$62,AI24+AH25-AQ24)))</f>
        <v>147.80000000000001</v>
      </c>
      <c r="AJ25" s="13">
        <f>AI25*VLOOKUP('Données projet'!$B$10,Paramètres!$A$1:$I$89,3,0)*VLOOKUP('Données projet'!$B$10,Paramètres!$A$1:$I$89,5,0)</f>
        <v>133.72944000000001</v>
      </c>
      <c r="AK25" s="13">
        <f t="shared" si="35"/>
        <v>34.856699711744326</v>
      </c>
      <c r="AL25" s="20">
        <f t="shared" si="4"/>
        <v>293.62085999795471</v>
      </c>
      <c r="AM25" s="59">
        <f t="shared" si="5"/>
        <v>514.80177390142308</v>
      </c>
      <c r="AN25" s="59">
        <f ca="1">AVERAGE(OFFSET($AM$3,0,0,'Données projet'!$E$10+1,1))-AVERAGE(OFFSET($H$3,0,0,'Données projet'!$E$10+1,1))</f>
        <v>312.51355033343896</v>
      </c>
      <c r="AO25" s="59">
        <f t="shared" si="36"/>
        <v>442.54749157177571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3">
        <f>'Scénario référence'!$B$16*5+'Scénario référence'!$B$17*0+'Scénario référence'!$B$18*5</f>
        <v>5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1">
        <f t="shared" si="32"/>
        <v>0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6" s="11">
        <f>IF(OR('Scénario référence'!$F$8&gt;0,'Scénario référence'!$F$9&gt;0),('Scénario référence'!$F$8+'Scénario référence'!$F$9)*10,0)</f>
        <v>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67">
        <f t="shared" si="1"/>
        <v>183.33333333333334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0</v>
      </c>
      <c r="N26" s="13">
        <f>IF('Données projet'!$A$36&gt;35,N25+M26-V25,IF(A26&lt;'Données projet'!$A$36,$K$205^A26,IF(A26='Données projet'!$A$36,'Données projet'!$B$36,N25+M26-V25)))</f>
        <v>0</v>
      </c>
      <c r="O26" s="13">
        <f>N26*VLOOKUP('Données projet'!$B$9,Paramètres!$A$1:$I$89,3,0)*VLOOKUP('Données projet'!$B$9,Paramètres!$A$1:$I$89,5,0)</f>
        <v>0</v>
      </c>
      <c r="P26" s="13" t="e">
        <f t="shared" si="33"/>
        <v>#NUM!</v>
      </c>
      <c r="Q26" s="20" t="e">
        <f t="shared" si="2"/>
        <v>#NUM!</v>
      </c>
      <c r="R26" s="59" t="e">
        <f t="shared" si="0"/>
        <v>#NUM!</v>
      </c>
      <c r="S26" s="59">
        <f ca="1">AVERAGE(OFFSET($R$3,0,0,'Données projet'!$E$9+1,1))-AVERAGE(OFFSET($H$3,0,0,'Données projet'!$E$9+1,1))</f>
        <v>112.82287576550925</v>
      </c>
      <c r="T26" s="59">
        <f t="shared" si="34"/>
        <v>317.78570695363294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56.668396751879371</v>
      </c>
      <c r="AA26" s="21">
        <f>EXP(-LN(2)/25)*AA25+(1-EXP(-LN(2)/25))/(LN(2)/25)*Calculateur!V26*Calculateur!X26*VLOOKUP('Données projet'!$B$9,Paramètres!$A$1:$I$89,3,0)*0.475*44/12</f>
        <v>11.81135596696228</v>
      </c>
      <c r="AB26" s="21">
        <f>EXP(-LN(2)/2)*AB25+(1-EXP(-LN(2)/2))/(LN(2)/2)*V26*Y26*VLOOKUP('Données projet'!$B$9,Paramètres!$A$1:$I$89,3,0)*0.475*44/12</f>
        <v>6.4810840680409063</v>
      </c>
      <c r="AC26" s="22">
        <f t="shared" si="3"/>
        <v>74.960836786882552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8.4</v>
      </c>
      <c r="AI26" s="13">
        <f>IF('Données projet'!$A$62&gt;35,AI25+AH26-AQ25,IF(A26&lt;'Données projet'!$A$62,$AF$205^A26,IF(A26='Données projet'!$A$62,'Données projet'!$B$62,AI25+AH26-AQ25)))</f>
        <v>156.20000000000002</v>
      </c>
      <c r="AJ26" s="13">
        <f>AI26*VLOOKUP('Données projet'!$B$10,Paramètres!$A$1:$I$89,3,0)*VLOOKUP('Données projet'!$B$10,Paramètres!$A$1:$I$89,5,0)</f>
        <v>141.32976000000002</v>
      </c>
      <c r="AK26" s="13">
        <f t="shared" si="35"/>
        <v>36.601467030988793</v>
      </c>
      <c r="AL26" s="20">
        <f t="shared" si="4"/>
        <v>309.89688707897216</v>
      </c>
      <c r="AM26" s="59">
        <f t="shared" si="5"/>
        <v>533.38208378851868</v>
      </c>
      <c r="AN26" s="59">
        <f ca="1">AVERAGE(OFFSET($AM$3,0,0,'Données projet'!$E$10+1,1))-AVERAGE(OFFSET($H$3,0,0,'Données projet'!$E$10+1,1))</f>
        <v>312.51355033343896</v>
      </c>
      <c r="AO26" s="59">
        <f t="shared" si="36"/>
        <v>442.54749157177571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3">
        <f>'Scénario référence'!$B$16*5+'Scénario référence'!$B$17*0+'Scénario référence'!$B$18*5</f>
        <v>5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1">
        <f t="shared" si="32"/>
        <v>0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7" s="11">
        <f>IF(OR('Scénario référence'!$F$8&gt;0,'Scénario référence'!$F$9&gt;0),('Scénario référence'!$F$8+'Scénario référence'!$F$9)*10,0)</f>
        <v>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67">
        <f t="shared" si="1"/>
        <v>183.33333333333334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0</v>
      </c>
      <c r="N27" s="13">
        <f>IF('Données projet'!$A$36&gt;35,N26+M27-V26,IF(A27&lt;'Données projet'!$A$36,$K$205^A27,IF(A27='Données projet'!$A$36,'Données projet'!$B$36,N26+M27-V26)))</f>
        <v>0</v>
      </c>
      <c r="O27" s="13">
        <f>N27*VLOOKUP('Données projet'!$B$9,Paramètres!$A$1:$I$89,3,0)*VLOOKUP('Données projet'!$B$9,Paramètres!$A$1:$I$89,5,0)</f>
        <v>0</v>
      </c>
      <c r="P27" s="13" t="e">
        <f t="shared" si="33"/>
        <v>#NUM!</v>
      </c>
      <c r="Q27" s="20" t="e">
        <f t="shared" si="2"/>
        <v>#NUM!</v>
      </c>
      <c r="R27" s="59" t="e">
        <f t="shared" si="0"/>
        <v>#NUM!</v>
      </c>
      <c r="S27" s="59">
        <f ca="1">AVERAGE(OFFSET($R$3,0,0,'Données projet'!$E$9+1,1))-AVERAGE(OFFSET($H$3,0,0,'Données projet'!$E$9+1,1))</f>
        <v>112.82287576550925</v>
      </c>
      <c r="T27" s="59">
        <f t="shared" si="34"/>
        <v>317.78570695363294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55.557164055884094</v>
      </c>
      <c r="AA27" s="21">
        <f>EXP(-LN(2)/25)*AA26+(1-EXP(-LN(2)/25))/(LN(2)/25)*Calculateur!V27*Calculateur!X27*VLOOKUP('Données projet'!$B$9,Paramètres!$A$1:$I$89,3,0)*0.475*44/12</f>
        <v>11.488373816913482</v>
      </c>
      <c r="AB27" s="21">
        <f>EXP(-LN(2)/2)*AB26+(1-EXP(-LN(2)/2))/(LN(2)/2)*V27*Y27*VLOOKUP('Données projet'!$B$9,Paramètres!$A$1:$I$89,3,0)*0.475*44/12</f>
        <v>4.5828184939518204</v>
      </c>
      <c r="AC27" s="22">
        <f t="shared" si="3"/>
        <v>71.628356366749401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8.4</v>
      </c>
      <c r="AI27" s="13">
        <f>IF('Données projet'!$A$62&gt;35,AI26+AH27-AQ26,IF(A27&lt;'Données projet'!$A$62,$AF$205^A27,IF(A27='Données projet'!$A$62,'Données projet'!$B$62,AI26+AH27-AQ26)))</f>
        <v>164.60000000000002</v>
      </c>
      <c r="AJ27" s="13">
        <f>AI27*VLOOKUP('Données projet'!$B$10,Paramètres!$A$1:$I$89,3,0)*VLOOKUP('Données projet'!$B$10,Paramètres!$A$1:$I$89,5,0)</f>
        <v>148.93008</v>
      </c>
      <c r="AK27" s="13">
        <f t="shared" si="35"/>
        <v>38.335341256889777</v>
      </c>
      <c r="AL27" s="20">
        <f t="shared" si="4"/>
        <v>326.1539420224164</v>
      </c>
      <c r="AM27" s="59">
        <f t="shared" si="5"/>
        <v>551.92465020603618</v>
      </c>
      <c r="AN27" s="59">
        <f ca="1">AVERAGE(OFFSET($AM$3,0,0,'Données projet'!$E$10+1,1))-AVERAGE(OFFSET($H$3,0,0,'Données projet'!$E$10+1,1))</f>
        <v>312.51355033343896</v>
      </c>
      <c r="AO27" s="59">
        <f t="shared" si="36"/>
        <v>442.54749157177571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3">
        <f>'Scénario référence'!$B$16*5+'Scénario référence'!$B$17*0+'Scénario référence'!$B$18*5</f>
        <v>5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1">
        <f t="shared" si="32"/>
        <v>0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8" s="11">
        <f>IF(OR('Scénario référence'!$F$8&gt;0,'Scénario référence'!$F$9&gt;0),('Scénario référence'!$F$8+'Scénario référence'!$F$9)*10,0)</f>
        <v>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67">
        <f t="shared" si="1"/>
        <v>183.33333333333334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0</v>
      </c>
      <c r="N28" s="13">
        <f>IF('Données projet'!$A$36&gt;35,N27+M28-V27,IF(A28&lt;'Données projet'!$A$36,$K$205^A28,IF(A28='Données projet'!$A$36,'Données projet'!$B$36,N27+M28-V27)))</f>
        <v>0</v>
      </c>
      <c r="O28" s="13">
        <f>N28*VLOOKUP('Données projet'!$B$9,Paramètres!$A$1:$I$89,3,0)*VLOOKUP('Données projet'!$B$9,Paramètres!$A$1:$I$89,5,0)</f>
        <v>0</v>
      </c>
      <c r="P28" s="13" t="e">
        <f t="shared" si="33"/>
        <v>#NUM!</v>
      </c>
      <c r="Q28" s="20" t="e">
        <f t="shared" si="2"/>
        <v>#NUM!</v>
      </c>
      <c r="R28" s="59" t="e">
        <f t="shared" si="0"/>
        <v>#NUM!</v>
      </c>
      <c r="S28" s="59">
        <f ca="1">AVERAGE(OFFSET($R$3,0,0,'Données projet'!$E$9+1,1))-AVERAGE(OFFSET($H$3,0,0,'Données projet'!$E$9+1,1))</f>
        <v>112.82287576550925</v>
      </c>
      <c r="T28" s="59">
        <f t="shared" si="34"/>
        <v>317.78570695363294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54.467721955272268</v>
      </c>
      <c r="AA28" s="21">
        <f>EXP(-LN(2)/25)*AA27+(1-EXP(-LN(2)/25))/(LN(2)/25)*Calculateur!V28*Calculateur!X28*VLOOKUP('Données projet'!$B$9,Paramètres!$A$1:$I$89,3,0)*0.475*44/12</f>
        <v>11.174223630742661</v>
      </c>
      <c r="AB28" s="21">
        <f>EXP(-LN(2)/2)*AB27+(1-EXP(-LN(2)/2))/(LN(2)/2)*V28*Y28*VLOOKUP('Données projet'!$B$9,Paramètres!$A$1:$I$89,3,0)*0.475*44/12</f>
        <v>3.2405420340204532</v>
      </c>
      <c r="AC28" s="22">
        <f t="shared" si="3"/>
        <v>68.882487620035377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2">
        <f>VLOOKUP(A28,'Données projet'!$A$61:$I$81,2,0)</f>
        <v>173</v>
      </c>
      <c r="AG28" s="12">
        <f>VLOOKUP(A28,'Données projet'!$A$61:$I$81,9,0)</f>
        <v>8.4</v>
      </c>
      <c r="AH28" s="12">
        <f t="array" ref="AH28">INDEX(AG:AG,MIN(IF(ISNUMBER(AG28:AG224),ROW(AG28:AG224),"")))</f>
        <v>8.4</v>
      </c>
      <c r="AI28" s="13">
        <f>IF('Données projet'!$A$62&gt;35,AI27+AH28-AQ27,IF(A28&lt;'Données projet'!$A$62,$AF$205^A28,IF(A28='Données projet'!$A$62,'Données projet'!$B$62,AI27+AH28-AQ27)))</f>
        <v>173.00000000000003</v>
      </c>
      <c r="AJ28" s="13">
        <f>AI28*VLOOKUP('Données projet'!$B$10,Paramètres!$A$1:$I$89,3,0)*VLOOKUP('Données projet'!$B$10,Paramètres!$A$1:$I$89,5,0)</f>
        <v>156.53040000000001</v>
      </c>
      <c r="AK28" s="13">
        <f t="shared" si="35"/>
        <v>40.058941713182037</v>
      </c>
      <c r="AL28" s="20">
        <f t="shared" si="4"/>
        <v>342.39310348379212</v>
      </c>
      <c r="AM28" s="59">
        <f t="shared" si="5"/>
        <v>570.43087745012417</v>
      </c>
      <c r="AN28" s="59">
        <f ca="1">AVERAGE(OFFSET($AM$3,0,0,'Données projet'!$E$10+1,1))-AVERAGE(OFFSET($H$3,0,0,'Données projet'!$E$10+1,1))</f>
        <v>312.51355033343896</v>
      </c>
      <c r="AO28" s="59">
        <f t="shared" si="36"/>
        <v>442.54749157177571</v>
      </c>
      <c r="AP28" s="15">
        <f>IF(ISNA(VLOOKUP(A28,'Données projet'!$A$61:$I$81,3,0)),0,VLOOKUP(A28,'Données projet'!$A$61:$I$81,3,0))</f>
        <v>5</v>
      </c>
      <c r="AQ28" s="15">
        <f>IF(ISNA(VLOOKUP(A28,'Données projet'!$A$61:$I$81,4,0)),0,VLOOKUP(A28,'Données projet'!$A$61:$I$81,4,0))</f>
        <v>11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3">
        <f>'Scénario référence'!$B$16*5+'Scénario référence'!$B$17*0+'Scénario référence'!$B$18*5</f>
        <v>5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1">
        <f t="shared" si="32"/>
        <v>0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9" s="11">
        <f>IF(OR('Scénario référence'!$F$8&gt;0,'Scénario référence'!$F$9&gt;0),('Scénario référence'!$F$8+'Scénario référence'!$F$9)*10,0)</f>
        <v>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67">
        <f t="shared" si="1"/>
        <v>183.33333333333334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0</v>
      </c>
      <c r="N29" s="13">
        <f>IF('Données projet'!$A$36&gt;35,N28+M29-V28,IF(A29&lt;'Données projet'!$A$36,$K$205^A29,IF(A29='Données projet'!$A$36,'Données projet'!$B$36,N28+M29-V28)))</f>
        <v>0</v>
      </c>
      <c r="O29" s="13">
        <f>N29*VLOOKUP('Données projet'!$B$9,Paramètres!$A$1:$I$89,3,0)*VLOOKUP('Données projet'!$B$9,Paramètres!$A$1:$I$89,5,0)</f>
        <v>0</v>
      </c>
      <c r="P29" s="13" t="e">
        <f t="shared" si="33"/>
        <v>#NUM!</v>
      </c>
      <c r="Q29" s="20" t="e">
        <f t="shared" si="2"/>
        <v>#NUM!</v>
      </c>
      <c r="R29" s="59" t="e">
        <f t="shared" si="0"/>
        <v>#NUM!</v>
      </c>
      <c r="S29" s="59">
        <f ca="1">AVERAGE(OFFSET($R$3,0,0,'Données projet'!$E$9+1,1))-AVERAGE(OFFSET($H$3,0,0,'Données projet'!$E$9+1,1))</f>
        <v>112.82287576550925</v>
      </c>
      <c r="T29" s="59">
        <f t="shared" si="34"/>
        <v>317.78570695363294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53.39964314975937</v>
      </c>
      <c r="AA29" s="21">
        <f>EXP(-LN(2)/25)*AA28+(1-EXP(-LN(2)/25))/(LN(2)/25)*Calculateur!V29*Calculateur!X29*VLOOKUP('Données projet'!$B$9,Paramètres!$A$1:$I$89,3,0)*0.475*44/12</f>
        <v>10.868663897933121</v>
      </c>
      <c r="AB29" s="21">
        <f>EXP(-LN(2)/2)*AB28+(1-EXP(-LN(2)/2))/(LN(2)/2)*V29*Y29*VLOOKUP('Données projet'!$B$9,Paramètres!$A$1:$I$89,3,0)*0.475*44/12</f>
        <v>2.2914092469759102</v>
      </c>
      <c r="AC29" s="22">
        <f t="shared" si="3"/>
        <v>66.559716294668405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6.8</v>
      </c>
      <c r="AI29" s="13">
        <f>IF('Données projet'!$A$62&gt;35,AI28+AH29-AQ28,IF(A29&lt;'Données projet'!$A$62,$AF$205^A29,IF(A29='Données projet'!$A$62,'Données projet'!$B$62,AI28+AH29-AQ28)))</f>
        <v>168.80000000000004</v>
      </c>
      <c r="AJ29" s="13">
        <f>AI29*VLOOKUP('Données projet'!$B$10,Paramètres!$A$1:$I$89,3,0)*VLOOKUP('Données projet'!$B$10,Paramètres!$A$1:$I$89,5,0)</f>
        <v>152.73024000000001</v>
      </c>
      <c r="AK29" s="13">
        <f t="shared" si="35"/>
        <v>39.198389597047516</v>
      </c>
      <c r="AL29" s="20">
        <f t="shared" si="4"/>
        <v>334.27569654819109</v>
      </c>
      <c r="AM29" s="59">
        <f t="shared" si="5"/>
        <v>564.56241059738124</v>
      </c>
      <c r="AN29" s="59">
        <f ca="1">AVERAGE(OFFSET($AM$3,0,0,'Données projet'!$E$10+1,1))-AVERAGE(OFFSET($H$3,0,0,'Données projet'!$E$10+1,1))</f>
        <v>312.51355033343896</v>
      </c>
      <c r="AO29" s="59">
        <f t="shared" si="36"/>
        <v>442.54749157177571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3">
        <f>'Scénario référence'!$B$16*5+'Scénario référence'!$B$17*0+'Scénario référence'!$B$18*5</f>
        <v>5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1">
        <f t="shared" si="32"/>
        <v>0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0" s="11">
        <f>IF(OR('Scénario référence'!$F$8&gt;0,'Scénario référence'!$F$9&gt;0),('Scénario référence'!$F$8+'Scénario référence'!$F$9)*10,0)</f>
        <v>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67">
        <f t="shared" si="1"/>
        <v>183.33333333333334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0</v>
      </c>
      <c r="N30" s="13">
        <f>IF('Données projet'!$A$36&gt;35,N29+M30-V29,IF(A30&lt;'Données projet'!$A$36,$K$205^A30,IF(A30='Données projet'!$A$36,'Données projet'!$B$36,N29+M30-V29)))</f>
        <v>0</v>
      </c>
      <c r="O30" s="13">
        <f>N30*VLOOKUP('Données projet'!$B$9,Paramètres!$A$1:$I$89,3,0)*VLOOKUP('Données projet'!$B$9,Paramètres!$A$1:$I$89,5,0)</f>
        <v>0</v>
      </c>
      <c r="P30" s="13" t="e">
        <f t="shared" si="33"/>
        <v>#NUM!</v>
      </c>
      <c r="Q30" s="20" t="e">
        <f t="shared" si="2"/>
        <v>#NUM!</v>
      </c>
      <c r="R30" s="59" t="e">
        <f t="shared" si="0"/>
        <v>#NUM!</v>
      </c>
      <c r="S30" s="59">
        <f ca="1">AVERAGE(OFFSET($R$3,0,0,'Données projet'!$E$9+1,1))-AVERAGE(OFFSET($H$3,0,0,'Données projet'!$E$9+1,1))</f>
        <v>112.82287576550925</v>
      </c>
      <c r="T30" s="59">
        <f t="shared" si="34"/>
        <v>317.78570695363294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52.352508718158838</v>
      </c>
      <c r="AA30" s="21">
        <f>EXP(-LN(2)/25)*AA29+(1-EXP(-LN(2)/25))/(LN(2)/25)*Calculateur!V30*Calculateur!X30*VLOOKUP('Données projet'!$B$9,Paramètres!$A$1:$I$89,3,0)*0.475*44/12</f>
        <v>10.571459712085947</v>
      </c>
      <c r="AB30" s="21">
        <f>EXP(-LN(2)/2)*AB29+(1-EXP(-LN(2)/2))/(LN(2)/2)*V30*Y30*VLOOKUP('Données projet'!$B$9,Paramètres!$A$1:$I$89,3,0)*0.475*44/12</f>
        <v>1.6202710170102266</v>
      </c>
      <c r="AC30" s="22">
        <f t="shared" si="3"/>
        <v>64.544239447255009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6.8</v>
      </c>
      <c r="AI30" s="13">
        <f>IF('Données projet'!$A$62&gt;35,AI29+AH30-AQ29,IF(A30&lt;'Données projet'!$A$62,$AF$205^A30,IF(A30='Données projet'!$A$62,'Données projet'!$B$62,AI29+AH30-AQ29)))</f>
        <v>175.60000000000005</v>
      </c>
      <c r="AJ30" s="13">
        <f>AI30*VLOOKUP('Données projet'!$B$10,Paramètres!$A$1:$I$89,3,0)*VLOOKUP('Données projet'!$B$10,Paramètres!$A$1:$I$89,5,0)</f>
        <v>158.88288000000006</v>
      </c>
      <c r="AK30" s="13">
        <f t="shared" si="35"/>
        <v>40.590443217000178</v>
      </c>
      <c r="AL30" s="20">
        <f t="shared" si="4"/>
        <v>347.41603793627536</v>
      </c>
      <c r="AM30" s="59">
        <f t="shared" si="5"/>
        <v>579.93388080883892</v>
      </c>
      <c r="AN30" s="59">
        <f ca="1">AVERAGE(OFFSET($AM$3,0,0,'Données projet'!$E$10+1,1))-AVERAGE(OFFSET($H$3,0,0,'Données projet'!$E$10+1,1))</f>
        <v>312.51355033343896</v>
      </c>
      <c r="AO30" s="59">
        <f t="shared" si="36"/>
        <v>442.54749157177571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3">
        <f>'Scénario référence'!$B$16*5+'Scénario référence'!$B$17*0+'Scénario référence'!$B$18*5</f>
        <v>5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1">
        <f t="shared" si="32"/>
        <v>0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1" s="11">
        <f>IF(OR('Scénario référence'!$F$8&gt;0,'Scénario référence'!$F$9&gt;0),('Scénario référence'!$F$8+'Scénario référence'!$F$9)*10,0)</f>
        <v>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67">
        <f t="shared" si="1"/>
        <v>183.33333333333334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0</v>
      </c>
      <c r="N31" s="13">
        <f>IF('Données projet'!$A$36&gt;35,N30+M31-V30,IF(A31&lt;'Données projet'!$A$36,$K$205^A31,IF(A31='Données projet'!$A$36,'Données projet'!$B$36,N30+M31-V30)))</f>
        <v>0</v>
      </c>
      <c r="O31" s="13">
        <f>N31*VLOOKUP('Données projet'!$B$9,Paramètres!$A$1:$I$89,3,0)*VLOOKUP('Données projet'!$B$9,Paramètres!$A$1:$I$89,5,0)</f>
        <v>0</v>
      </c>
      <c r="P31" s="13" t="e">
        <f t="shared" si="33"/>
        <v>#NUM!</v>
      </c>
      <c r="Q31" s="20" t="e">
        <f t="shared" si="2"/>
        <v>#NUM!</v>
      </c>
      <c r="R31" s="59" t="e">
        <f t="shared" si="0"/>
        <v>#NUM!</v>
      </c>
      <c r="S31" s="59">
        <f ca="1">AVERAGE(OFFSET($R$3,0,0,'Données projet'!$E$9+1,1))-AVERAGE(OFFSET($H$3,0,0,'Données projet'!$E$9+1,1))</f>
        <v>112.82287576550925</v>
      </c>
      <c r="T31" s="59">
        <f t="shared" si="34"/>
        <v>317.78570695363294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51.325907954073053</v>
      </c>
      <c r="AA31" s="21">
        <f>EXP(-LN(2)/25)*AA30+(1-EXP(-LN(2)/25))/(LN(2)/25)*Calculateur!V31*Calculateur!X31*VLOOKUP('Données projet'!$B$9,Paramètres!$A$1:$I$89,3,0)*0.475*44/12</f>
        <v>10.282382590330052</v>
      </c>
      <c r="AB31" s="21">
        <f>EXP(-LN(2)/2)*AB30+(1-EXP(-LN(2)/2))/(LN(2)/2)*V31*Y31*VLOOKUP('Données projet'!$B$9,Paramètres!$A$1:$I$89,3,0)*0.475*44/12</f>
        <v>1.1457046234879551</v>
      </c>
      <c r="AC31" s="22">
        <f t="shared" si="3"/>
        <v>62.753995167891063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6.8</v>
      </c>
      <c r="AI31" s="13">
        <f>IF('Données projet'!$A$62&gt;35,AI30+AH31-AQ30,IF(A31&lt;'Données projet'!$A$62,$AF$205^A31,IF(A31='Données projet'!$A$62,'Données projet'!$B$62,AI30+AH31-AQ30)))</f>
        <v>182.40000000000006</v>
      </c>
      <c r="AJ31" s="13">
        <f>AI31*VLOOKUP('Données projet'!$B$10,Paramètres!$A$1:$I$89,3,0)*VLOOKUP('Données projet'!$B$10,Paramètres!$A$1:$I$89,5,0)</f>
        <v>165.03552000000005</v>
      </c>
      <c r="AK31" s="13">
        <f t="shared" si="35"/>
        <v>41.976234598846517</v>
      </c>
      <c r="AL31" s="20">
        <f t="shared" si="4"/>
        <v>360.54547259299108</v>
      </c>
      <c r="AM31" s="59">
        <f t="shared" si="5"/>
        <v>595.27694201497513</v>
      </c>
      <c r="AN31" s="59">
        <f ca="1">AVERAGE(OFFSET($AM$3,0,0,'Données projet'!$E$10+1,1))-AVERAGE(OFFSET($H$3,0,0,'Données projet'!$E$10+1,1))</f>
        <v>312.51355033343896</v>
      </c>
      <c r="AO31" s="59">
        <f t="shared" si="36"/>
        <v>442.54749157177571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3">
        <f>'Scénario référence'!$B$16*5+'Scénario référence'!$B$17*0+'Scénario référence'!$B$18*5</f>
        <v>5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1">
        <f t="shared" si="32"/>
        <v>0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2" s="11">
        <f>IF(OR('Scénario référence'!$F$8&gt;0,'Scénario référence'!$F$9&gt;0),('Scénario référence'!$F$8+'Scénario référence'!$F$9)*10,0)</f>
        <v>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67">
        <f t="shared" si="1"/>
        <v>183.33333333333334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0</v>
      </c>
      <c r="N32" s="13">
        <f>IF('Données projet'!$A$36&gt;35,N31+M32-V31,IF(A32&lt;'Données projet'!$A$36,$K$205^A32,IF(A32='Données projet'!$A$36,'Données projet'!$B$36,N31+M32-V31)))</f>
        <v>0</v>
      </c>
      <c r="O32" s="13">
        <f>N32*VLOOKUP('Données projet'!$B$9,Paramètres!$A$1:$I$89,3,0)*VLOOKUP('Données projet'!$B$9,Paramètres!$A$1:$I$89,5,0)</f>
        <v>0</v>
      </c>
      <c r="P32" s="13" t="e">
        <f t="shared" si="33"/>
        <v>#NUM!</v>
      </c>
      <c r="Q32" s="20" t="e">
        <f t="shared" si="2"/>
        <v>#NUM!</v>
      </c>
      <c r="R32" s="59" t="e">
        <f t="shared" si="0"/>
        <v>#NUM!</v>
      </c>
      <c r="S32" s="59">
        <f ca="1">AVERAGE(OFFSET($R$3,0,0,'Données projet'!$E$9+1,1))-AVERAGE(OFFSET($H$3,0,0,'Données projet'!$E$9+1,1))</f>
        <v>112.82287576550925</v>
      </c>
      <c r="T32" s="59">
        <f t="shared" si="34"/>
        <v>317.78570695363294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50.319438204806353</v>
      </c>
      <c r="AA32" s="21">
        <f>EXP(-LN(2)/25)*AA31+(1-EXP(-LN(2)/25))/(LN(2)/25)*Calculateur!V32*Calculateur!X32*VLOOKUP('Données projet'!$B$9,Paramètres!$A$1:$I$89,3,0)*0.475*44/12</f>
        <v>10.001210297670477</v>
      </c>
      <c r="AB32" s="21">
        <f>EXP(-LN(2)/2)*AB31+(1-EXP(-LN(2)/2))/(LN(2)/2)*V32*Y32*VLOOKUP('Données projet'!$B$9,Paramètres!$A$1:$I$89,3,0)*0.475*44/12</f>
        <v>0.81013550850511329</v>
      </c>
      <c r="AC32" s="22">
        <f t="shared" si="3"/>
        <v>61.130784010981941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6.8</v>
      </c>
      <c r="AI32" s="13">
        <f>IF('Données projet'!$A$62&gt;35,AI31+AH32-AQ31,IF(A32&lt;'Données projet'!$A$62,$AF$205^A32,IF(A32='Données projet'!$A$62,'Données projet'!$B$62,AI31+AH32-AQ31)))</f>
        <v>189.20000000000007</v>
      </c>
      <c r="AJ32" s="13">
        <f>AI32*VLOOKUP('Données projet'!$B$10,Paramètres!$A$1:$I$89,3,0)*VLOOKUP('Données projet'!$B$10,Paramètres!$A$1:$I$89,5,0)</f>
        <v>171.18816000000007</v>
      </c>
      <c r="AK32" s="13">
        <f t="shared" si="35"/>
        <v>43.356023936000852</v>
      </c>
      <c r="AL32" s="20">
        <f t="shared" si="4"/>
        <v>373.66445368853493</v>
      </c>
      <c r="AM32" s="59">
        <f t="shared" si="5"/>
        <v>610.59235101131071</v>
      </c>
      <c r="AN32" s="59">
        <f ca="1">AVERAGE(OFFSET($AM$3,0,0,'Données projet'!$E$10+1,1))-AVERAGE(OFFSET($H$3,0,0,'Données projet'!$E$10+1,1))</f>
        <v>312.51355033343896</v>
      </c>
      <c r="AO32" s="59">
        <f t="shared" si="36"/>
        <v>442.54749157177571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3">
        <f>'Scénario référence'!$B$16*5+'Scénario référence'!$B$17*0+'Scénario référence'!$B$18*5</f>
        <v>5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1">
        <f t="shared" si="32"/>
        <v>0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3" s="11">
        <f>IF(OR('Scénario référence'!$F$8&gt;0,'Scénario référence'!$F$9&gt;0),('Scénario référence'!$F$8+'Scénario référence'!$F$9)*10,0)</f>
        <v>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67">
        <f t="shared" si="1"/>
        <v>183.33333333333334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0</v>
      </c>
      <c r="N33" s="13">
        <f>IF('Données projet'!$A$36&gt;35,N32+M33-V32,IF(A33&lt;'Données projet'!$A$36,$K$205^A33,IF(A33='Données projet'!$A$36,'Données projet'!$B$36,N32+M33-V32)))</f>
        <v>0</v>
      </c>
      <c r="O33" s="13">
        <f>N33*VLOOKUP('Données projet'!$B$9,Paramètres!$A$1:$I$89,3,0)*VLOOKUP('Données projet'!$B$9,Paramètres!$A$1:$I$89,5,0)</f>
        <v>0</v>
      </c>
      <c r="P33" s="13" t="e">
        <f t="shared" si="33"/>
        <v>#NUM!</v>
      </c>
      <c r="Q33" s="20" t="e">
        <f t="shared" si="2"/>
        <v>#NUM!</v>
      </c>
      <c r="R33" s="59" t="e">
        <f t="shared" si="0"/>
        <v>#NUM!</v>
      </c>
      <c r="S33" s="59">
        <f ca="1">AVERAGE(OFFSET($R$3,0,0,'Données projet'!$E$9+1,1))-AVERAGE(OFFSET($H$3,0,0,'Données projet'!$E$9+1,1))</f>
        <v>112.82287576550925</v>
      </c>
      <c r="T33" s="59">
        <f t="shared" si="34"/>
        <v>317.78570695363294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49.33270471343684</v>
      </c>
      <c r="AA33" s="21">
        <f>EXP(-LN(2)/25)*AA32+(1-EXP(-LN(2)/25))/(LN(2)/25)*Calculateur!V33*Calculateur!X33*VLOOKUP('Données projet'!$B$9,Paramètres!$A$1:$I$89,3,0)*0.475*44/12</f>
        <v>9.727726676139886</v>
      </c>
      <c r="AB33" s="21">
        <f>EXP(-LN(2)/2)*AB32+(1-EXP(-LN(2)/2))/(LN(2)/2)*V33*Y33*VLOOKUP('Données projet'!$B$9,Paramètres!$A$1:$I$89,3,0)*0.475*44/12</f>
        <v>0.57285231174397755</v>
      </c>
      <c r="AC33" s="22">
        <f t="shared" si="3"/>
        <v>59.633283701320707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196</v>
      </c>
      <c r="AG33" s="12">
        <f>VLOOKUP(A33,'Données projet'!$A$61:$I$81,9,0)</f>
        <v>6.8</v>
      </c>
      <c r="AH33" s="12">
        <f t="array" ref="AH33">INDEX(AG:AG,MIN(IF(ISNUMBER(AG33:AG229),ROW(AG33:AG229),"")))</f>
        <v>6.8</v>
      </c>
      <c r="AI33" s="13">
        <f>IF('Données projet'!$A$62&gt;35,AI32+AH33-AQ32,IF(A33&lt;'Données projet'!$A$62,$AF$205^A33,IF(A33='Données projet'!$A$62,'Données projet'!$B$62,AI32+AH33-AQ32)))</f>
        <v>196.00000000000009</v>
      </c>
      <c r="AJ33" s="13">
        <f>AI33*VLOOKUP('Données projet'!$B$10,Paramètres!$A$1:$I$89,3,0)*VLOOKUP('Données projet'!$B$10,Paramètres!$A$1:$I$89,5,0)</f>
        <v>177.34080000000006</v>
      </c>
      <c r="AK33" s="13">
        <f t="shared" si="35"/>
        <v>44.730051658603102</v>
      </c>
      <c r="AL33" s="20">
        <f t="shared" si="4"/>
        <v>386.77339997206712</v>
      </c>
      <c r="AM33" s="59">
        <f t="shared" si="5"/>
        <v>625.88082490510908</v>
      </c>
      <c r="AN33" s="59">
        <f ca="1">AVERAGE(OFFSET($AM$3,0,0,'Données projet'!$E$10+1,1))-AVERAGE(OFFSET($H$3,0,0,'Données projet'!$E$10+1,1))</f>
        <v>312.51355033343896</v>
      </c>
      <c r="AO33" s="59">
        <f t="shared" si="36"/>
        <v>442.54749157177571</v>
      </c>
      <c r="AP33" s="15">
        <f>IF(ISNA(VLOOKUP(A33,'Données projet'!$A$61:$I$81,3,0)),0,VLOOKUP(A33,'Données projet'!$A$61:$I$81,3,0))</f>
        <v>6</v>
      </c>
      <c r="AQ33" s="15">
        <f>IF(ISNA(VLOOKUP(A33,'Données projet'!$A$61:$I$81,4,0)),0,VLOOKUP(A33,'Données projet'!$A$61:$I$81,4,0))</f>
        <v>8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0.15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1.1955495772214559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1.1955495772214559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3">
        <f>'Scénario référence'!$B$16*5+'Scénario référence'!$B$17*0+'Scénario référence'!$B$18*5</f>
        <v>5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1">
        <f t="shared" si="32"/>
        <v>0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4" s="11">
        <f>IF(OR('Scénario référence'!$F$8&gt;0,'Scénario référence'!$F$9&gt;0),('Scénario référence'!$F$8+'Scénario référence'!$F$9)*10,0)</f>
        <v>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67">
        <f t="shared" si="1"/>
        <v>183.33333333333334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0</v>
      </c>
      <c r="N34" s="13">
        <f>IF('Données projet'!$A$36&gt;35,N33+M34-V33,IF(A34&lt;'Données projet'!$A$36,$K$205^A34,IF(A34='Données projet'!$A$36,'Données projet'!$B$36,N33+M34-V33)))</f>
        <v>0</v>
      </c>
      <c r="O34" s="13">
        <f>N34*VLOOKUP('Données projet'!$B$9,Paramètres!$A$1:$I$89,3,0)*VLOOKUP('Données projet'!$B$9,Paramètres!$A$1:$I$89,5,0)</f>
        <v>0</v>
      </c>
      <c r="P34" s="13" t="e">
        <f t="shared" si="33"/>
        <v>#NUM!</v>
      </c>
      <c r="Q34" s="20" t="e">
        <f t="shared" si="2"/>
        <v>#NUM!</v>
      </c>
      <c r="R34" s="59" t="e">
        <f t="shared" si="0"/>
        <v>#NUM!</v>
      </c>
      <c r="S34" s="59">
        <f ca="1">AVERAGE(OFFSET($R$3,0,0,'Données projet'!$E$9+1,1))-AVERAGE(OFFSET($H$3,0,0,'Données projet'!$E$9+1,1))</f>
        <v>112.82287576550925</v>
      </c>
      <c r="T34" s="59">
        <f t="shared" si="34"/>
        <v>317.78570695363294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48.365320463985078</v>
      </c>
      <c r="AA34" s="21">
        <f>EXP(-LN(2)/25)*AA33+(1-EXP(-LN(2)/25))/(LN(2)/25)*Calculateur!V34*Calculateur!X34*VLOOKUP('Données projet'!$B$9,Paramètres!$A$1:$I$89,3,0)*0.475*44/12</f>
        <v>9.4617214786219286</v>
      </c>
      <c r="AB34" s="21">
        <f>EXP(-LN(2)/2)*AB33+(1-EXP(-LN(2)/2))/(LN(2)/2)*V34*Y34*VLOOKUP('Données projet'!$B$9,Paramètres!$A$1:$I$89,3,0)*0.475*44/12</f>
        <v>0.40506775425255664</v>
      </c>
      <c r="AC34" s="22">
        <f t="shared" si="3"/>
        <v>58.232109696859567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5.6</v>
      </c>
      <c r="AI34" s="13">
        <f>IF('Données projet'!$A$62&gt;35,AI33+AH34-AQ33,IF(A34&lt;'Données projet'!$A$62,$AF$205^A34,IF(A34='Données projet'!$A$62,'Données projet'!$B$62,AI33+AH34-AQ33)))</f>
        <v>193.60000000000008</v>
      </c>
      <c r="AJ34" s="13">
        <f>AI34*VLOOKUP('Données projet'!$B$10,Paramètres!$A$1:$I$89,3,0)*VLOOKUP('Données projet'!$B$10,Paramètres!$A$1:$I$89,5,0)</f>
        <v>175.16928000000007</v>
      </c>
      <c r="AK34" s="13">
        <f t="shared" si="35"/>
        <v>44.245744278741803</v>
      </c>
      <c r="AL34" s="20">
        <f t="shared" si="4"/>
        <v>382.14783395214209</v>
      </c>
      <c r="AM34" s="59">
        <f t="shared" si="5"/>
        <v>622.19595716495962</v>
      </c>
      <c r="AN34" s="59">
        <f ca="1">AVERAGE(OFFSET($AM$3,0,0,'Données projet'!$E$10+1,1))-AVERAGE(OFFSET($H$3,0,0,'Données projet'!$E$10+1,1))</f>
        <v>312.51355033343896</v>
      </c>
      <c r="AO34" s="59">
        <f t="shared" si="36"/>
        <v>442.54749157177571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1.1628572111611155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1.1628572111611155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3">
        <f>'Scénario référence'!$B$16*5+'Scénario référence'!$B$17*0+'Scénario référence'!$B$18*5</f>
        <v>5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1">
        <f t="shared" si="32"/>
        <v>0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5" s="11">
        <f>IF(OR('Scénario référence'!$F$8&gt;0,'Scénario référence'!$F$9&gt;0),('Scénario référence'!$F$8+'Scénario référence'!$F$9)*10,0)</f>
        <v>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67">
        <f t="shared" si="1"/>
        <v>183.33333333333334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0</v>
      </c>
      <c r="N35" s="13">
        <f>IF('Données projet'!$A$36&gt;35,N34+M35-V34,IF(A35&lt;'Données projet'!$A$36,$K$205^A35,IF(A35='Données projet'!$A$36,'Données projet'!$B$36,N34+M35-V34)))</f>
        <v>0</v>
      </c>
      <c r="O35" s="13">
        <f>N35*VLOOKUP('Données projet'!$B$9,Paramètres!$A$1:$I$89,3,0)*VLOOKUP('Données projet'!$B$9,Paramètres!$A$1:$I$89,5,0)</f>
        <v>0</v>
      </c>
      <c r="P35" s="13" t="e">
        <f t="shared" si="33"/>
        <v>#NUM!</v>
      </c>
      <c r="Q35" s="20" t="e">
        <f t="shared" ref="Q35:Q66" si="53">(O35+P35)*0.475*44/12</f>
        <v>#NUM!</v>
      </c>
      <c r="R35" s="59" t="e">
        <f t="shared" si="0"/>
        <v>#NUM!</v>
      </c>
      <c r="S35" s="59">
        <f ca="1">AVERAGE(OFFSET($R$3,0,0,'Données projet'!$E$9+1,1))-AVERAGE(OFFSET($H$3,0,0,'Données projet'!$E$9+1,1))</f>
        <v>112.82287576550925</v>
      </c>
      <c r="T35" s="59">
        <f t="shared" si="34"/>
        <v>317.78570695363294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47.416906029618936</v>
      </c>
      <c r="AA35" s="21">
        <f>EXP(-LN(2)/25)*AA34+(1-EXP(-LN(2)/25))/(LN(2)/25)*Calculateur!V35*Calculateur!X35*VLOOKUP('Données projet'!$B$9,Paramètres!$A$1:$I$89,3,0)*0.475*44/12</f>
        <v>9.2029902072187042</v>
      </c>
      <c r="AB35" s="21">
        <f>EXP(-LN(2)/2)*AB34+(1-EXP(-LN(2)/2))/(LN(2)/2)*V35*Y35*VLOOKUP('Données projet'!$B$9,Paramètres!$A$1:$I$89,3,0)*0.475*44/12</f>
        <v>0.28642615587198877</v>
      </c>
      <c r="AC35" s="22">
        <f t="shared" si="3"/>
        <v>56.906322392709626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5.6</v>
      </c>
      <c r="AI35" s="13">
        <f>IF('Données projet'!$A$62&gt;35,AI34+AH35-AQ34,IF(A35&lt;'Données projet'!$A$62,$AF$205^A35,IF(A35='Données projet'!$A$62,'Données projet'!$B$62,AI34+AH35-AQ34)))</f>
        <v>199.20000000000007</v>
      </c>
      <c r="AJ35" s="13">
        <f>AI35*VLOOKUP('Données projet'!$B$10,Paramètres!$A$1:$I$89,3,0)*VLOOKUP('Données projet'!$B$10,Paramètres!$A$1:$I$89,5,0)</f>
        <v>180.23616000000004</v>
      </c>
      <c r="AK35" s="13">
        <f t="shared" si="35"/>
        <v>45.374723405565959</v>
      </c>
      <c r="AL35" s="20">
        <f t="shared" si="4"/>
        <v>392.93895526469413</v>
      </c>
      <c r="AM35" s="59">
        <f t="shared" si="5"/>
        <v>633.91145774521942</v>
      </c>
      <c r="AN35" s="59">
        <f ca="1">AVERAGE(OFFSET($AM$3,0,0,'Données projet'!$E$10+1,1))-AVERAGE(OFFSET($H$3,0,0,'Données projet'!$E$10+1,1))</f>
        <v>312.51355033343896</v>
      </c>
      <c r="AO35" s="59">
        <f t="shared" si="36"/>
        <v>442.54749157177571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1.1310588195699118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1.1310588195699118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si="31"/>
        <v>33</v>
      </c>
      <c r="B36" s="73">
        <f>'Scénario référence'!$B$16*5+'Scénario référence'!$B$17*0+'Scénario référence'!$B$18*5</f>
        <v>5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1">
        <f t="shared" si="32"/>
        <v>0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6" s="11">
        <f>IF(OR('Scénario référence'!$F$8&gt;0,'Scénario référence'!$F$9&gt;0),('Scénario référence'!$F$8+'Scénario référence'!$F$9)*10,0)</f>
        <v>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67">
        <f t="shared" si="1"/>
        <v>183.33333333333334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0</v>
      </c>
      <c r="N36" s="13">
        <f>IF('Données projet'!$A$36&gt;35,N35+M36-V35,IF(A36&lt;'Données projet'!$A$36,$K$205^A36,IF(A36='Données projet'!$A$36,'Données projet'!$B$36,N35+M36-V35)))</f>
        <v>0</v>
      </c>
      <c r="O36" s="13">
        <f>N36*VLOOKUP('Données projet'!$B$9,Paramètres!$A$1:$I$89,3,0)*VLOOKUP('Données projet'!$B$9,Paramètres!$A$1:$I$89,5,0)</f>
        <v>0</v>
      </c>
      <c r="P36" s="13" t="e">
        <f t="shared" si="33"/>
        <v>#NUM!</v>
      </c>
      <c r="Q36" s="20" t="e">
        <f t="shared" si="53"/>
        <v>#NUM!</v>
      </c>
      <c r="R36" s="59" t="e">
        <f t="shared" si="0"/>
        <v>#NUM!</v>
      </c>
      <c r="S36" s="59">
        <f ca="1">AVERAGE(OFFSET($R$3,0,0,'Données projet'!$E$9+1,1))-AVERAGE(OFFSET($H$3,0,0,'Données projet'!$E$9+1,1))</f>
        <v>112.82287576550925</v>
      </c>
      <c r="T36" s="59">
        <f t="shared" si="34"/>
        <v>317.78570695363294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46.48708942383503</v>
      </c>
      <c r="AA36" s="21">
        <f>EXP(-LN(2)/25)*AA35+(1-EXP(-LN(2)/25))/(LN(2)/25)*Calculateur!V36*Calculateur!X36*VLOOKUP('Données projet'!$B$9,Paramètres!$A$1:$I$89,3,0)*0.475*44/12</f>
        <v>8.9513339560380878</v>
      </c>
      <c r="AB36" s="21">
        <f>EXP(-LN(2)/2)*AB35+(1-EXP(-LN(2)/2))/(LN(2)/2)*V36*Y36*VLOOKUP('Données projet'!$B$9,Paramètres!$A$1:$I$89,3,0)*0.475*44/12</f>
        <v>0.20253387712627832</v>
      </c>
      <c r="AC36" s="22">
        <f t="shared" si="3"/>
        <v>55.640957256999393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5.6</v>
      </c>
      <c r="AI36" s="13">
        <f>IF('Données projet'!$A$62&gt;35,AI35+AH36-AQ35,IF(A36&lt;'Données projet'!$A$62,$AF$205^A36,IF(A36='Données projet'!$A$62,'Données projet'!$B$62,AI35+AH36-AQ35)))</f>
        <v>204.80000000000007</v>
      </c>
      <c r="AJ36" s="13">
        <f>AI36*VLOOKUP('Données projet'!$B$10,Paramètres!$A$1:$I$89,3,0)*VLOOKUP('Données projet'!$B$10,Paramètres!$A$1:$I$89,5,0)</f>
        <v>185.30304000000007</v>
      </c>
      <c r="AK36" s="13">
        <f t="shared" si="35"/>
        <v>46.50001371071059</v>
      </c>
      <c r="AL36" s="20">
        <f t="shared" si="4"/>
        <v>403.7236518794877</v>
      </c>
      <c r="AM36" s="59">
        <f t="shared" si="5"/>
        <v>645.60449771402841</v>
      </c>
      <c r="AN36" s="59">
        <f ca="1">AVERAGE(OFFSET($AM$3,0,0,'Données projet'!$E$10+1,1))-AVERAGE(OFFSET($H$3,0,0,'Données projet'!$E$10+1,1))</f>
        <v>312.51355033343896</v>
      </c>
      <c r="AO36" s="59">
        <f t="shared" si="36"/>
        <v>442.54749157177571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1.1001299566689744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1.1001299566689744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31"/>
        <v>34</v>
      </c>
      <c r="B37" s="73">
        <f>'Scénario référence'!$B$16*5+'Scénario référence'!$B$17*0+'Scénario référence'!$B$18*5</f>
        <v>5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1">
        <f t="shared" si="32"/>
        <v>0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7" s="11">
        <f>IF(OR('Scénario référence'!$F$8&gt;0,'Scénario référence'!$F$9&gt;0),('Scénario référence'!$F$8+'Scénario référence'!$F$9)*10,0)</f>
        <v>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67">
        <f t="shared" si="1"/>
        <v>183.33333333333334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0</v>
      </c>
      <c r="N37" s="13">
        <f>IF('Données projet'!$A$36&gt;35,N36+M37-V36,IF(A37&lt;'Données projet'!$A$36,$K$205^A37,IF(A37='Données projet'!$A$36,'Données projet'!$B$36,N36+M37-V36)))</f>
        <v>0</v>
      </c>
      <c r="O37" s="13">
        <f>N37*VLOOKUP('Données projet'!$B$9,Paramètres!$A$1:$I$89,3,0)*VLOOKUP('Données projet'!$B$9,Paramètres!$A$1:$I$89,5,0)</f>
        <v>0</v>
      </c>
      <c r="P37" s="13" t="e">
        <f t="shared" si="33"/>
        <v>#NUM!</v>
      </c>
      <c r="Q37" s="20" t="e">
        <f t="shared" si="53"/>
        <v>#NUM!</v>
      </c>
      <c r="R37" s="59" t="e">
        <f t="shared" si="0"/>
        <v>#NUM!</v>
      </c>
      <c r="S37" s="59">
        <f ca="1">AVERAGE(OFFSET($R$3,0,0,'Données projet'!$E$9+1,1))-AVERAGE(OFFSET($H$3,0,0,'Données projet'!$E$9+1,1))</f>
        <v>112.82287576550925</v>
      </c>
      <c r="T37" s="59">
        <f t="shared" si="34"/>
        <v>317.78570695363294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45.575505954558416</v>
      </c>
      <c r="AA37" s="21">
        <f>EXP(-LN(2)/25)*AA36+(1-EXP(-LN(2)/25))/(LN(2)/25)*Calculateur!V37*Calculateur!X37*VLOOKUP('Données projet'!$B$9,Paramètres!$A$1:$I$89,3,0)*0.475*44/12</f>
        <v>8.7065592582800324</v>
      </c>
      <c r="AB37" s="21">
        <f>EXP(-LN(2)/2)*AB36+(1-EXP(-LN(2)/2))/(LN(2)/2)*V37*Y37*VLOOKUP('Données projet'!$B$9,Paramètres!$A$1:$I$89,3,0)*0.475*44/12</f>
        <v>0.14321307793599439</v>
      </c>
      <c r="AC37" s="22">
        <f t="shared" si="3"/>
        <v>54.425278290774443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5.6</v>
      </c>
      <c r="AI37" s="13">
        <f>IF('Données projet'!$A$62&gt;35,AI36+AH37-AQ36,IF(A37&lt;'Données projet'!$A$62,$AF$205^A37,IF(A37='Données projet'!$A$62,'Données projet'!$B$62,AI36+AH37-AQ36)))</f>
        <v>210.40000000000006</v>
      </c>
      <c r="AJ37" s="13">
        <f>AI37*VLOOKUP('Données projet'!$B$10,Paramètres!$A$1:$I$89,3,0)*VLOOKUP('Données projet'!$B$10,Paramètres!$A$1:$I$89,5,0)</f>
        <v>190.36992000000004</v>
      </c>
      <c r="AK37" s="13">
        <f t="shared" si="35"/>
        <v>47.621727650589136</v>
      </c>
      <c r="AL37" s="20">
        <f t="shared" si="4"/>
        <v>414.50211965810945</v>
      </c>
      <c r="AM37" s="59">
        <f t="shared" si="5"/>
        <v>657.27555112022503</v>
      </c>
      <c r="AN37" s="59">
        <f ca="1">AVERAGE(OFFSET($AM$3,0,0,'Données projet'!$E$10+1,1))-AVERAGE(OFFSET($H$3,0,0,'Données projet'!$E$10+1,1))</f>
        <v>312.51355033343896</v>
      </c>
      <c r="AO37" s="59">
        <f t="shared" si="36"/>
        <v>442.54749157177571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1.0700468451505412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1.0700468451505412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31"/>
        <v>35</v>
      </c>
      <c r="B38" s="73">
        <f>'Scénario référence'!$B$16*5+'Scénario référence'!$B$17*0+'Scénario référence'!$B$18*5</f>
        <v>5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1">
        <f t="shared" si="32"/>
        <v>0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8" s="11">
        <f>IF(OR('Scénario référence'!$F$8&gt;0,'Scénario référence'!$F$9&gt;0),('Scénario référence'!$F$8+'Scénario référence'!$F$9)*10,0)</f>
        <v>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67">
        <f t="shared" si="1"/>
        <v>183.33333333333334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0</v>
      </c>
      <c r="N38" s="13">
        <f>IF('Données projet'!$A$36&gt;35,N37+M38-V37,IF(A38&lt;'Données projet'!$A$36,$K$205^A38,IF(A38='Données projet'!$A$36,'Données projet'!$B$36,N37+M38-V37)))</f>
        <v>0</v>
      </c>
      <c r="O38" s="13">
        <f>N38*VLOOKUP('Données projet'!$B$9,Paramètres!$A$1:$I$89,3,0)*VLOOKUP('Données projet'!$B$9,Paramètres!$A$1:$I$89,5,0)</f>
        <v>0</v>
      </c>
      <c r="P38" s="13" t="e">
        <f t="shared" si="33"/>
        <v>#NUM!</v>
      </c>
      <c r="Q38" s="20" t="e">
        <f t="shared" si="53"/>
        <v>#NUM!</v>
      </c>
      <c r="R38" s="59" t="e">
        <f t="shared" si="0"/>
        <v>#NUM!</v>
      </c>
      <c r="S38" s="59">
        <f ca="1">AVERAGE(OFFSET($R$3,0,0,'Données projet'!$E$9+1,1))-AVERAGE(OFFSET($H$3,0,0,'Données projet'!$E$9+1,1))</f>
        <v>112.82287576550925</v>
      </c>
      <c r="T38" s="59">
        <f t="shared" si="34"/>
        <v>317.78570695363294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44.681798081103302</v>
      </c>
      <c r="AA38" s="21">
        <f>EXP(-LN(2)/25)*AA37+(1-EXP(-LN(2)/25))/(LN(2)/25)*Calculateur!V38*Calculateur!X38*VLOOKUP('Données projet'!$B$9,Paramètres!$A$1:$I$89,3,0)*0.475*44/12</f>
        <v>8.4684779375043124</v>
      </c>
      <c r="AB38" s="21">
        <f>EXP(-LN(2)/2)*AB37+(1-EXP(-LN(2)/2))/(LN(2)/2)*V38*Y38*VLOOKUP('Données projet'!$B$9,Paramètres!$A$1:$I$89,3,0)*0.475*44/12</f>
        <v>0.10126693856313916</v>
      </c>
      <c r="AC38" s="22">
        <f t="shared" si="3"/>
        <v>53.251542957170756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>
        <f>VLOOKUP(A38,'Données projet'!$A$61:$I$81,2,0)</f>
        <v>216</v>
      </c>
      <c r="AG38" s="12">
        <f>VLOOKUP(A38,'Données projet'!$A$61:$I$81,9,0)</f>
        <v>5.6</v>
      </c>
      <c r="AH38" s="12">
        <f t="array" ref="AH38">INDEX(AG:AG,MIN(IF(ISNUMBER(AG38:AG234),ROW(AG38:AG234),"")))</f>
        <v>5.6</v>
      </c>
      <c r="AI38" s="13">
        <f>IF('Données projet'!$A$62&gt;35,AI37+AH38-AQ37,IF(A38&lt;'Données projet'!$A$62,$AF$205^A38,IF(A38='Données projet'!$A$62,'Données projet'!$B$62,AI37+AH38-AQ37)))</f>
        <v>216.00000000000006</v>
      </c>
      <c r="AJ38" s="13">
        <f>AI38*VLOOKUP('Données projet'!$B$10,Paramètres!$A$1:$I$89,3,0)*VLOOKUP('Données projet'!$B$10,Paramètres!$A$1:$I$89,5,0)</f>
        <v>195.43680000000006</v>
      </c>
      <c r="AK38" s="13">
        <f t="shared" si="35"/>
        <v>48.739971354487849</v>
      </c>
      <c r="AL38" s="20">
        <f t="shared" si="4"/>
        <v>425.27454344239982</v>
      </c>
      <c r="AM38" s="59">
        <f t="shared" si="5"/>
        <v>668.92507616697435</v>
      </c>
      <c r="AN38" s="59">
        <f ca="1">AVERAGE(OFFSET($AM$3,0,0,'Données projet'!$E$10+1,1))-AVERAGE(OFFSET($H$3,0,0,'Données projet'!$E$10+1,1))</f>
        <v>312.51355033343896</v>
      </c>
      <c r="AO38" s="59">
        <f t="shared" si="36"/>
        <v>442.54749157177571</v>
      </c>
      <c r="AP38" s="15">
        <f>IF(ISNA(VLOOKUP(A38,'Données projet'!$A$61:$I$81,3,0)),0,VLOOKUP(A38,'Données projet'!$A$61:$I$81,3,0))</f>
        <v>7</v>
      </c>
      <c r="AQ38" s="15">
        <f>IF(ISNA(VLOOKUP(A38,'Données projet'!$A$61:$I$81,4,0)),0,VLOOKUP(A38,'Données projet'!$A$61:$I$81,4,0))</f>
        <v>7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0.15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2.0868922379673558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2.0868922379673558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31"/>
        <v>36</v>
      </c>
      <c r="B39" s="73">
        <f>'Scénario référence'!$B$16*5+'Scénario référence'!$B$17*0+'Scénario référence'!$B$18*5</f>
        <v>5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1">
        <f t="shared" si="32"/>
        <v>0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9" s="11">
        <f>IF(OR('Scénario référence'!$F$8&gt;0,'Scénario référence'!$F$9&gt;0),('Scénario référence'!$F$8+'Scénario référence'!$F$9)*10,0)</f>
        <v>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67">
        <f t="shared" si="1"/>
        <v>183.33333333333334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0</v>
      </c>
      <c r="O39" s="13">
        <f>N39*VLOOKUP('Données projet'!$B$9,Paramètres!$A$1:$I$89,3,0)*VLOOKUP('Données projet'!$B$9,Paramètres!$A$1:$I$89,5,0)</f>
        <v>0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112.82287576550925</v>
      </c>
      <c r="T39" s="59">
        <f t="shared" si="34"/>
        <v>317.78570695363294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43.805615273938663</v>
      </c>
      <c r="AA39" s="21">
        <f>EXP(-LN(2)/25)*AA38+(1-EXP(-LN(2)/25))/(LN(2)/25)*Calculateur!V39*Calculateur!X39*VLOOKUP('Données projet'!$B$9,Paramètres!$A$1:$I$89,3,0)*0.475*44/12</f>
        <v>8.2369069629653566</v>
      </c>
      <c r="AB39" s="21">
        <f>EXP(-LN(2)/2)*AB38+(1-EXP(-LN(2)/2))/(LN(2)/2)*V39*Y39*VLOOKUP('Données projet'!$B$9,Paramètres!$A$1:$I$89,3,0)*0.475*44/12</f>
        <v>7.1606538967997194E-2</v>
      </c>
      <c r="AC39" s="22">
        <f t="shared" si="3"/>
        <v>52.114128775872018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4.8</v>
      </c>
      <c r="AI39" s="13">
        <f>IF('Données projet'!$A$62&gt;35,AI38+AH39-AQ38,IF(A39&lt;'Données projet'!$A$62,$AF$205^A39,IF(A39='Données projet'!$A$62,'Données projet'!$B$62,AI38+AH39-AQ38)))</f>
        <v>213.80000000000007</v>
      </c>
      <c r="AJ39" s="13">
        <f>AI39*VLOOKUP('Données projet'!$B$10,Paramètres!$A$1:$I$89,3,0)*VLOOKUP('Données projet'!$B$10,Paramètres!$A$1:$I$89,5,0)</f>
        <v>193.44624000000005</v>
      </c>
      <c r="AK39" s="13">
        <f t="shared" si="35"/>
        <v>48.301068656218547</v>
      </c>
      <c r="AL39" s="20">
        <f t="shared" si="4"/>
        <v>421.04322924291404</v>
      </c>
      <c r="AM39" s="59">
        <f t="shared" si="5"/>
        <v>665.55564748394841</v>
      </c>
      <c r="AN39" s="59">
        <f ca="1">AVERAGE(OFFSET($AM$3,0,0,'Données projet'!$E$10+1,1))-AVERAGE(OFFSET($H$3,0,0,'Données projet'!$E$10+1,1))</f>
        <v>312.51355033343896</v>
      </c>
      <c r="AO39" s="59">
        <f t="shared" si="36"/>
        <v>442.54749157177571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2.0298260599752451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2.0298260599752451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31"/>
        <v>37</v>
      </c>
      <c r="B40" s="73">
        <f>'Scénario référence'!$B$16*5+'Scénario référence'!$B$17*0+'Scénario référence'!$B$18*5</f>
        <v>5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1">
        <f t="shared" si="32"/>
        <v>0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0" s="11">
        <f>IF(OR('Scénario référence'!$F$8&gt;0,'Scénario référence'!$F$9&gt;0),('Scénario référence'!$F$8+'Scénario référence'!$F$9)*10,0)</f>
        <v>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67">
        <f t="shared" si="1"/>
        <v>183.33333333333334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0</v>
      </c>
      <c r="O40" s="13">
        <f>N40*VLOOKUP('Données projet'!$B$9,Paramètres!$A$1:$I$89,3,0)*VLOOKUP('Données projet'!$B$9,Paramètres!$A$1:$I$89,5,0)</f>
        <v>0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112.82287576550925</v>
      </c>
      <c r="T40" s="59">
        <f t="shared" si="34"/>
        <v>317.78570695363294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42.946613877203781</v>
      </c>
      <c r="AA40" s="21">
        <f>EXP(-LN(2)/25)*AA39+(1-EXP(-LN(2)/25))/(LN(2)/25)*Calculateur!V40*Calculateur!X40*VLOOKUP('Données projet'!$B$9,Paramètres!$A$1:$I$89,3,0)*0.475*44/12</f>
        <v>8.0116683089029568</v>
      </c>
      <c r="AB40" s="21">
        <f>EXP(-LN(2)/2)*AB39+(1-EXP(-LN(2)/2))/(LN(2)/2)*V40*Y40*VLOOKUP('Données projet'!$B$9,Paramètres!$A$1:$I$89,3,0)*0.475*44/12</f>
        <v>5.0633469281569581E-2</v>
      </c>
      <c r="AC40" s="22">
        <f t="shared" si="3"/>
        <v>51.008915655388307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4.8</v>
      </c>
      <c r="AI40" s="13">
        <f>IF('Données projet'!$A$62&gt;35,AI39+AH40-AQ39,IF(A40&lt;'Données projet'!$A$62,$AF$205^A40,IF(A40='Données projet'!$A$62,'Données projet'!$B$62,AI39+AH40-AQ39)))</f>
        <v>218.60000000000008</v>
      </c>
      <c r="AJ40" s="13">
        <f>AI40*VLOOKUP('Données projet'!$B$10,Paramètres!$A$1:$I$89,3,0)*VLOOKUP('Données projet'!$B$10,Paramètres!$A$1:$I$89,5,0)</f>
        <v>197.78928000000008</v>
      </c>
      <c r="AK40" s="13">
        <f t="shared" si="35"/>
        <v>49.258004531609942</v>
      </c>
      <c r="AL40" s="20">
        <f t="shared" si="4"/>
        <v>430.27402055922079</v>
      </c>
      <c r="AM40" s="59">
        <f t="shared" si="5"/>
        <v>675.63337252989186</v>
      </c>
      <c r="AN40" s="59">
        <f ca="1">AVERAGE(OFFSET($AM$3,0,0,'Données projet'!$E$10+1,1))-AVERAGE(OFFSET($H$3,0,0,'Données projet'!$E$10+1,1))</f>
        <v>312.51355033343896</v>
      </c>
      <c r="AO40" s="59">
        <f t="shared" si="36"/>
        <v>442.54749157177571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1.9743203596213088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1.9743203596213088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31"/>
        <v>38</v>
      </c>
      <c r="B41" s="73">
        <f>'Scénario référence'!$B$16*5+'Scénario référence'!$B$17*0+'Scénario référence'!$B$18*5</f>
        <v>5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1">
        <f t="shared" si="32"/>
        <v>0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1" s="11">
        <f>IF(OR('Scénario référence'!$F$8&gt;0,'Scénario référence'!$F$9&gt;0),('Scénario référence'!$F$8+'Scénario référence'!$F$9)*10,0)</f>
        <v>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67">
        <f t="shared" si="1"/>
        <v>183.33333333333334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0</v>
      </c>
      <c r="O41" s="13">
        <f>N41*VLOOKUP('Données projet'!$B$9,Paramètres!$A$1:$I$89,3,0)*VLOOKUP('Données projet'!$B$9,Paramètres!$A$1:$I$89,5,0)</f>
        <v>0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112.82287576550925</v>
      </c>
      <c r="T41" s="59">
        <f t="shared" si="34"/>
        <v>317.78570695363294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42.104456973919753</v>
      </c>
      <c r="AA41" s="21">
        <f>EXP(-LN(2)/25)*AA40+(1-EXP(-LN(2)/25))/(LN(2)/25)*Calculateur!V41*Calculateur!X41*VLOOKUP('Données projet'!$B$9,Paramètres!$A$1:$I$89,3,0)*0.475*44/12</f>
        <v>7.7925888176806799</v>
      </c>
      <c r="AB41" s="21">
        <f>EXP(-LN(2)/2)*AB40+(1-EXP(-LN(2)/2))/(LN(2)/2)*V41*Y41*VLOOKUP('Données projet'!$B$9,Paramètres!$A$1:$I$89,3,0)*0.475*44/12</f>
        <v>3.5803269483998597E-2</v>
      </c>
      <c r="AC41" s="22">
        <f t="shared" si="3"/>
        <v>49.932849061084433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4.8</v>
      </c>
      <c r="AI41" s="13">
        <f>IF('Données projet'!$A$62&gt;35,AI40+AH41-AQ40,IF(A41&lt;'Données projet'!$A$62,$AF$205^A41,IF(A41='Données projet'!$A$62,'Données projet'!$B$62,AI40+AH41-AQ40)))</f>
        <v>223.40000000000009</v>
      </c>
      <c r="AJ41" s="13">
        <f>AI41*VLOOKUP('Données projet'!$B$10,Paramètres!$A$1:$I$89,3,0)*VLOOKUP('Données projet'!$B$10,Paramètres!$A$1:$I$89,5,0)</f>
        <v>202.13232000000005</v>
      </c>
      <c r="AK41" s="13">
        <f t="shared" si="35"/>
        <v>50.212497488959627</v>
      </c>
      <c r="AL41" s="20">
        <f t="shared" si="4"/>
        <v>439.50055712660475</v>
      </c>
      <c r="AM41" s="59">
        <f t="shared" si="5"/>
        <v>685.69215042016344</v>
      </c>
      <c r="AN41" s="59">
        <f ca="1">AVERAGE(OFFSET($AM$3,0,0,'Données projet'!$E$10+1,1))-AVERAGE(OFFSET($H$3,0,0,'Données projet'!$E$10+1,1))</f>
        <v>312.51355033343896</v>
      </c>
      <c r="AO41" s="59">
        <f t="shared" si="36"/>
        <v>442.54749157177571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1.9203324655624687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1.9203324655624687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31"/>
        <v>39</v>
      </c>
      <c r="B42" s="73">
        <f>'Scénario référence'!$B$16*5+'Scénario référence'!$B$17*0+'Scénario référence'!$B$18*5</f>
        <v>5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1">
        <f t="shared" si="32"/>
        <v>0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2" s="11">
        <f>IF(OR('Scénario référence'!$F$8&gt;0,'Scénario référence'!$F$9&gt;0),('Scénario référence'!$F$8+'Scénario référence'!$F$9)*10,0)</f>
        <v>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67">
        <f t="shared" si="1"/>
        <v>183.33333333333334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0</v>
      </c>
      <c r="O42" s="13">
        <f>N42*VLOOKUP('Données projet'!$B$9,Paramètres!$A$1:$I$89,3,0)*VLOOKUP('Données projet'!$B$9,Paramètres!$A$1:$I$89,5,0)</f>
        <v>0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112.82287576550925</v>
      </c>
      <c r="T42" s="59">
        <f t="shared" si="34"/>
        <v>317.78570695363294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41.278814253844132</v>
      </c>
      <c r="AA42" s="21">
        <f>EXP(-LN(2)/25)*AA41+(1-EXP(-LN(2)/25))/(LN(2)/25)*Calculateur!V42*Calculateur!X42*VLOOKUP('Données projet'!$B$9,Paramètres!$A$1:$I$89,3,0)*0.475*44/12</f>
        <v>7.5795000666667658</v>
      </c>
      <c r="AB42" s="21">
        <f>EXP(-LN(2)/2)*AB41+(1-EXP(-LN(2)/2))/(LN(2)/2)*V42*Y42*VLOOKUP('Données projet'!$B$9,Paramètres!$A$1:$I$89,3,0)*0.475*44/12</f>
        <v>2.531673464078479E-2</v>
      </c>
      <c r="AC42" s="22">
        <f t="shared" si="3"/>
        <v>48.883631055151682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4.8</v>
      </c>
      <c r="AI42" s="13">
        <f>IF('Données projet'!$A$62&gt;35,AI41+AH42-AQ41,IF(A42&lt;'Données projet'!$A$62,$AF$205^A42,IF(A42='Données projet'!$A$62,'Données projet'!$B$62,AI41+AH42-AQ41)))</f>
        <v>228.2000000000001</v>
      </c>
      <c r="AJ42" s="13">
        <f>AI42*VLOOKUP('Données projet'!$B$10,Paramètres!$A$1:$I$89,3,0)*VLOOKUP('Données projet'!$B$10,Paramètres!$A$1:$I$89,5,0)</f>
        <v>206.47536000000008</v>
      </c>
      <c r="AK42" s="13">
        <f t="shared" si="35"/>
        <v>51.164606062687312</v>
      </c>
      <c r="AL42" s="20">
        <f t="shared" si="4"/>
        <v>448.72294089251386</v>
      </c>
      <c r="AM42" s="59">
        <f t="shared" si="5"/>
        <v>695.73233798262095</v>
      </c>
      <c r="AN42" s="59">
        <f ca="1">AVERAGE(OFFSET($AM$3,0,0,'Données projet'!$E$10+1,1))-AVERAGE(OFFSET($H$3,0,0,'Données projet'!$E$10+1,1))</f>
        <v>312.51355033343896</v>
      </c>
      <c r="AO42" s="59">
        <f t="shared" si="36"/>
        <v>442.54749157177571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1.8678208733057677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1.8678208733057677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31"/>
        <v>40</v>
      </c>
      <c r="B43" s="73">
        <f>'Scénario référence'!$B$16*5+'Scénario référence'!$B$17*0+'Scénario référence'!$B$18*5</f>
        <v>5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1">
        <f t="shared" si="32"/>
        <v>0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3" s="11">
        <f>IF(OR('Scénario référence'!$F$8&gt;0,'Scénario référence'!$F$9&gt;0),('Scénario référence'!$F$8+'Scénario référence'!$F$9)*10,0)</f>
        <v>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67">
        <f t="shared" si="1"/>
        <v>183.33333333333334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0</v>
      </c>
      <c r="O43" s="13">
        <f>N43*VLOOKUP('Données projet'!$B$9,Paramètres!$A$1:$I$89,3,0)*VLOOKUP('Données projet'!$B$9,Paramètres!$A$1:$I$89,5,0)</f>
        <v>0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112.82287576550925</v>
      </c>
      <c r="T43" s="59">
        <f t="shared" si="34"/>
        <v>317.78570695363294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40.469361883916861</v>
      </c>
      <c r="AA43" s="21">
        <f>EXP(-LN(2)/25)*AA42+(1-EXP(-LN(2)/25))/(LN(2)/25)*Calculateur!V43*Calculateur!X43*VLOOKUP('Données projet'!$B$9,Paramètres!$A$1:$I$89,3,0)*0.475*44/12</f>
        <v>7.3722382387551777</v>
      </c>
      <c r="AB43" s="21">
        <f>EXP(-LN(2)/2)*AB42+(1-EXP(-LN(2)/2))/(LN(2)/2)*V43*Y43*VLOOKUP('Données projet'!$B$9,Paramètres!$A$1:$I$89,3,0)*0.475*44/12</f>
        <v>1.7901634741999298E-2</v>
      </c>
      <c r="AC43" s="22">
        <f t="shared" si="3"/>
        <v>47.859501757414037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233</v>
      </c>
      <c r="AG43" s="12">
        <f>VLOOKUP(A43,'Données projet'!$A$61:$I$81,9,0)</f>
        <v>4.8</v>
      </c>
      <c r="AH43" s="12">
        <f t="array" ref="AH43">INDEX(AG:AG,MIN(IF(ISNUMBER(AG43:AG239),ROW(AG43:AG239),"")))</f>
        <v>4.8</v>
      </c>
      <c r="AI43" s="13">
        <f>IF('Données projet'!$A$62&gt;35,AI42+AH43-AQ42,IF(A43&lt;'Données projet'!$A$62,$AF$205^A43,IF(A43='Données projet'!$A$62,'Données projet'!$B$62,AI42+AH43-AQ42)))</f>
        <v>233.00000000000011</v>
      </c>
      <c r="AJ43" s="13">
        <f>AI43*VLOOKUP('Données projet'!$B$10,Paramètres!$A$1:$I$89,3,0)*VLOOKUP('Données projet'!$B$10,Paramètres!$A$1:$I$89,5,0)</f>
        <v>210.81840000000008</v>
      </c>
      <c r="AK43" s="13">
        <f t="shared" si="35"/>
        <v>52.114386184062198</v>
      </c>
      <c r="AL43" s="20">
        <f t="shared" si="4"/>
        <v>457.94126927057505</v>
      </c>
      <c r="AM43" s="59">
        <f t="shared" si="5"/>
        <v>705.75428308969583</v>
      </c>
      <c r="AN43" s="59">
        <f ca="1">AVERAGE(OFFSET($AM$3,0,0,'Données projet'!$E$10+1,1))-AVERAGE(OFFSET($H$3,0,0,'Données projet'!$E$10+1,1))</f>
        <v>312.51355033343896</v>
      </c>
      <c r="AO43" s="59">
        <f t="shared" si="36"/>
        <v>442.54749157177571</v>
      </c>
      <c r="AP43" s="15">
        <f>IF(ISNA(VLOOKUP(A43,'Données projet'!$A$61:$I$81,3,0)),0,VLOOKUP(A43,'Données projet'!$A$61:$I$81,3,0))</f>
        <v>8</v>
      </c>
      <c r="AQ43" s="15">
        <f>IF(ISNA(VLOOKUP(A43,'Données projet'!$A$61:$I$81,4,0)),0,VLOOKUP(A43,'Données projet'!$A$61:$I$81,4,0))</f>
        <v>5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0.15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2.563963699064201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2.563963699064201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31"/>
        <v>41</v>
      </c>
      <c r="B44" s="73">
        <f>'Scénario référence'!$B$16*5+'Scénario référence'!$B$17*0+'Scénario référence'!$B$18*5</f>
        <v>5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1">
        <f t="shared" si="32"/>
        <v>0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4" s="11">
        <f>IF(OR('Scénario référence'!$F$8&gt;0,'Scénario référence'!$F$9&gt;0),('Scénario référence'!$F$8+'Scénario référence'!$F$9)*10,0)</f>
        <v>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67">
        <f t="shared" si="1"/>
        <v>183.33333333333334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0</v>
      </c>
      <c r="O44" s="13">
        <f>N44*VLOOKUP('Données projet'!$B$9,Paramètres!$A$1:$I$89,3,0)*VLOOKUP('Données projet'!$B$9,Paramètres!$A$1:$I$89,5,0)</f>
        <v>0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112.82287576550925</v>
      </c>
      <c r="T44" s="59">
        <f t="shared" si="34"/>
        <v>317.78570695363294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39.67578238124667</v>
      </c>
      <c r="AA44" s="21">
        <f>EXP(-LN(2)/25)*AA43+(1-EXP(-LN(2)/25))/(LN(2)/25)*Calculateur!V44*Calculateur!X44*VLOOKUP('Données projet'!$B$9,Paramètres!$A$1:$I$89,3,0)*0.475*44/12</f>
        <v>7.1706439964272581</v>
      </c>
      <c r="AB44" s="21">
        <f>EXP(-LN(2)/2)*AB43+(1-EXP(-LN(2)/2))/(LN(2)/2)*V44*Y44*VLOOKUP('Données projet'!$B$9,Paramètres!$A$1:$I$89,3,0)*0.475*44/12</f>
        <v>1.2658367320392395E-2</v>
      </c>
      <c r="AC44" s="22">
        <f t="shared" si="3"/>
        <v>46.85908474499432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4.8</v>
      </c>
      <c r="AI44" s="13">
        <f>IF('Données projet'!$A$62&gt;35,AI43+AH44-AQ43,IF(A44&lt;'Données projet'!$A$62,$AF$205^A44,IF(A44='Données projet'!$A$62,'Données projet'!$B$62,AI43+AH44-AQ43)))</f>
        <v>232.80000000000013</v>
      </c>
      <c r="AJ44" s="13">
        <f>AI44*VLOOKUP('Données projet'!$B$10,Paramètres!$A$1:$I$89,3,0)*VLOOKUP('Données projet'!$B$10,Paramètres!$A$1:$I$89,5,0)</f>
        <v>210.63744000000008</v>
      </c>
      <c r="AK44" s="13">
        <f t="shared" si="35"/>
        <v>52.074857795388674</v>
      </c>
      <c r="AL44" s="20">
        <f t="shared" si="4"/>
        <v>457.55725199363536</v>
      </c>
      <c r="AM44" s="59">
        <f t="shared" si="5"/>
        <v>706.1599415881393</v>
      </c>
      <c r="AN44" s="59">
        <f ca="1">AVERAGE(OFFSET($AM$3,0,0,'Données projet'!$E$10+1,1))-AVERAGE(OFFSET($H$3,0,0,'Données projet'!$E$10+1,1))</f>
        <v>312.51355033343896</v>
      </c>
      <c r="AO44" s="59">
        <f t="shared" si="36"/>
        <v>442.54749157177571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2.4938519768802996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2.4938519768802996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31"/>
        <v>42</v>
      </c>
      <c r="B45" s="73">
        <f>'Scénario référence'!$B$16*5+'Scénario référence'!$B$17*0+'Scénario référence'!$B$18*5</f>
        <v>5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1">
        <f t="shared" si="32"/>
        <v>0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5" s="11">
        <f>IF(OR('Scénario référence'!$F$8&gt;0,'Scénario référence'!$F$9&gt;0),('Scénario référence'!$F$8+'Scénario référence'!$F$9)*10,0)</f>
        <v>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67">
        <f t="shared" si="1"/>
        <v>183.33333333333334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0</v>
      </c>
      <c r="O45" s="13">
        <f>N45*VLOOKUP('Données projet'!$B$9,Paramètres!$A$1:$I$89,3,0)*VLOOKUP('Données projet'!$B$9,Paramètres!$A$1:$I$89,5,0)</f>
        <v>0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112.82287576550925</v>
      </c>
      <c r="T45" s="59">
        <f t="shared" si="34"/>
        <v>317.78570695363294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38.897764488588138</v>
      </c>
      <c r="AA45" s="21">
        <f>EXP(-LN(2)/25)*AA44+(1-EXP(-LN(2)/25))/(LN(2)/25)*Calculateur!V45*Calculateur!X45*VLOOKUP('Données projet'!$B$9,Paramètres!$A$1:$I$89,3,0)*0.475*44/12</f>
        <v>6.9745623592571757</v>
      </c>
      <c r="AB45" s="21">
        <f>EXP(-LN(2)/2)*AB44+(1-EXP(-LN(2)/2))/(LN(2)/2)*V45*Y45*VLOOKUP('Données projet'!$B$9,Paramètres!$A$1:$I$89,3,0)*0.475*44/12</f>
        <v>8.9508173709996492E-3</v>
      </c>
      <c r="AC45" s="22">
        <f t="shared" si="3"/>
        <v>45.881277665216317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4.8</v>
      </c>
      <c r="AI45" s="13">
        <f>IF('Données projet'!$A$62&gt;35,AI44+AH45-AQ44,IF(A45&lt;'Données projet'!$A$62,$AF$205^A45,IF(A45='Données projet'!$A$62,'Données projet'!$B$62,AI44+AH45-AQ44)))</f>
        <v>237.60000000000014</v>
      </c>
      <c r="AJ45" s="13">
        <f>AI45*VLOOKUP('Données projet'!$B$10,Paramètres!$A$1:$I$89,3,0)*VLOOKUP('Données projet'!$B$10,Paramètres!$A$1:$I$89,5,0)</f>
        <v>214.98048000000014</v>
      </c>
      <c r="AK45" s="13">
        <f t="shared" si="35"/>
        <v>53.022456711590657</v>
      </c>
      <c r="AL45" s="20">
        <f t="shared" si="4"/>
        <v>466.7717814393539</v>
      </c>
      <c r="AM45" s="59">
        <f t="shared" si="5"/>
        <v>716.1504476999886</v>
      </c>
      <c r="AN45" s="59">
        <f ca="1">AVERAGE(OFFSET($AM$3,0,0,'Données projet'!$E$10+1,1))-AVERAGE(OFFSET($H$3,0,0,'Données projet'!$E$10+1,1))</f>
        <v>312.51355033343896</v>
      </c>
      <c r="AO45" s="59">
        <f t="shared" si="36"/>
        <v>442.54749157177571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0</v>
      </c>
      <c r="AV45" s="21">
        <f>EXP(-LN(2)/25)*AV44+(1-EXP(-LN(2)/25))/(LN(2)/25)*Calculateur!AQ45*Calculateur!AS45*VLOOKUP('Données projet'!$B$10,Paramètres!$A$1:$I$89,3,0)*0.475*44/12</f>
        <v>2.425657463426532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2.425657463426532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31"/>
        <v>43</v>
      </c>
      <c r="B46" s="73">
        <f>'Scénario référence'!$B$16*5+'Scénario référence'!$B$17*0+'Scénario référence'!$B$18*5</f>
        <v>5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1">
        <f t="shared" si="32"/>
        <v>0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6" s="11">
        <f>IF(OR('Scénario référence'!$F$8&gt;0,'Scénario référence'!$F$9&gt;0),('Scénario référence'!$F$8+'Scénario référence'!$F$9)*10,0)</f>
        <v>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67">
        <f t="shared" si="1"/>
        <v>183.33333333333334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0</v>
      </c>
      <c r="O46" s="13">
        <f>N46*VLOOKUP('Données projet'!$B$9,Paramètres!$A$1:$I$89,3,0)*VLOOKUP('Données projet'!$B$9,Paramètres!$A$1:$I$89,5,0)</f>
        <v>0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112.82287576550925</v>
      </c>
      <c r="T46" s="59">
        <f t="shared" si="34"/>
        <v>317.78570695363294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38.135003052260586</v>
      </c>
      <c r="AA46" s="21">
        <f>EXP(-LN(2)/25)*AA45+(1-EXP(-LN(2)/25))/(LN(2)/25)*Calculateur!V46*Calculateur!X46*VLOOKUP('Données projet'!$B$9,Paramètres!$A$1:$I$89,3,0)*0.475*44/12</f>
        <v>6.7838425847669948</v>
      </c>
      <c r="AB46" s="21">
        <f>EXP(-LN(2)/2)*AB45+(1-EXP(-LN(2)/2))/(LN(2)/2)*V46*Y46*VLOOKUP('Données projet'!$B$9,Paramètres!$A$1:$I$89,3,0)*0.475*44/12</f>
        <v>6.3291836601961976E-3</v>
      </c>
      <c r="AC46" s="22">
        <f t="shared" si="3"/>
        <v>44.925174820687779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4.8</v>
      </c>
      <c r="AI46" s="13">
        <f>IF('Données projet'!$A$62&gt;35,AI45+AH46-AQ45,IF(A46&lt;'Données projet'!$A$62,$AF$205^A46,IF(A46='Données projet'!$A$62,'Données projet'!$B$62,AI45+AH46-AQ45)))</f>
        <v>242.40000000000015</v>
      </c>
      <c r="AJ46" s="13">
        <f>AI46*VLOOKUP('Données projet'!$B$10,Paramètres!$A$1:$I$89,3,0)*VLOOKUP('Données projet'!$B$10,Paramètres!$A$1:$I$89,5,0)</f>
        <v>219.32352000000012</v>
      </c>
      <c r="AK46" s="13">
        <f t="shared" si="35"/>
        <v>53.967829792422748</v>
      </c>
      <c r="AL46" s="20">
        <f t="shared" si="4"/>
        <v>475.98243422180309</v>
      </c>
      <c r="AM46" s="59">
        <f t="shared" si="5"/>
        <v>726.12361568823508</v>
      </c>
      <c r="AN46" s="59">
        <f ca="1">AVERAGE(OFFSET($AM$3,0,0,'Données projet'!$E$10+1,1))-AVERAGE(OFFSET($H$3,0,0,'Données projet'!$E$10+1,1))</f>
        <v>312.51355033343896</v>
      </c>
      <c r="AO46" s="59">
        <f t="shared" si="36"/>
        <v>442.54749157177571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0</v>
      </c>
      <c r="AV46" s="21">
        <f>EXP(-LN(2)/25)*AV45+(1-EXP(-LN(2)/25))/(LN(2)/25)*Calculateur!AQ46*Calculateur!AS46*VLOOKUP('Données projet'!$B$10,Paramètres!$A$1:$I$89,3,0)*0.475*44/12</f>
        <v>2.3593277325293514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2.3593277325293514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31"/>
        <v>44</v>
      </c>
      <c r="B47" s="73">
        <f>'Scénario référence'!$B$16*5+'Scénario référence'!$B$17*0+'Scénario référence'!$B$18*5</f>
        <v>5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1">
        <f t="shared" si="32"/>
        <v>0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7" s="11">
        <f>IF(OR('Scénario référence'!$F$8&gt;0,'Scénario référence'!$F$9&gt;0),('Scénario référence'!$F$8+'Scénario référence'!$F$9)*10,0)</f>
        <v>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67">
        <f t="shared" si="1"/>
        <v>183.33333333333334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0</v>
      </c>
      <c r="O47" s="13">
        <f>N47*VLOOKUP('Données projet'!$B$9,Paramètres!$A$1:$I$89,3,0)*VLOOKUP('Données projet'!$B$9,Paramètres!$A$1:$I$89,5,0)</f>
        <v>0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112.82287576550925</v>
      </c>
      <c r="T47" s="59">
        <f t="shared" si="34"/>
        <v>317.78570695363294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37.387198902460881</v>
      </c>
      <c r="AA47" s="21">
        <f>EXP(-LN(2)/25)*AA46+(1-EXP(-LN(2)/25))/(LN(2)/25)*Calculateur!V47*Calculateur!X47*VLOOKUP('Données projet'!$B$9,Paramètres!$A$1:$I$89,3,0)*0.475*44/12</f>
        <v>6.5983380525397646</v>
      </c>
      <c r="AB47" s="21">
        <f>EXP(-LN(2)/2)*AB46+(1-EXP(-LN(2)/2))/(LN(2)/2)*V47*Y47*VLOOKUP('Données projet'!$B$9,Paramètres!$A$1:$I$89,3,0)*0.475*44/12</f>
        <v>4.4754086854998246E-3</v>
      </c>
      <c r="AC47" s="22">
        <f t="shared" si="3"/>
        <v>43.990012363686148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4.8</v>
      </c>
      <c r="AI47" s="13">
        <f>IF('Données projet'!$A$62&gt;35,AI46+AH47-AQ46,IF(A47&lt;'Données projet'!$A$62,$AF$205^A47,IF(A47='Données projet'!$A$62,'Données projet'!$B$62,AI46+AH47-AQ46)))</f>
        <v>247.20000000000016</v>
      </c>
      <c r="AJ47" s="13">
        <f>AI47*VLOOKUP('Données projet'!$B$10,Paramètres!$A$1:$I$89,3,0)*VLOOKUP('Données projet'!$B$10,Paramètres!$A$1:$I$89,5,0)</f>
        <v>223.66656000000015</v>
      </c>
      <c r="AK47" s="13">
        <f t="shared" si="35"/>
        <v>54.911026194090759</v>
      </c>
      <c r="AL47" s="20">
        <f t="shared" si="4"/>
        <v>485.18929595470831</v>
      </c>
      <c r="AM47" s="59">
        <f t="shared" si="5"/>
        <v>736.07976469284574</v>
      </c>
      <c r="AN47" s="59">
        <f ca="1">AVERAGE(OFFSET($AM$3,0,0,'Données projet'!$E$10+1,1))-AVERAGE(OFFSET($H$3,0,0,'Données projet'!$E$10+1,1))</f>
        <v>312.51355033343896</v>
      </c>
      <c r="AO47" s="59">
        <f t="shared" si="36"/>
        <v>442.54749157177571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0</v>
      </c>
      <c r="AV47" s="21">
        <f>EXP(-LN(2)/25)*AV46+(1-EXP(-LN(2)/25))/(LN(2)/25)*Calculateur!AQ47*Calculateur!AS47*VLOOKUP('Données projet'!$B$10,Paramètres!$A$1:$I$89,3,0)*0.475*44/12</f>
        <v>2.294811791611683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2.294811791611683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31"/>
        <v>45</v>
      </c>
      <c r="B48" s="73">
        <f>'Scénario référence'!$B$16*5+'Scénario référence'!$B$17*0+'Scénario référence'!$B$18*5</f>
        <v>5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1">
        <f t="shared" si="32"/>
        <v>0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8" s="11">
        <f>IF(OR('Scénario référence'!$F$8&gt;0,'Scénario référence'!$F$9&gt;0),('Scénario référence'!$F$8+'Scénario référence'!$F$9)*10,0)</f>
        <v>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67">
        <f t="shared" si="1"/>
        <v>183.33333333333334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0</v>
      </c>
      <c r="O48" s="13">
        <f>N48*VLOOKUP('Données projet'!$B$9,Paramètres!$A$1:$I$89,3,0)*VLOOKUP('Données projet'!$B$9,Paramètres!$A$1:$I$89,5,0)</f>
        <v>0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112.82287576550925</v>
      </c>
      <c r="T48" s="59">
        <f t="shared" si="34"/>
        <v>317.78570695363294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36.65405873592325</v>
      </c>
      <c r="AA48" s="21">
        <f>EXP(-LN(2)/25)*AA47+(1-EXP(-LN(2)/25))/(LN(2)/25)*Calculateur!V48*Calculateur!X48*VLOOKUP('Données projet'!$B$9,Paramètres!$A$1:$I$89,3,0)*0.475*44/12</f>
        <v>6.4179061515015476</v>
      </c>
      <c r="AB48" s="21">
        <f>EXP(-LN(2)/2)*AB47+(1-EXP(-LN(2)/2))/(LN(2)/2)*V48*Y48*VLOOKUP('Données projet'!$B$9,Paramètres!$A$1:$I$89,3,0)*0.475*44/12</f>
        <v>3.1645918300980988E-3</v>
      </c>
      <c r="AC48" s="22">
        <f t="shared" si="3"/>
        <v>43.075129479254898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>
        <f>VLOOKUP(A48,'Données projet'!$A$61:$I$81,2,0)</f>
        <v>252</v>
      </c>
      <c r="AG48" s="12">
        <f>VLOOKUP(A48,'Données projet'!$A$61:$I$81,9,0)</f>
        <v>4.8</v>
      </c>
      <c r="AH48" s="12">
        <f t="array" ref="AH48">INDEX(AG:AG,MIN(IF(ISNUMBER(AG48:AG244),ROW(AG48:AG244),"")))</f>
        <v>4.8</v>
      </c>
      <c r="AI48" s="13">
        <f>IF('Données projet'!$A$62&gt;35,AI47+AH48-AQ47,IF(A48&lt;'Données projet'!$A$62,$AF$205^A48,IF(A48='Données projet'!$A$62,'Données projet'!$B$62,AI47+AH48-AQ47)))</f>
        <v>252.00000000000017</v>
      </c>
      <c r="AJ48" s="13">
        <f>AI48*VLOOKUP('Données projet'!$B$10,Paramètres!$A$1:$I$89,3,0)*VLOOKUP('Données projet'!$B$10,Paramètres!$A$1:$I$89,5,0)</f>
        <v>228.00960000000015</v>
      </c>
      <c r="AK48" s="13">
        <f t="shared" si="35"/>
        <v>55.852093054619878</v>
      </c>
      <c r="AL48" s="20">
        <f t="shared" si="4"/>
        <v>494.39244873679655</v>
      </c>
      <c r="AM48" s="59">
        <f t="shared" si="5"/>
        <v>746.01920628763071</v>
      </c>
      <c r="AN48" s="59">
        <f ca="1">AVERAGE(OFFSET($AM$3,0,0,'Données projet'!$E$10+1,1))-AVERAGE(OFFSET($H$3,0,0,'Données projet'!$E$10+1,1))</f>
        <v>312.51355033343896</v>
      </c>
      <c r="AO48" s="59">
        <f t="shared" si="36"/>
        <v>442.54749157177571</v>
      </c>
      <c r="AP48" s="15">
        <f>IF(ISNA(VLOOKUP(A48,'Données projet'!$A$61:$I$81,3,0)),0,VLOOKUP(A48,'Données projet'!$A$61:$I$81,3,0))</f>
        <v>9</v>
      </c>
      <c r="AQ48" s="15">
        <f>IF(ISNA(VLOOKUP(A48,'Données projet'!$A$61:$I$81,4,0)),0,VLOOKUP(A48,'Données projet'!$A$61:$I$81,4,0))</f>
        <v>5</v>
      </c>
      <c r="AR48" s="16">
        <f>IF(ISNA(VLOOKUP(A48,'Données projet'!$A$61:$I$81,5,0)),0%,VLOOKUP(A48,'Données projet'!$A$61:$I$81,5,0)*VLOOKUP('Données projet'!$B$10,Paramètres!$A$1:$I$89,7,0))</f>
        <v>0.09</v>
      </c>
      <c r="AS48" s="16">
        <f>IF(ISNA(VLOOKUP(A48,'Données projet'!$A$61:$I$81,6,0)),0%,VLOOKUP(A48,'Données projet'!$A$61:$I$81,6,0)*VLOOKUP('Données projet'!$B$10,Paramètres!$A$1:$I$89,7,0))</f>
        <v>0.12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0.45010331973063589</v>
      </c>
      <c r="AV48" s="21">
        <f>EXP(-LN(2)/25)*AV47+(1-EXP(-LN(2)/25))/(LN(2)/25)*Calculateur!AQ48*Calculateur!AS48*VLOOKUP('Données projet'!$B$10,Paramètres!$A$1:$I$89,3,0)*0.475*44/12</f>
        <v>2.8298348311018824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3.2799381508325185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31"/>
        <v>46</v>
      </c>
      <c r="B49" s="73">
        <f>'Scénario référence'!$B$16*5+'Scénario référence'!$B$17*0+'Scénario référence'!$B$18*5</f>
        <v>5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1">
        <f t="shared" si="32"/>
        <v>0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9" s="11">
        <f>IF(OR('Scénario référence'!$F$8&gt;0,'Scénario référence'!$F$9&gt;0),('Scénario référence'!$F$8+'Scénario référence'!$F$9)*10,0)</f>
        <v>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67">
        <f t="shared" si="1"/>
        <v>183.33333333333334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0</v>
      </c>
      <c r="O49" s="13">
        <f>N49*VLOOKUP('Données projet'!$B$9,Paramètres!$A$1:$I$89,3,0)*VLOOKUP('Données projet'!$B$9,Paramètres!$A$1:$I$89,5,0)</f>
        <v>0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112.82287576550925</v>
      </c>
      <c r="T49" s="59">
        <f t="shared" si="34"/>
        <v>317.78570695363294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35.935295000880075</v>
      </c>
      <c r="AA49" s="21">
        <f>EXP(-LN(2)/25)*AA48+(1-EXP(-LN(2)/25))/(LN(2)/25)*Calculateur!V49*Calculateur!X49*VLOOKUP('Données projet'!$B$9,Paramètres!$A$1:$I$89,3,0)*0.475*44/12</f>
        <v>6.2424081702857217</v>
      </c>
      <c r="AB49" s="21">
        <f>EXP(-LN(2)/2)*AB48+(1-EXP(-LN(2)/2))/(LN(2)/2)*V49*Y49*VLOOKUP('Données projet'!$B$9,Paramètres!$A$1:$I$89,3,0)*0.475*44/12</f>
        <v>2.2377043427499123E-3</v>
      </c>
      <c r="AC49" s="22">
        <f t="shared" si="3"/>
        <v>42.179940875508542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0</v>
      </c>
      <c r="AI49" s="13">
        <f>IF('Données projet'!$A$62&gt;35,AI48+AH49-AQ48,IF(A49&lt;'Données projet'!$A$62,$AF$205^A49,IF(A49='Données projet'!$A$62,'Données projet'!$B$62,AI48+AH49-AQ48)))</f>
        <v>247.00000000000017</v>
      </c>
      <c r="AJ49" s="13">
        <f>AI49*VLOOKUP('Données projet'!$B$10,Paramètres!$A$1:$I$89,3,0)*VLOOKUP('Données projet'!$B$10,Paramètres!$A$1:$I$89,5,0)</f>
        <v>223.48560000000012</v>
      </c>
      <c r="AK49" s="13">
        <f t="shared" si="35"/>
        <v>54.87176918107798</v>
      </c>
      <c r="AL49" s="20">
        <f t="shared" si="4"/>
        <v>484.80575132371092</v>
      </c>
      <c r="AM49" s="59">
        <f t="shared" si="5"/>
        <v>737.15602472243654</v>
      </c>
      <c r="AN49" s="59">
        <f ca="1">AVERAGE(OFFSET($AM$3,0,0,'Données projet'!$E$10+1,1))-AVERAGE(OFFSET($H$3,0,0,'Données projet'!$E$10+1,1))</f>
        <v>312.51355033343896</v>
      </c>
      <c r="AO49" s="59">
        <f t="shared" si="36"/>
        <v>442.54749157177571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0.44127706816663498</v>
      </c>
      <c r="AV49" s="21">
        <f>EXP(-LN(2)/25)*AV48+(1-EXP(-LN(2)/25))/(LN(2)/25)*Calculateur!AQ49*Calculateur!AS49*VLOOKUP('Données projet'!$B$10,Paramètres!$A$1:$I$89,3,0)*0.475*44/12</f>
        <v>2.7524528488308553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3.1937299169974902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31"/>
        <v>47</v>
      </c>
      <c r="B50" s="73">
        <f>'Scénario référence'!$B$16*5+'Scénario référence'!$B$17*0+'Scénario référence'!$B$18*5</f>
        <v>5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1">
        <f t="shared" si="32"/>
        <v>0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0" s="11">
        <f>IF(OR('Scénario référence'!$F$8&gt;0,'Scénario référence'!$F$9&gt;0),('Scénario référence'!$F$8+'Scénario référence'!$F$9)*10,0)</f>
        <v>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67">
        <f t="shared" si="1"/>
        <v>183.33333333333334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0</v>
      </c>
      <c r="O50" s="13">
        <f>N50*VLOOKUP('Données projet'!$B$9,Paramètres!$A$1:$I$89,3,0)*VLOOKUP('Données projet'!$B$9,Paramètres!$A$1:$I$89,5,0)</f>
        <v>0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112.82287576550925</v>
      </c>
      <c r="T50" s="59">
        <f t="shared" si="34"/>
        <v>317.78570695363294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35.230625784278509</v>
      </c>
      <c r="AA50" s="21">
        <f>EXP(-LN(2)/25)*AA49+(1-EXP(-LN(2)/25))/(LN(2)/25)*Calculateur!V50*Calculateur!X50*VLOOKUP('Données projet'!$B$9,Paramètres!$A$1:$I$89,3,0)*0.475*44/12</f>
        <v>6.0717091905952802</v>
      </c>
      <c r="AB50" s="21">
        <f>EXP(-LN(2)/2)*AB49+(1-EXP(-LN(2)/2))/(LN(2)/2)*V50*Y50*VLOOKUP('Données projet'!$B$9,Paramètres!$A$1:$I$89,3,0)*0.475*44/12</f>
        <v>1.5822959150490494E-3</v>
      </c>
      <c r="AC50" s="22">
        <f t="shared" si="3"/>
        <v>41.303917270788837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0</v>
      </c>
      <c r="AI50" s="13">
        <f>IF('Données projet'!$A$62&gt;35,AI49+AH50-AQ49,IF(A50&lt;'Données projet'!$A$62,$AF$205^A50,IF(A50='Données projet'!$A$62,'Données projet'!$B$62,AI49+AH50-AQ49)))</f>
        <v>247.00000000000017</v>
      </c>
      <c r="AJ50" s="13">
        <f>AI50*VLOOKUP('Données projet'!$B$10,Paramètres!$A$1:$I$89,3,0)*VLOOKUP('Données projet'!$B$10,Paramètres!$A$1:$I$89,5,0)</f>
        <v>223.48560000000012</v>
      </c>
      <c r="AK50" s="13">
        <f t="shared" si="35"/>
        <v>54.87176918107798</v>
      </c>
      <c r="AL50" s="20">
        <f t="shared" si="4"/>
        <v>484.80575132371092</v>
      </c>
      <c r="AM50" s="59">
        <f t="shared" si="5"/>
        <v>737.86698918790626</v>
      </c>
      <c r="AN50" s="59">
        <f ca="1">AVERAGE(OFFSET($AM$3,0,0,'Données projet'!$E$10+1,1))-AVERAGE(OFFSET($H$3,0,0,'Données projet'!$E$10+1,1))</f>
        <v>312.51355033343896</v>
      </c>
      <c r="AO50" s="59">
        <f t="shared" si="36"/>
        <v>442.54749157177571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0.43262389401232226</v>
      </c>
      <c r="AV50" s="21">
        <f>EXP(-LN(2)/25)*AV49+(1-EXP(-LN(2)/25))/(LN(2)/25)*Calculateur!AQ50*Calculateur!AS50*VLOOKUP('Données projet'!$B$10,Paramètres!$A$1:$I$89,3,0)*0.475*44/12</f>
        <v>2.6771868809343711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3.1098107749466934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31"/>
        <v>48</v>
      </c>
      <c r="B51" s="73">
        <f>'Scénario référence'!$B$16*5+'Scénario référence'!$B$17*0+'Scénario référence'!$B$18*5</f>
        <v>5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1">
        <f t="shared" si="32"/>
        <v>0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1" s="11">
        <f>IF(OR('Scénario référence'!$F$8&gt;0,'Scénario référence'!$F$9&gt;0),('Scénario référence'!$F$8+'Scénario référence'!$F$9)*10,0)</f>
        <v>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67">
        <f t="shared" si="1"/>
        <v>183.33333333333334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0</v>
      </c>
      <c r="O51" s="13">
        <f>N51*VLOOKUP('Données projet'!$B$9,Paramètres!$A$1:$I$89,3,0)*VLOOKUP('Données projet'!$B$9,Paramètres!$A$1:$I$89,5,0)</f>
        <v>0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112.82287576550925</v>
      </c>
      <c r="T51" s="59">
        <f t="shared" si="34"/>
        <v>317.78570695363294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34.539774701208714</v>
      </c>
      <c r="AA51" s="21">
        <f>EXP(-LN(2)/25)*AA50+(1-EXP(-LN(2)/25))/(LN(2)/25)*Calculateur!V51*Calculateur!X51*VLOOKUP('Données projet'!$B$9,Paramètres!$A$1:$I$89,3,0)*0.475*44/12</f>
        <v>5.9056779834811435</v>
      </c>
      <c r="AB51" s="21">
        <f>EXP(-LN(2)/2)*AB50+(1-EXP(-LN(2)/2))/(LN(2)/2)*V51*Y51*VLOOKUP('Données projet'!$B$9,Paramètres!$A$1:$I$89,3,0)*0.475*44/12</f>
        <v>1.1188521713749562E-3</v>
      </c>
      <c r="AC51" s="22">
        <f t="shared" si="3"/>
        <v>40.446571536861228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0</v>
      </c>
      <c r="AI51" s="13">
        <f>IF('Données projet'!$A$62&gt;35,AI50+AH51-AQ50,IF(A51&lt;'Données projet'!$A$62,$AF$205^A51,IF(A51='Données projet'!$A$62,'Données projet'!$B$62,AI50+AH51-AQ50)))</f>
        <v>247.00000000000017</v>
      </c>
      <c r="AJ51" s="13">
        <f>AI51*VLOOKUP('Données projet'!$B$10,Paramètres!$A$1:$I$89,3,0)*VLOOKUP('Données projet'!$B$10,Paramètres!$A$1:$I$89,5,0)</f>
        <v>223.48560000000012</v>
      </c>
      <c r="AK51" s="13">
        <f t="shared" si="35"/>
        <v>54.87176918107798</v>
      </c>
      <c r="AL51" s="20">
        <f t="shared" si="4"/>
        <v>484.80575132371092</v>
      </c>
      <c r="AM51" s="59">
        <f t="shared" si="5"/>
        <v>738.56562000937856</v>
      </c>
      <c r="AN51" s="59">
        <f ca="1">AVERAGE(OFFSET($AM$3,0,0,'Données projet'!$E$10+1,1))-AVERAGE(OFFSET($H$3,0,0,'Données projet'!$E$10+1,1))</f>
        <v>312.51355033343896</v>
      </c>
      <c r="AO51" s="59">
        <f t="shared" si="36"/>
        <v>442.54749157177571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0.42414040332526054</v>
      </c>
      <c r="AV51" s="21">
        <f>EXP(-LN(2)/25)*AV50+(1-EXP(-LN(2)/25))/(LN(2)/25)*Calculateur!AQ51*Calculateur!AS51*VLOOKUP('Données projet'!$B$10,Paramètres!$A$1:$I$89,3,0)*0.475*44/12</f>
        <v>2.6039790648880814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3.0281194682133421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31"/>
        <v>49</v>
      </c>
      <c r="B52" s="73">
        <f>'Scénario référence'!$B$16*5+'Scénario référence'!$B$17*0+'Scénario référence'!$B$18*5</f>
        <v>5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1">
        <f t="shared" si="32"/>
        <v>0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2" s="11">
        <f>IF(OR('Scénario référence'!$F$8&gt;0,'Scénario référence'!$F$9&gt;0),('Scénario référence'!$F$8+'Scénario référence'!$F$9)*10,0)</f>
        <v>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67">
        <f t="shared" si="1"/>
        <v>183.33333333333334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0</v>
      </c>
      <c r="O52" s="13">
        <f>N52*VLOOKUP('Données projet'!$B$9,Paramètres!$A$1:$I$89,3,0)*VLOOKUP('Données projet'!$B$9,Paramètres!$A$1:$I$89,5,0)</f>
        <v>0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112.82287576550925</v>
      </c>
      <c r="T52" s="59">
        <f t="shared" si="34"/>
        <v>317.78570695363294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33.862470786500367</v>
      </c>
      <c r="AA52" s="21">
        <f>EXP(-LN(2)/25)*AA51+(1-EXP(-LN(2)/25))/(LN(2)/25)*Calculateur!V52*Calculateur!X52*VLOOKUP('Données projet'!$B$9,Paramètres!$A$1:$I$89,3,0)*0.475*44/12</f>
        <v>5.7441869084567445</v>
      </c>
      <c r="AB52" s="21">
        <f>EXP(-LN(2)/2)*AB51+(1-EXP(-LN(2)/2))/(LN(2)/2)*V52*Y52*VLOOKUP('Données projet'!$B$9,Paramètres!$A$1:$I$89,3,0)*0.475*44/12</f>
        <v>7.911479575245247E-4</v>
      </c>
      <c r="AC52" s="22">
        <f t="shared" si="3"/>
        <v>39.607448842914636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0</v>
      </c>
      <c r="AI52" s="13">
        <f>IF('Données projet'!$A$62&gt;35,AI51+AH52-AQ51,IF(A52&lt;'Données projet'!$A$62,$AF$205^A52,IF(A52='Données projet'!$A$62,'Données projet'!$B$62,AI51+AH52-AQ51)))</f>
        <v>247.00000000000017</v>
      </c>
      <c r="AJ52" s="13">
        <f>AI52*VLOOKUP('Données projet'!$B$10,Paramètres!$A$1:$I$89,3,0)*VLOOKUP('Données projet'!$B$10,Paramètres!$A$1:$I$89,5,0)</f>
        <v>223.48560000000012</v>
      </c>
      <c r="AK52" s="13">
        <f t="shared" si="35"/>
        <v>54.87176918107798</v>
      </c>
      <c r="AL52" s="20">
        <f t="shared" si="4"/>
        <v>484.80575132371092</v>
      </c>
      <c r="AM52" s="59">
        <f t="shared" si="5"/>
        <v>739.25213114800295</v>
      </c>
      <c r="AN52" s="59">
        <f ca="1">AVERAGE(OFFSET($AM$3,0,0,'Données projet'!$E$10+1,1))-AVERAGE(OFFSET($H$3,0,0,'Données projet'!$E$10+1,1))</f>
        <v>312.51355033343896</v>
      </c>
      <c r="AO52" s="59">
        <f t="shared" si="36"/>
        <v>442.54749157177571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0.41582326871615372</v>
      </c>
      <c r="AV52" s="21">
        <f>EXP(-LN(2)/25)*AV51+(1-EXP(-LN(2)/25))/(LN(2)/25)*Calculateur!AQ52*Calculateur!AS52*VLOOKUP('Données projet'!$B$10,Paramètres!$A$1:$I$89,3,0)*0.475*44/12</f>
        <v>2.5327731204214095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2.9485963891375633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31"/>
        <v>50</v>
      </c>
      <c r="B53" s="73">
        <f>'Scénario référence'!$B$16*5+'Scénario référence'!$B$17*0+'Scénario référence'!$B$18*5</f>
        <v>5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1">
        <f t="shared" si="32"/>
        <v>0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3" s="11">
        <f>IF(OR('Scénario référence'!$F$8&gt;0,'Scénario référence'!$F$9&gt;0),('Scénario référence'!$F$8+'Scénario référence'!$F$9)*10,0)</f>
        <v>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67">
        <f t="shared" si="1"/>
        <v>183.33333333333334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0</v>
      </c>
      <c r="O53" s="13">
        <f>N53*VLOOKUP('Données projet'!$B$9,Paramètres!$A$1:$I$89,3,0)*VLOOKUP('Données projet'!$B$9,Paramètres!$A$1:$I$89,5,0)</f>
        <v>0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112.82287576550925</v>
      </c>
      <c r="T53" s="59">
        <f t="shared" si="34"/>
        <v>317.78570695363294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33.198448388444852</v>
      </c>
      <c r="AA53" s="21">
        <f>EXP(-LN(2)/25)*AA52+(1-EXP(-LN(2)/25))/(LN(2)/25)*Calculateur!V53*Calculateur!X53*VLOOKUP('Données projet'!$B$9,Paramètres!$A$1:$I$89,3,0)*0.475*44/12</f>
        <v>5.5871118153713342</v>
      </c>
      <c r="AB53" s="21">
        <f>EXP(-LN(2)/2)*AB52+(1-EXP(-LN(2)/2))/(LN(2)/2)*V53*Y53*VLOOKUP('Données projet'!$B$9,Paramètres!$A$1:$I$89,3,0)*0.475*44/12</f>
        <v>5.5942608568747808E-4</v>
      </c>
      <c r="AC53" s="22">
        <f t="shared" si="3"/>
        <v>38.786119629901876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0</v>
      </c>
      <c r="AI53" s="13">
        <f>IF('Données projet'!$A$62&gt;35,AI52+AH53-AQ52,IF(A53&lt;'Données projet'!$A$62,$AF$205^A53,IF(A53='Données projet'!$A$62,'Données projet'!$B$62,AI52+AH53-AQ52)))</f>
        <v>247.00000000000017</v>
      </c>
      <c r="AJ53" s="13">
        <f>AI53*VLOOKUP('Données projet'!$B$10,Paramètres!$A$1:$I$89,3,0)*VLOOKUP('Données projet'!$B$10,Paramètres!$A$1:$I$89,5,0)</f>
        <v>223.48560000000012</v>
      </c>
      <c r="AK53" s="13">
        <f t="shared" si="35"/>
        <v>54.87176918107798</v>
      </c>
      <c r="AL53" s="20">
        <f t="shared" si="4"/>
        <v>484.80575132371092</v>
      </c>
      <c r="AM53" s="59">
        <f t="shared" si="5"/>
        <v>739.92673285318097</v>
      </c>
      <c r="AN53" s="59">
        <f ca="1">AVERAGE(OFFSET($AM$3,0,0,'Données projet'!$E$10+1,1))-AVERAGE(OFFSET($H$3,0,0,'Données projet'!$E$10+1,1))</f>
        <v>312.51355033343896</v>
      </c>
      <c r="AO53" s="59">
        <f t="shared" si="36"/>
        <v>442.54749157177571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0.40766922804378025</v>
      </c>
      <c r="AV53" s="21">
        <f>EXP(-LN(2)/25)*AV52+(1-EXP(-LN(2)/25))/(LN(2)/25)*Calculateur!AQ53*Calculateur!AS53*VLOOKUP('Données projet'!$B$10,Paramètres!$A$1:$I$89,3,0)*0.475*44/12</f>
        <v>2.4635143062507363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2.8711835342945164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31"/>
        <v>51</v>
      </c>
      <c r="B54" s="73">
        <f>'Scénario référence'!$B$16*5+'Scénario référence'!$B$17*0+'Scénario référence'!$B$18*5</f>
        <v>5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1">
        <f t="shared" si="32"/>
        <v>0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4" s="11">
        <f>IF(OR('Scénario référence'!$F$8&gt;0,'Scénario référence'!$F$9&gt;0),('Scénario référence'!$F$8+'Scénario référence'!$F$9)*10,0)</f>
        <v>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67">
        <f t="shared" si="1"/>
        <v>183.33333333333334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0</v>
      </c>
      <c r="O54" s="13">
        <f>N54*VLOOKUP('Données projet'!$B$9,Paramètres!$A$1:$I$89,3,0)*VLOOKUP('Données projet'!$B$9,Paramètres!$A$1:$I$89,5,0)</f>
        <v>0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112.82287576550925</v>
      </c>
      <c r="T54" s="59">
        <f t="shared" si="34"/>
        <v>317.78570695363294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32.547447064601535</v>
      </c>
      <c r="AA54" s="21">
        <f>EXP(-LN(2)/25)*AA53+(1-EXP(-LN(2)/25))/(LN(2)/25)*Calculateur!V54*Calculateur!X54*VLOOKUP('Données projet'!$B$9,Paramètres!$A$1:$I$89,3,0)*0.475*44/12</f>
        <v>5.4343319489665642</v>
      </c>
      <c r="AB54" s="21">
        <f>EXP(-LN(2)/2)*AB53+(1-EXP(-LN(2)/2))/(LN(2)/2)*V54*Y54*VLOOKUP('Données projet'!$B$9,Paramètres!$A$1:$I$89,3,0)*0.475*44/12</f>
        <v>3.9557397876226235E-4</v>
      </c>
      <c r="AC54" s="22">
        <f t="shared" si="3"/>
        <v>37.982174587546865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0</v>
      </c>
      <c r="AI54" s="13">
        <f>IF('Données projet'!$A$62&gt;35,AI53+AH54-AQ53,IF(A54&lt;'Données projet'!$A$62,$AF$205^A54,IF(A54='Données projet'!$A$62,'Données projet'!$B$62,AI53+AH54-AQ53)))</f>
        <v>247.00000000000017</v>
      </c>
      <c r="AJ54" s="13">
        <f>AI54*VLOOKUP('Données projet'!$B$10,Paramètres!$A$1:$I$89,3,0)*VLOOKUP('Données projet'!$B$10,Paramètres!$A$1:$I$89,5,0)</f>
        <v>223.48560000000012</v>
      </c>
      <c r="AK54" s="13">
        <f t="shared" si="35"/>
        <v>54.87176918107798</v>
      </c>
      <c r="AL54" s="20">
        <f t="shared" si="4"/>
        <v>484.80575132371092</v>
      </c>
      <c r="AM54" s="59">
        <f t="shared" si="5"/>
        <v>740.5896317269578</v>
      </c>
      <c r="AN54" s="59">
        <f ca="1">AVERAGE(OFFSET($AM$3,0,0,'Données projet'!$E$10+1,1))-AVERAGE(OFFSET($H$3,0,0,'Données projet'!$E$10+1,1))</f>
        <v>312.51355033343896</v>
      </c>
      <c r="AO54" s="59">
        <f t="shared" si="36"/>
        <v>442.54749157177571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0.39967508313551831</v>
      </c>
      <c r="AV54" s="21">
        <f>EXP(-LN(2)/25)*AV53+(1-EXP(-LN(2)/25))/(LN(2)/25)*Calculateur!AQ54*Calculateur!AS54*VLOOKUP('Données projet'!$B$10,Paramètres!$A$1:$I$89,3,0)*0.475*44/12</f>
        <v>2.396149377995723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2.7958244611312413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31"/>
        <v>52</v>
      </c>
      <c r="B55" s="73">
        <f>'Scénario référence'!$B$16*5+'Scénario référence'!$B$17*0+'Scénario référence'!$B$18*5</f>
        <v>5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1">
        <f t="shared" si="32"/>
        <v>0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5" s="11">
        <f>IF(OR('Scénario référence'!$F$8&gt;0,'Scénario référence'!$F$9&gt;0),('Scénario référence'!$F$8+'Scénario référence'!$F$9)*10,0)</f>
        <v>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67">
        <f t="shared" si="1"/>
        <v>183.33333333333334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0</v>
      </c>
      <c r="O55" s="13">
        <f>N55*VLOOKUP('Données projet'!$B$9,Paramètres!$A$1:$I$89,3,0)*VLOOKUP('Données projet'!$B$9,Paramètres!$A$1:$I$89,5,0)</f>
        <v>0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112.82287576550925</v>
      </c>
      <c r="T55" s="59">
        <f t="shared" si="34"/>
        <v>317.78570695363294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31.909211479647187</v>
      </c>
      <c r="AA55" s="21">
        <f>EXP(-LN(2)/25)*AA54+(1-EXP(-LN(2)/25))/(LN(2)/25)*Calculateur!V55*Calculateur!X55*VLOOKUP('Données projet'!$B$9,Paramètres!$A$1:$I$89,3,0)*0.475*44/12</f>
        <v>5.2857298560429768</v>
      </c>
      <c r="AB55" s="21">
        <f>EXP(-LN(2)/2)*AB54+(1-EXP(-LN(2)/2))/(LN(2)/2)*V55*Y55*VLOOKUP('Données projet'!$B$9,Paramètres!$A$1:$I$89,3,0)*0.475*44/12</f>
        <v>2.7971304284373904E-4</v>
      </c>
      <c r="AC55" s="22">
        <f t="shared" si="3"/>
        <v>37.195221048733003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0</v>
      </c>
      <c r="AI55" s="13">
        <f>IF('Données projet'!$A$62&gt;35,AI54+AH55-AQ54,IF(A55&lt;'Données projet'!$A$62,$AF$205^A55,IF(A55='Données projet'!$A$62,'Données projet'!$B$62,AI54+AH55-AQ54)))</f>
        <v>247.00000000000017</v>
      </c>
      <c r="AJ55" s="13">
        <f>AI55*VLOOKUP('Données projet'!$B$10,Paramètres!$A$1:$I$89,3,0)*VLOOKUP('Données projet'!$B$10,Paramètres!$A$1:$I$89,5,0)</f>
        <v>223.48560000000012</v>
      </c>
      <c r="AK55" s="13">
        <f t="shared" si="35"/>
        <v>54.87176918107798</v>
      </c>
      <c r="AL55" s="20">
        <f t="shared" si="4"/>
        <v>484.80575132371092</v>
      </c>
      <c r="AM55" s="59">
        <f t="shared" si="5"/>
        <v>741.24103078729422</v>
      </c>
      <c r="AN55" s="59">
        <f ca="1">AVERAGE(OFFSET($AM$3,0,0,'Données projet'!$E$10+1,1))-AVERAGE(OFFSET($H$3,0,0,'Données projet'!$E$10+1,1))</f>
        <v>312.51355033343896</v>
      </c>
      <c r="AO55" s="59">
        <f t="shared" si="36"/>
        <v>442.54749157177571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0.39183769853296047</v>
      </c>
      <c r="AV55" s="21">
        <f>EXP(-LN(2)/25)*AV54+(1-EXP(-LN(2)/25))/(LN(2)/25)*Calculateur!AQ55*Calculateur!AS55*VLOOKUP('Données projet'!$B$10,Paramètres!$A$1:$I$89,3,0)*0.475*44/12</f>
        <v>2.3306265472464105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2.7224642457793711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31"/>
        <v>53</v>
      </c>
      <c r="B56" s="73">
        <f>'Scénario référence'!$B$16*5+'Scénario référence'!$B$17*0+'Scénario référence'!$B$18*5</f>
        <v>5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1">
        <f t="shared" si="32"/>
        <v>0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6" s="11">
        <f>IF(OR('Scénario référence'!$F$8&gt;0,'Scénario référence'!$F$9&gt;0),('Scénario référence'!$F$8+'Scénario référence'!$F$9)*10,0)</f>
        <v>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67">
        <f t="shared" si="1"/>
        <v>183.33333333333334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0</v>
      </c>
      <c r="O56" s="13">
        <f>N56*VLOOKUP('Données projet'!$B$9,Paramètres!$A$1:$I$89,3,0)*VLOOKUP('Données projet'!$B$9,Paramètres!$A$1:$I$89,5,0)</f>
        <v>0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112.82287576550925</v>
      </c>
      <c r="T56" s="59">
        <f t="shared" si="34"/>
        <v>317.78570695363294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31.283491305228527</v>
      </c>
      <c r="AA56" s="21">
        <f>EXP(-LN(2)/25)*AA55+(1-EXP(-LN(2)/25))/(LN(2)/25)*Calculateur!V56*Calculateur!X56*VLOOKUP('Données projet'!$B$9,Paramètres!$A$1:$I$89,3,0)*0.475*44/12</f>
        <v>5.1411912951650294</v>
      </c>
      <c r="AB56" s="21">
        <f>EXP(-LN(2)/2)*AB55+(1-EXP(-LN(2)/2))/(LN(2)/2)*V56*Y56*VLOOKUP('Données projet'!$B$9,Paramètres!$A$1:$I$89,3,0)*0.475*44/12</f>
        <v>1.9778698938113117E-4</v>
      </c>
      <c r="AC56" s="22">
        <f t="shared" si="3"/>
        <v>36.424880387382935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0</v>
      </c>
      <c r="AI56" s="13">
        <f>IF('Données projet'!$A$62&gt;35,AI55+AH56-AQ55,IF(A56&lt;'Données projet'!$A$62,$AF$205^A56,IF(A56='Données projet'!$A$62,'Données projet'!$B$62,AI55+AH56-AQ55)))</f>
        <v>247.00000000000017</v>
      </c>
      <c r="AJ56" s="13">
        <f>AI56*VLOOKUP('Données projet'!$B$10,Paramètres!$A$1:$I$89,3,0)*VLOOKUP('Données projet'!$B$10,Paramètres!$A$1:$I$89,5,0)</f>
        <v>223.48560000000012</v>
      </c>
      <c r="AK56" s="13">
        <f t="shared" si="35"/>
        <v>54.87176918107798</v>
      </c>
      <c r="AL56" s="20">
        <f t="shared" si="4"/>
        <v>484.80575132371092</v>
      </c>
      <c r="AM56" s="59">
        <f t="shared" si="5"/>
        <v>741.88112953024415</v>
      </c>
      <c r="AN56" s="59">
        <f ca="1">AVERAGE(OFFSET($AM$3,0,0,'Données projet'!$E$10+1,1))-AVERAGE(OFFSET($H$3,0,0,'Données projet'!$E$10+1,1))</f>
        <v>312.51355033343896</v>
      </c>
      <c r="AO56" s="59">
        <f t="shared" si="36"/>
        <v>442.54749157177571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0.38415400026212621</v>
      </c>
      <c r="AV56" s="21">
        <f>EXP(-LN(2)/25)*AV55+(1-EXP(-LN(2)/25))/(LN(2)/25)*Calculateur!AQ56*Calculateur!AS56*VLOOKUP('Données projet'!$B$10,Paramètres!$A$1:$I$89,3,0)*0.475*44/12</f>
        <v>2.2668954417496341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2.6510494420117601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31"/>
        <v>54</v>
      </c>
      <c r="B57" s="73">
        <f>'Scénario référence'!$B$16*5+'Scénario référence'!$B$17*0+'Scénario référence'!$B$18*5</f>
        <v>5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1">
        <f t="shared" si="32"/>
        <v>0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7" s="11">
        <f>IF(OR('Scénario référence'!$F$8&gt;0,'Scénario référence'!$F$9&gt;0),('Scénario référence'!$F$8+'Scénario référence'!$F$9)*10,0)</f>
        <v>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67">
        <f t="shared" si="1"/>
        <v>183.33333333333334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0</v>
      </c>
      <c r="O57" s="13">
        <f>N57*VLOOKUP('Données projet'!$B$9,Paramètres!$A$1:$I$89,3,0)*VLOOKUP('Données projet'!$B$9,Paramètres!$A$1:$I$89,5,0)</f>
        <v>0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112.82287576550925</v>
      </c>
      <c r="T57" s="59">
        <f t="shared" si="34"/>
        <v>317.78570695363294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30.670041121778596</v>
      </c>
      <c r="AA57" s="21">
        <f>EXP(-LN(2)/25)*AA56+(1-EXP(-LN(2)/25))/(LN(2)/25)*Calculateur!V57*Calculateur!X57*VLOOKUP('Données projet'!$B$9,Paramètres!$A$1:$I$89,3,0)*0.475*44/12</f>
        <v>5.0006051488352421</v>
      </c>
      <c r="AB57" s="21">
        <f>EXP(-LN(2)/2)*AB56+(1-EXP(-LN(2)/2))/(LN(2)/2)*V57*Y57*VLOOKUP('Données projet'!$B$9,Paramètres!$A$1:$I$89,3,0)*0.475*44/12</f>
        <v>1.3985652142186952E-4</v>
      </c>
      <c r="AC57" s="22">
        <f t="shared" si="3"/>
        <v>35.670786127135258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0</v>
      </c>
      <c r="AI57" s="13">
        <f>IF('Données projet'!$A$62&gt;35,AI56+AH57-AQ56,IF(A57&lt;'Données projet'!$A$62,$AF$205^A57,IF(A57='Données projet'!$A$62,'Données projet'!$B$62,AI56+AH57-AQ56)))</f>
        <v>247.00000000000017</v>
      </c>
      <c r="AJ57" s="13">
        <f>AI57*VLOOKUP('Données projet'!$B$10,Paramètres!$A$1:$I$89,3,0)*VLOOKUP('Données projet'!$B$10,Paramètres!$A$1:$I$89,5,0)</f>
        <v>223.48560000000012</v>
      </c>
      <c r="AK57" s="13">
        <f t="shared" si="35"/>
        <v>54.87176918107798</v>
      </c>
      <c r="AL57" s="20">
        <f t="shared" si="4"/>
        <v>484.80575132371092</v>
      </c>
      <c r="AM57" s="59">
        <f t="shared" si="5"/>
        <v>742.51012399105025</v>
      </c>
      <c r="AN57" s="59">
        <f ca="1">AVERAGE(OFFSET($AM$3,0,0,'Données projet'!$E$10+1,1))-AVERAGE(OFFSET($H$3,0,0,'Données projet'!$E$10+1,1))</f>
        <v>312.51355033343896</v>
      </c>
      <c r="AO57" s="59">
        <f t="shared" si="36"/>
        <v>442.54749157177571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0.37662097462778982</v>
      </c>
      <c r="AV57" s="21">
        <f>EXP(-LN(2)/25)*AV56+(1-EXP(-LN(2)/25))/(LN(2)/25)*Calculateur!AQ57*Calculateur!AS57*VLOOKUP('Données projet'!$B$10,Paramètres!$A$1:$I$89,3,0)*0.475*44/12</f>
        <v>2.2049070666841399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2.5815280413119299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31"/>
        <v>55</v>
      </c>
      <c r="B58" s="73">
        <f>'Scénario référence'!$B$16*5+'Scénario référence'!$B$17*0+'Scénario référence'!$B$18*5</f>
        <v>5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1">
        <f t="shared" si="32"/>
        <v>0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8" s="11">
        <f>IF(OR('Scénario référence'!$F$8&gt;0,'Scénario référence'!$F$9&gt;0),('Scénario référence'!$F$8+'Scénario référence'!$F$9)*10,0)</f>
        <v>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67">
        <f t="shared" si="1"/>
        <v>183.33333333333334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0</v>
      </c>
      <c r="O58" s="13">
        <f>N58*VLOOKUP('Données projet'!$B$9,Paramètres!$A$1:$I$89,3,0)*VLOOKUP('Données projet'!$B$9,Paramètres!$A$1:$I$89,5,0)</f>
        <v>0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112.82287576550925</v>
      </c>
      <c r="T58" s="59">
        <f t="shared" si="34"/>
        <v>317.78570695363294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30.06862032225845</v>
      </c>
      <c r="AA58" s="21">
        <f>EXP(-LN(2)/25)*AA57+(1-EXP(-LN(2)/25))/(LN(2)/25)*Calculateur!V58*Calculateur!X58*VLOOKUP('Données projet'!$B$9,Paramètres!$A$1:$I$89,3,0)*0.475*44/12</f>
        <v>4.8638633380699465</v>
      </c>
      <c r="AB58" s="21">
        <f>EXP(-LN(2)/2)*AB57+(1-EXP(-LN(2)/2))/(LN(2)/2)*V58*Y58*VLOOKUP('Données projet'!$B$9,Paramètres!$A$1:$I$89,3,0)*0.475*44/12</f>
        <v>9.8893494690565587E-5</v>
      </c>
      <c r="AC58" s="22">
        <f t="shared" si="3"/>
        <v>34.932582553823082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0</v>
      </c>
      <c r="AI58" s="13">
        <f>IF('Données projet'!$A$62&gt;35,AI57+AH58-AQ57,IF(A58&lt;'Données projet'!$A$62,$AF$205^A58,IF(A58='Données projet'!$A$62,'Données projet'!$B$62,AI57+AH58-AQ57)))</f>
        <v>247.00000000000017</v>
      </c>
      <c r="AJ58" s="13">
        <f>AI58*VLOOKUP('Données projet'!$B$10,Paramètres!$A$1:$I$89,3,0)*VLOOKUP('Données projet'!$B$10,Paramètres!$A$1:$I$89,5,0)</f>
        <v>223.48560000000012</v>
      </c>
      <c r="AK58" s="13">
        <f t="shared" si="35"/>
        <v>54.87176918107798</v>
      </c>
      <c r="AL58" s="20">
        <f t="shared" si="4"/>
        <v>484.80575132371092</v>
      </c>
      <c r="AM58" s="59">
        <f t="shared" si="5"/>
        <v>743.12820680418235</v>
      </c>
      <c r="AN58" s="59">
        <f ca="1">AVERAGE(OFFSET($AM$3,0,0,'Données projet'!$E$10+1,1))-AVERAGE(OFFSET($H$3,0,0,'Données projet'!$E$10+1,1))</f>
        <v>312.51355033343896</v>
      </c>
      <c r="AO58" s="59">
        <f t="shared" si="36"/>
        <v>442.54749157177571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0.36923566703145078</v>
      </c>
      <c r="AV58" s="21">
        <f>EXP(-LN(2)/25)*AV57+(1-EXP(-LN(2)/25))/(LN(2)/25)*Calculateur!AQ58*Calculateur!AS58*VLOOKUP('Données projet'!$B$10,Paramètres!$A$1:$I$89,3,0)*0.475*44/12</f>
        <v>2.144613766994639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2.5138494340260897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31"/>
        <v>56</v>
      </c>
      <c r="B59" s="73">
        <f>'Scénario référence'!$B$16*5+'Scénario référence'!$B$17*0+'Scénario référence'!$B$18*5</f>
        <v>5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1">
        <f t="shared" si="32"/>
        <v>0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9" s="11">
        <f>IF(OR('Scénario référence'!$F$8&gt;0,'Scénario référence'!$F$9&gt;0),('Scénario référence'!$F$8+'Scénario référence'!$F$9)*10,0)</f>
        <v>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67">
        <f t="shared" si="1"/>
        <v>183.33333333333334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0</v>
      </c>
      <c r="O59" s="13">
        <f>N59*VLOOKUP('Données projet'!$B$9,Paramètres!$A$1:$I$89,3,0)*VLOOKUP('Données projet'!$B$9,Paramètres!$A$1:$I$89,5,0)</f>
        <v>0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112.82287576550925</v>
      </c>
      <c r="T59" s="59">
        <f t="shared" si="34"/>
        <v>317.78570695363294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29.478993017786429</v>
      </c>
      <c r="AA59" s="21">
        <f>EXP(-LN(2)/25)*AA58+(1-EXP(-LN(2)/25))/(LN(2)/25)*Calculateur!V59*Calculateur!X59*VLOOKUP('Données projet'!$B$9,Paramètres!$A$1:$I$89,3,0)*0.475*44/12</f>
        <v>4.7308607393109678</v>
      </c>
      <c r="AB59" s="21">
        <f>EXP(-LN(2)/2)*AB58+(1-EXP(-LN(2)/2))/(LN(2)/2)*V59*Y59*VLOOKUP('Données projet'!$B$9,Paramètres!$A$1:$I$89,3,0)*0.475*44/12</f>
        <v>6.9928260710934759E-5</v>
      </c>
      <c r="AC59" s="22">
        <f t="shared" si="3"/>
        <v>34.209923685358113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0</v>
      </c>
      <c r="AI59" s="13">
        <f>IF('Données projet'!$A$62&gt;35,AI58+AH59-AQ58,IF(A59&lt;'Données projet'!$A$62,$AF$205^A59,IF(A59='Données projet'!$A$62,'Données projet'!$B$62,AI58+AH59-AQ58)))</f>
        <v>247.00000000000017</v>
      </c>
      <c r="AJ59" s="13">
        <f>AI59*VLOOKUP('Données projet'!$B$10,Paramètres!$A$1:$I$89,3,0)*VLOOKUP('Données projet'!$B$10,Paramètres!$A$1:$I$89,5,0)</f>
        <v>223.48560000000012</v>
      </c>
      <c r="AK59" s="13">
        <f t="shared" si="35"/>
        <v>54.87176918107798</v>
      </c>
      <c r="AL59" s="20">
        <f t="shared" si="4"/>
        <v>484.80575132371092</v>
      </c>
      <c r="AM59" s="59">
        <f t="shared" si="5"/>
        <v>743.73556726233267</v>
      </c>
      <c r="AN59" s="59">
        <f ca="1">AVERAGE(OFFSET($AM$3,0,0,'Données projet'!$E$10+1,1))-AVERAGE(OFFSET($H$3,0,0,'Données projet'!$E$10+1,1))</f>
        <v>312.51355033343896</v>
      </c>
      <c r="AO59" s="59">
        <f t="shared" si="36"/>
        <v>442.54749157177571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0.36199518081248311</v>
      </c>
      <c r="AV59" s="21">
        <f>EXP(-LN(2)/25)*AV58+(1-EXP(-LN(2)/25))/(LN(2)/25)*Calculateur!AQ59*Calculateur!AS59*VLOOKUP('Données projet'!$B$10,Paramètres!$A$1:$I$89,3,0)*0.475*44/12</f>
        <v>2.0859691907558342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2.4479643715683173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31"/>
        <v>57</v>
      </c>
      <c r="B60" s="73">
        <f>'Scénario référence'!$B$16*5+'Scénario référence'!$B$17*0+'Scénario référence'!$B$18*5</f>
        <v>5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1">
        <f t="shared" si="32"/>
        <v>0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0" s="11">
        <f>IF(OR('Scénario référence'!$F$8&gt;0,'Scénario référence'!$F$9&gt;0),('Scénario référence'!$F$8+'Scénario référence'!$F$9)*10,0)</f>
        <v>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67">
        <f t="shared" si="1"/>
        <v>183.33333333333334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0</v>
      </c>
      <c r="O60" s="13">
        <f>N60*VLOOKUP('Données projet'!$B$9,Paramètres!$A$1:$I$89,3,0)*VLOOKUP('Données projet'!$B$9,Paramètres!$A$1:$I$89,5,0)</f>
        <v>0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112.82287576550925</v>
      </c>
      <c r="T60" s="59">
        <f t="shared" si="34"/>
        <v>317.78570695363294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28.90092794511796</v>
      </c>
      <c r="AA60" s="21">
        <f>EXP(-LN(2)/25)*AA59+(1-EXP(-LN(2)/25))/(LN(2)/25)*Calculateur!V60*Calculateur!X60*VLOOKUP('Données projet'!$B$9,Paramètres!$A$1:$I$89,3,0)*0.475*44/12</f>
        <v>4.6014951036093557</v>
      </c>
      <c r="AB60" s="21">
        <f>EXP(-LN(2)/2)*AB59+(1-EXP(-LN(2)/2))/(LN(2)/2)*V60*Y60*VLOOKUP('Données projet'!$B$9,Paramètres!$A$1:$I$89,3,0)*0.475*44/12</f>
        <v>4.9446747345282794E-5</v>
      </c>
      <c r="AC60" s="22">
        <f t="shared" si="3"/>
        <v>33.502472495474663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247.00000000000017</v>
      </c>
      <c r="AJ60" s="13">
        <f>AI60*VLOOKUP('Données projet'!$B$10,Paramètres!$A$1:$I$89,3,0)*VLOOKUP('Données projet'!$B$10,Paramètres!$A$1:$I$89,5,0)</f>
        <v>223.48560000000012</v>
      </c>
      <c r="AK60" s="13">
        <f t="shared" si="35"/>
        <v>54.87176918107798</v>
      </c>
      <c r="AL60" s="20">
        <f t="shared" si="4"/>
        <v>484.80575132371092</v>
      </c>
      <c r="AM60" s="59">
        <f t="shared" si="5"/>
        <v>744.33239137438864</v>
      </c>
      <c r="AN60" s="59">
        <f ca="1">AVERAGE(OFFSET($AM$3,0,0,'Données projet'!$E$10+1,1))-AVERAGE(OFFSET($H$3,0,0,'Données projet'!$E$10+1,1))</f>
        <v>312.51355033343896</v>
      </c>
      <c r="AO60" s="59">
        <f t="shared" si="36"/>
        <v>442.54749157177571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0.35489667611200887</v>
      </c>
      <c r="AV60" s="21">
        <f>EXP(-LN(2)/25)*AV59+(1-EXP(-LN(2)/25))/(LN(2)/25)*Calculateur!AQ60*Calculateur!AS60*VLOOKUP('Données projet'!$B$10,Paramètres!$A$1:$I$89,3,0)*0.475*44/12</f>
        <v>2.0289282535382638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2.3838249296502725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31"/>
        <v>58</v>
      </c>
      <c r="B61" s="73">
        <f>'Scénario référence'!$B$16*5+'Scénario référence'!$B$17*0+'Scénario référence'!$B$18*5</f>
        <v>5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1">
        <f t="shared" si="32"/>
        <v>0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1" s="11">
        <f>IF(OR('Scénario référence'!$F$8&gt;0,'Scénario référence'!$F$9&gt;0),('Scénario référence'!$F$8+'Scénario référence'!$F$9)*10,0)</f>
        <v>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67">
        <f t="shared" si="1"/>
        <v>183.33333333333334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0</v>
      </c>
      <c r="O61" s="13">
        <f>N61*VLOOKUP('Données projet'!$B$9,Paramètres!$A$1:$I$89,3,0)*VLOOKUP('Données projet'!$B$9,Paramètres!$A$1:$I$89,5,0)</f>
        <v>0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112.82287576550925</v>
      </c>
      <c r="T61" s="59">
        <f t="shared" si="34"/>
        <v>317.78570695363294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28.334198375939639</v>
      </c>
      <c r="AA61" s="21">
        <f>EXP(-LN(2)/25)*AA60+(1-EXP(-LN(2)/25))/(LN(2)/25)*Calculateur!V61*Calculateur!X61*VLOOKUP('Données projet'!$B$9,Paramètres!$A$1:$I$89,3,0)*0.475*44/12</f>
        <v>4.4756669780190474</v>
      </c>
      <c r="AB61" s="21">
        <f>EXP(-LN(2)/2)*AB60+(1-EXP(-LN(2)/2))/(LN(2)/2)*V61*Y61*VLOOKUP('Données projet'!$B$9,Paramètres!$A$1:$I$89,3,0)*0.475*44/12</f>
        <v>3.496413035546738E-5</v>
      </c>
      <c r="AC61" s="22">
        <f t="shared" si="3"/>
        <v>32.809900318089042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247.00000000000017</v>
      </c>
      <c r="AJ61" s="13">
        <f>AI61*VLOOKUP('Données projet'!$B$10,Paramètres!$A$1:$I$89,3,0)*VLOOKUP('Données projet'!$B$10,Paramètres!$A$1:$I$89,5,0)</f>
        <v>223.48560000000012</v>
      </c>
      <c r="AK61" s="13">
        <f t="shared" si="35"/>
        <v>54.87176918107798</v>
      </c>
      <c r="AL61" s="20">
        <f t="shared" si="4"/>
        <v>484.80575132371092</v>
      </c>
      <c r="AM61" s="59">
        <f t="shared" si="5"/>
        <v>744.9188619223994</v>
      </c>
      <c r="AN61" s="59">
        <f ca="1">AVERAGE(OFFSET($AM$3,0,0,'Données projet'!$E$10+1,1))-AVERAGE(OFFSET($H$3,0,0,'Données projet'!$E$10+1,1))</f>
        <v>312.51355033343896</v>
      </c>
      <c r="AO61" s="59">
        <f t="shared" si="36"/>
        <v>442.54749157177571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0.34793736875905062</v>
      </c>
      <c r="AV61" s="21">
        <f>EXP(-LN(2)/25)*AV60+(1-EXP(-LN(2)/25))/(LN(2)/25)*Calculateur!AQ61*Calculateur!AS61*VLOOKUP('Données projet'!$B$10,Paramètres!$A$1:$I$89,3,0)*0.475*44/12</f>
        <v>1.9734471037485604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2.3213844725076109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31"/>
        <v>59</v>
      </c>
      <c r="B62" s="73">
        <f>'Scénario référence'!$B$16*5+'Scénario référence'!$B$17*0+'Scénario référence'!$B$18*5</f>
        <v>5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1">
        <f t="shared" si="32"/>
        <v>0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2" s="11">
        <f>IF(OR('Scénario référence'!$F$8&gt;0,'Scénario référence'!$F$9&gt;0),('Scénario référence'!$F$8+'Scénario référence'!$F$9)*10,0)</f>
        <v>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67">
        <f t="shared" si="1"/>
        <v>183.33333333333334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0</v>
      </c>
      <c r="O62" s="13">
        <f>N62*VLOOKUP('Données projet'!$B$9,Paramètres!$A$1:$I$89,3,0)*VLOOKUP('Données projet'!$B$9,Paramètres!$A$1:$I$89,5,0)</f>
        <v>0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112.82287576550925</v>
      </c>
      <c r="T62" s="59">
        <f t="shared" si="34"/>
        <v>317.78570695363294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27.778582027942001</v>
      </c>
      <c r="AA62" s="21">
        <f>EXP(-LN(2)/25)*AA61+(1-EXP(-LN(2)/25))/(LN(2)/25)*Calculateur!V62*Calculateur!X62*VLOOKUP('Données projet'!$B$9,Paramètres!$A$1:$I$89,3,0)*0.475*44/12</f>
        <v>4.3532796291400198</v>
      </c>
      <c r="AB62" s="21">
        <f>EXP(-LN(2)/2)*AB61+(1-EXP(-LN(2)/2))/(LN(2)/2)*V62*Y62*VLOOKUP('Données projet'!$B$9,Paramètres!$A$1:$I$89,3,0)*0.475*44/12</f>
        <v>2.4723373672641397E-5</v>
      </c>
      <c r="AC62" s="22">
        <f t="shared" si="3"/>
        <v>32.13188638045569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247.00000000000017</v>
      </c>
      <c r="AJ62" s="13">
        <f>AI62*VLOOKUP('Données projet'!$B$10,Paramètres!$A$1:$I$89,3,0)*VLOOKUP('Données projet'!$B$10,Paramètres!$A$1:$I$89,5,0)</f>
        <v>223.48560000000012</v>
      </c>
      <c r="AK62" s="13">
        <f t="shared" si="35"/>
        <v>54.87176918107798</v>
      </c>
      <c r="AL62" s="20">
        <f t="shared" si="4"/>
        <v>484.80575132371092</v>
      </c>
      <c r="AM62" s="59">
        <f t="shared" si="5"/>
        <v>745.4951585175537</v>
      </c>
      <c r="AN62" s="59">
        <f ca="1">AVERAGE(OFFSET($AM$3,0,0,'Données projet'!$E$10+1,1))-AVERAGE(OFFSET($H$3,0,0,'Données projet'!$E$10+1,1))</f>
        <v>312.51355033343896</v>
      </c>
      <c r="AO62" s="59">
        <f t="shared" si="36"/>
        <v>442.54749157177571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0.34111452917852553</v>
      </c>
      <c r="AV62" s="21">
        <f>EXP(-LN(2)/25)*AV61+(1-EXP(-LN(2)/25))/(LN(2)/25)*Calculateur!AQ62*Calculateur!AS62*VLOOKUP('Données projet'!$B$10,Paramètres!$A$1:$I$89,3,0)*0.475*44/12</f>
        <v>1.9194830889174832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2.2605976180960088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31"/>
        <v>60</v>
      </c>
      <c r="B63" s="73">
        <f>'Scénario référence'!$B$16*5+'Scénario référence'!$B$17*0+'Scénario référence'!$B$18*5</f>
        <v>5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1">
        <f t="shared" si="32"/>
        <v>0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3" s="11">
        <f>IF(OR('Scénario référence'!$F$8&gt;0,'Scénario référence'!$F$9&gt;0),('Scénario référence'!$F$8+'Scénario référence'!$F$9)*10,0)</f>
        <v>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67">
        <f t="shared" si="1"/>
        <v>183.33333333333334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0</v>
      </c>
      <c r="O63" s="13">
        <f>N63*VLOOKUP('Données projet'!$B$9,Paramètres!$A$1:$I$89,3,0)*VLOOKUP('Données projet'!$B$9,Paramètres!$A$1:$I$89,5,0)</f>
        <v>0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112.82287576550925</v>
      </c>
      <c r="T63" s="59">
        <f t="shared" si="34"/>
        <v>317.78570695363294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27.233860977636088</v>
      </c>
      <c r="AA63" s="21">
        <f>EXP(-LN(2)/25)*AA62+(1-EXP(-LN(2)/25))/(LN(2)/25)*Calculateur!V63*Calculateur!X63*VLOOKUP('Données projet'!$B$9,Paramètres!$A$1:$I$89,3,0)*0.475*44/12</f>
        <v>4.2342389687521598</v>
      </c>
      <c r="AB63" s="21">
        <f>EXP(-LN(2)/2)*AB62+(1-EXP(-LN(2)/2))/(LN(2)/2)*V63*Y63*VLOOKUP('Données projet'!$B$9,Paramètres!$A$1:$I$89,3,0)*0.475*44/12</f>
        <v>1.748206517773369E-5</v>
      </c>
      <c r="AC63" s="22">
        <f t="shared" si="3"/>
        <v>31.468117428453425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247.00000000000017</v>
      </c>
      <c r="AJ63" s="13">
        <f>AI63*VLOOKUP('Données projet'!$B$10,Paramètres!$A$1:$I$89,3,0)*VLOOKUP('Données projet'!$B$10,Paramètres!$A$1:$I$89,5,0)</f>
        <v>223.48560000000012</v>
      </c>
      <c r="AK63" s="13">
        <f t="shared" si="35"/>
        <v>54.87176918107798</v>
      </c>
      <c r="AL63" s="20">
        <f t="shared" si="4"/>
        <v>484.80575132371092</v>
      </c>
      <c r="AM63" s="59">
        <f t="shared" si="5"/>
        <v>746.06145765518841</v>
      </c>
      <c r="AN63" s="59">
        <f ca="1">AVERAGE(OFFSET($AM$3,0,0,'Données projet'!$E$10+1,1))-AVERAGE(OFFSET($H$3,0,0,'Données projet'!$E$10+1,1))</f>
        <v>312.51355033343896</v>
      </c>
      <c r="AO63" s="59">
        <f t="shared" si="36"/>
        <v>442.54749157177571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0.33442548132065331</v>
      </c>
      <c r="AV63" s="21">
        <f>EXP(-LN(2)/25)*AV62+(1-EXP(-LN(2)/25))/(LN(2)/25)*Calculateur!AQ63*Calculateur!AS63*VLOOKUP('Données projet'!$B$10,Paramètres!$A$1:$I$89,3,0)*0.475*44/12</f>
        <v>1.8669947229098061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2.2014202042304594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31"/>
        <v>61</v>
      </c>
      <c r="B64" s="73">
        <f>'Scénario référence'!$B$16*5+'Scénario référence'!$B$17*0+'Scénario référence'!$B$18*5</f>
        <v>5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1">
        <f t="shared" si="32"/>
        <v>0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4" s="11">
        <f>IF(OR('Scénario référence'!$F$8&gt;0,'Scénario référence'!$F$9&gt;0),('Scénario référence'!$F$8+'Scénario référence'!$F$9)*10,0)</f>
        <v>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67">
        <f t="shared" si="1"/>
        <v>183.33333333333334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0</v>
      </c>
      <c r="O64" s="13">
        <f>N64*VLOOKUP('Données projet'!$B$9,Paramètres!$A$1:$I$89,3,0)*VLOOKUP('Données projet'!$B$9,Paramètres!$A$1:$I$89,5,0)</f>
        <v>0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112.82287576550925</v>
      </c>
      <c r="T64" s="59">
        <f t="shared" si="34"/>
        <v>317.78570695363294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26.699821574879639</v>
      </c>
      <c r="AA64" s="21">
        <f>EXP(-LN(2)/25)*AA63+(1-EXP(-LN(2)/25))/(LN(2)/25)*Calculateur!V64*Calculateur!X64*VLOOKUP('Données projet'!$B$9,Paramètres!$A$1:$I$89,3,0)*0.475*44/12</f>
        <v>4.1184534814826819</v>
      </c>
      <c r="AB64" s="21">
        <f>EXP(-LN(2)/2)*AB63+(1-EXP(-LN(2)/2))/(LN(2)/2)*V64*Y64*VLOOKUP('Données projet'!$B$9,Paramètres!$A$1:$I$89,3,0)*0.475*44/12</f>
        <v>1.2361686836320698E-5</v>
      </c>
      <c r="AC64" s="22">
        <f t="shared" si="3"/>
        <v>30.818287418049156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247.00000000000017</v>
      </c>
      <c r="AJ64" s="13">
        <f>AI64*VLOOKUP('Données projet'!$B$10,Paramètres!$A$1:$I$89,3,0)*VLOOKUP('Données projet'!$B$10,Paramètres!$A$1:$I$89,5,0)</f>
        <v>223.48560000000012</v>
      </c>
      <c r="AK64" s="13">
        <f t="shared" si="35"/>
        <v>54.87176918107798</v>
      </c>
      <c r="AL64" s="20">
        <f t="shared" si="4"/>
        <v>484.80575132371092</v>
      </c>
      <c r="AM64" s="59">
        <f t="shared" si="5"/>
        <v>746.61793276884032</v>
      </c>
      <c r="AN64" s="59">
        <f ca="1">AVERAGE(OFFSET($AM$3,0,0,'Données projet'!$E$10+1,1))-AVERAGE(OFFSET($H$3,0,0,'Données projet'!$E$10+1,1))</f>
        <v>312.51355033343896</v>
      </c>
      <c r="AO64" s="59">
        <f t="shared" si="36"/>
        <v>442.54749157177571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0.32786760161135758</v>
      </c>
      <c r="AV64" s="21">
        <f>EXP(-LN(2)/25)*AV63+(1-EXP(-LN(2)/25))/(LN(2)/25)*Calculateur!AQ64*Calculateur!AS64*VLOOKUP('Données projet'!$B$10,Paramètres!$A$1:$I$89,3,0)*0.475*44/12</f>
        <v>1.8159416540308519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2.1438092556422097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31"/>
        <v>62</v>
      </c>
      <c r="B65" s="73">
        <f>'Scénario référence'!$B$16*5+'Scénario référence'!$B$17*0+'Scénario référence'!$B$18*5</f>
        <v>5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1">
        <f t="shared" si="32"/>
        <v>0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5" s="11">
        <f>IF(OR('Scénario référence'!$F$8&gt;0,'Scénario référence'!$F$9&gt;0),('Scénario référence'!$F$8+'Scénario référence'!$F$9)*10,0)</f>
        <v>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67">
        <f t="shared" si="1"/>
        <v>183.33333333333334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0</v>
      </c>
      <c r="O65" s="13">
        <f>N65*VLOOKUP('Données projet'!$B$9,Paramètres!$A$1:$I$89,3,0)*VLOOKUP('Données projet'!$B$9,Paramètres!$A$1:$I$89,5,0)</f>
        <v>0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112.82287576550925</v>
      </c>
      <c r="T65" s="59">
        <f t="shared" si="34"/>
        <v>317.78570695363294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26.176254359079373</v>
      </c>
      <c r="AA65" s="21">
        <f>EXP(-LN(2)/25)*AA64+(1-EXP(-LN(2)/25))/(LN(2)/25)*Calculateur!V65*Calculateur!X65*VLOOKUP('Données projet'!$B$9,Paramètres!$A$1:$I$89,3,0)*0.475*44/12</f>
        <v>4.0058341544514819</v>
      </c>
      <c r="AB65" s="21">
        <f>EXP(-LN(2)/2)*AB64+(1-EXP(-LN(2)/2))/(LN(2)/2)*V65*Y65*VLOOKUP('Données projet'!$B$9,Paramètres!$A$1:$I$89,3,0)*0.475*44/12</f>
        <v>8.7410325888668449E-6</v>
      </c>
      <c r="AC65" s="22">
        <f t="shared" si="3"/>
        <v>30.182097254563441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247.00000000000017</v>
      </c>
      <c r="AJ65" s="13">
        <f>AI65*VLOOKUP('Données projet'!$B$10,Paramètres!$A$1:$I$89,3,0)*VLOOKUP('Données projet'!$B$10,Paramètres!$A$1:$I$89,5,0)</f>
        <v>223.48560000000012</v>
      </c>
      <c r="AK65" s="13">
        <f t="shared" si="35"/>
        <v>54.87176918107798</v>
      </c>
      <c r="AL65" s="20">
        <f t="shared" si="4"/>
        <v>484.80575132371092</v>
      </c>
      <c r="AM65" s="59">
        <f t="shared" si="5"/>
        <v>747.1647542833623</v>
      </c>
      <c r="AN65" s="59">
        <f ca="1">AVERAGE(OFFSET($AM$3,0,0,'Données projet'!$E$10+1,1))-AVERAGE(OFFSET($H$3,0,0,'Données projet'!$E$10+1,1))</f>
        <v>312.51355033343896</v>
      </c>
      <c r="AO65" s="59">
        <f t="shared" si="36"/>
        <v>442.54749157177571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0.32143831792324951</v>
      </c>
      <c r="AV65" s="21">
        <f>EXP(-LN(2)/25)*AV64+(1-EXP(-LN(2)/25))/(LN(2)/25)*Calculateur!AQ65*Calculateur!AS65*VLOOKUP('Données projet'!$B$10,Paramètres!$A$1:$I$89,3,0)*0.475*44/12</f>
        <v>1.766284634005157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2.0877229519284066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31"/>
        <v>63</v>
      </c>
      <c r="B66" s="73">
        <f>'Scénario référence'!$B$16*5+'Scénario référence'!$B$17*0+'Scénario référence'!$B$18*5</f>
        <v>5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1">
        <f t="shared" si="32"/>
        <v>0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6" s="11">
        <f>IF(OR('Scénario référence'!$F$8&gt;0,'Scénario référence'!$F$9&gt;0),('Scénario référence'!$F$8+'Scénario référence'!$F$9)*10,0)</f>
        <v>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67">
        <f t="shared" si="1"/>
        <v>183.33333333333334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112.82287576550925</v>
      </c>
      <c r="T66" s="59">
        <f t="shared" si="34"/>
        <v>317.78570695363294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25.66295397703648</v>
      </c>
      <c r="AA66" s="21">
        <f>EXP(-LN(2)/25)*AA65+(1-EXP(-LN(2)/25))/(LN(2)/25)*Calculateur!V66*Calculateur!X66*VLOOKUP('Données projet'!$B$9,Paramètres!$A$1:$I$89,3,0)*0.475*44/12</f>
        <v>3.8962944088403435</v>
      </c>
      <c r="AB66" s="21">
        <f>EXP(-LN(2)/2)*AB65+(1-EXP(-LN(2)/2))/(LN(2)/2)*V66*Y66*VLOOKUP('Données projet'!$B$9,Paramètres!$A$1:$I$89,3,0)*0.475*44/12</f>
        <v>6.1808434181603492E-6</v>
      </c>
      <c r="AC66" s="22">
        <f t="shared" si="3"/>
        <v>29.559254566720242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247.00000000000017</v>
      </c>
      <c r="AJ66" s="13">
        <f>AI66*VLOOKUP('Données projet'!$B$10,Paramètres!$A$1:$I$89,3,0)*VLOOKUP('Données projet'!$B$10,Paramètres!$A$1:$I$89,5,0)</f>
        <v>223.48560000000012</v>
      </c>
      <c r="AK66" s="13">
        <f t="shared" si="35"/>
        <v>54.87176918107798</v>
      </c>
      <c r="AL66" s="20">
        <f t="shared" si="4"/>
        <v>484.80575132371092</v>
      </c>
      <c r="AM66" s="59">
        <f t="shared" si="5"/>
        <v>747.70208966711698</v>
      </c>
      <c r="AN66" s="59">
        <f ca="1">AVERAGE(OFFSET($AM$3,0,0,'Données projet'!$E$10+1,1))-AVERAGE(OFFSET($H$3,0,0,'Données projet'!$E$10+1,1))</f>
        <v>312.51355033343896</v>
      </c>
      <c r="AO66" s="59">
        <f t="shared" si="36"/>
        <v>442.54749157177571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0.31513510856678939</v>
      </c>
      <c r="AV66" s="21">
        <f>EXP(-LN(2)/25)*AV65+(1-EXP(-LN(2)/25))/(LN(2)/25)*Calculateur!AQ66*Calculateur!AS66*VLOOKUP('Données projet'!$B$10,Paramètres!$A$1:$I$89,3,0)*0.475*44/12</f>
        <v>1.717985487803414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2.0331205963702033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31"/>
        <v>64</v>
      </c>
      <c r="B67" s="73">
        <f>'Scénario référence'!$B$16*5+'Scénario référence'!$B$17*0+'Scénario référence'!$B$18*5</f>
        <v>5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1">
        <f t="shared" si="32"/>
        <v>0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7" s="11">
        <f>IF(OR('Scénario référence'!$F$8&gt;0,'Scénario référence'!$F$9&gt;0),('Scénario référence'!$F$8+'Scénario référence'!$F$9)*10,0)</f>
        <v>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67">
        <f t="shared" si="1"/>
        <v>183.33333333333334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112.82287576550925</v>
      </c>
      <c r="T67" s="59">
        <f t="shared" si="34"/>
        <v>317.78570695363294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25.15971910240313</v>
      </c>
      <c r="AA67" s="21">
        <f>EXP(-LN(2)/25)*AA66+(1-EXP(-LN(2)/25))/(LN(2)/25)*Calculateur!V67*Calculateur!X67*VLOOKUP('Données projet'!$B$9,Paramètres!$A$1:$I$89,3,0)*0.475*44/12</f>
        <v>3.7897500333333864</v>
      </c>
      <c r="AB67" s="21">
        <f>EXP(-LN(2)/2)*AB66+(1-EXP(-LN(2)/2))/(LN(2)/2)*V67*Y67*VLOOKUP('Données projet'!$B$9,Paramètres!$A$1:$I$89,3,0)*0.475*44/12</f>
        <v>4.3705162944334225E-6</v>
      </c>
      <c r="AC67" s="22">
        <f t="shared" si="3"/>
        <v>28.949473506252811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247.00000000000017</v>
      </c>
      <c r="AJ67" s="13">
        <f>AI67*VLOOKUP('Données projet'!$B$10,Paramètres!$A$1:$I$89,3,0)*VLOOKUP('Données projet'!$B$10,Paramètres!$A$1:$I$89,5,0)</f>
        <v>223.48560000000012</v>
      </c>
      <c r="AK67" s="13">
        <f t="shared" si="35"/>
        <v>54.87176918107798</v>
      </c>
      <c r="AL67" s="20">
        <f t="shared" si="4"/>
        <v>484.80575132371092</v>
      </c>
      <c r="AM67" s="59">
        <f t="shared" si="5"/>
        <v>748.23010348326568</v>
      </c>
      <c r="AN67" s="59">
        <f ca="1">AVERAGE(OFFSET($AM$3,0,0,'Données projet'!$E$10+1,1))-AVERAGE(OFFSET($H$3,0,0,'Données projet'!$E$10+1,1))</f>
        <v>312.51355033343896</v>
      </c>
      <c r="AO67" s="59">
        <f t="shared" si="36"/>
        <v>442.54749157177571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0.30895550130123139</v>
      </c>
      <c r="AV67" s="21">
        <f>EXP(-LN(2)/25)*AV66+(1-EXP(-LN(2)/25))/(LN(2)/25)*Calculateur!AQ67*Calculateur!AS67*VLOOKUP('Données projet'!$B$10,Paramètres!$A$1:$I$89,3,0)*0.475*44/12</f>
        <v>1.6710070842944993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1.9799625855957306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5">
      <c r="A68" s="10">
        <f t="shared" si="31"/>
        <v>65</v>
      </c>
      <c r="B68" s="73">
        <f>'Scénario référence'!$B$16*5+'Scénario référence'!$B$17*0+'Scénario référence'!$B$18*5</f>
        <v>5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1">
        <f t="shared" si="32"/>
        <v>0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8" s="11">
        <f>IF(OR('Scénario référence'!$F$8&gt;0,'Scénario référence'!$F$9&gt;0),('Scénario référence'!$F$8+'Scénario référence'!$F$9)*10,0)</f>
        <v>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67">
        <f t="shared" ref="H68:H131" si="56">(B68+E68+F68)*44/12+(C68+D68)*0.475*44/12</f>
        <v>183.33333333333334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112.82287576550925</v>
      </c>
      <c r="T68" s="59">
        <f t="shared" si="34"/>
        <v>317.78570695363294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24.666352356718374</v>
      </c>
      <c r="AA68" s="21">
        <f>EXP(-LN(2)/25)*AA67+(1-EXP(-LN(2)/25))/(LN(2)/25)*Calculateur!V68*Calculateur!X68*VLOOKUP('Données projet'!$B$9,Paramètres!$A$1:$I$89,3,0)*0.475*44/12</f>
        <v>3.6861191193775924</v>
      </c>
      <c r="AB68" s="21">
        <f>EXP(-LN(2)/2)*AB67+(1-EXP(-LN(2)/2))/(LN(2)/2)*V68*Y68*VLOOKUP('Données projet'!$B$9,Paramètres!$A$1:$I$89,3,0)*0.475*44/12</f>
        <v>3.0904217090801746E-6</v>
      </c>
      <c r="AC68" s="22">
        <f t="shared" ref="AC68:AC131" si="57">SUM(Z68:AB68)</f>
        <v>28.352474566517678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247.00000000000017</v>
      </c>
      <c r="AJ68" s="13">
        <f>AI68*VLOOKUP('Données projet'!$B$10,Paramètres!$A$1:$I$89,3,0)*VLOOKUP('Données projet'!$B$10,Paramètres!$A$1:$I$89,5,0)</f>
        <v>223.48560000000012</v>
      </c>
      <c r="AK68" s="13">
        <f t="shared" si="35"/>
        <v>54.87176918107798</v>
      </c>
      <c r="AL68" s="20">
        <f t="shared" ref="AL68:AL131" si="58">(AJ68+AK68)*0.475*44/12</f>
        <v>484.80575132371092</v>
      </c>
      <c r="AM68" s="59">
        <f t="shared" ref="AM68:AM131" si="59">AL68+(AD68+AE68)*44/12</f>
        <v>748.74895744016612</v>
      </c>
      <c r="AN68" s="59">
        <f ca="1">AVERAGE(OFFSET($AM$3,0,0,'Données projet'!$E$10+1,1))-AVERAGE(OFFSET($H$3,0,0,'Données projet'!$E$10+1,1))</f>
        <v>312.51355033343896</v>
      </c>
      <c r="AO68" s="59">
        <f t="shared" si="36"/>
        <v>442.54749157177571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0.30289707236496272</v>
      </c>
      <c r="AV68" s="21">
        <f>EXP(-LN(2)/25)*AV67+(1-EXP(-LN(2)/25))/(LN(2)/25)*Calculateur!AQ68*Calculateur!AS68*VLOOKUP('Données projet'!$B$10,Paramètres!$A$1:$I$89,3,0)*0.475*44/12</f>
        <v>1.6253133077000228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1.9282103800649855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5">
      <c r="A69" s="10">
        <f t="shared" ref="A69:A132" si="85">A68+1</f>
        <v>66</v>
      </c>
      <c r="B69" s="73">
        <f>'Scénario référence'!$B$16*5+'Scénario référence'!$B$17*0+'Scénario référence'!$B$18*5</f>
        <v>5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1">
        <f t="shared" ref="D69:D132" si="86">IFERROR(EXP(-1.0587+0.8836*LN(C69)+0.284),0)</f>
        <v>0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9" s="11">
        <f>IF(OR('Scénario référence'!$F$8&gt;0,'Scénario référence'!$F$9&gt;0),('Scénario référence'!$F$8+'Scénario référence'!$F$9)*10,0)</f>
        <v>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67">
        <f t="shared" si="56"/>
        <v>183.33333333333334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112.82287576550925</v>
      </c>
      <c r="T69" s="59">
        <f t="shared" ref="T69:T132" si="88">$T$3</f>
        <v>317.78570695363294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24.182660231992493</v>
      </c>
      <c r="AA69" s="21">
        <f>EXP(-LN(2)/25)*AA68+(1-EXP(-LN(2)/25))/(LN(2)/25)*Calculateur!V69*Calculateur!X69*VLOOKUP('Données projet'!$B$9,Paramètres!$A$1:$I$89,3,0)*0.475*44/12</f>
        <v>3.5853219982136322</v>
      </c>
      <c r="AB69" s="21">
        <f>EXP(-LN(2)/2)*AB68+(1-EXP(-LN(2)/2))/(LN(2)/2)*V69*Y69*VLOOKUP('Données projet'!$B$9,Paramètres!$A$1:$I$89,3,0)*0.475*44/12</f>
        <v>2.1852581472167112E-6</v>
      </c>
      <c r="AC69" s="22">
        <f t="shared" si="57"/>
        <v>27.767984415464273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247.00000000000017</v>
      </c>
      <c r="AJ69" s="13">
        <f>AI69*VLOOKUP('Données projet'!$B$10,Paramètres!$A$1:$I$89,3,0)*VLOOKUP('Données projet'!$B$10,Paramètres!$A$1:$I$89,5,0)</f>
        <v>223.48560000000012</v>
      </c>
      <c r="AK69" s="13">
        <f t="shared" ref="AK69:AK132" si="89">EXP(-1.0587+0.8836*LN(AJ69)+0.284)</f>
        <v>54.87176918107798</v>
      </c>
      <c r="AL69" s="20">
        <f t="shared" si="58"/>
        <v>484.80575132371092</v>
      </c>
      <c r="AM69" s="59">
        <f t="shared" si="59"/>
        <v>749.25881044089806</v>
      </c>
      <c r="AN69" s="59">
        <f ca="1">AVERAGE(OFFSET($AM$3,0,0,'Données projet'!$E$10+1,1))-AVERAGE(OFFSET($H$3,0,0,'Données projet'!$E$10+1,1))</f>
        <v>312.51355033343896</v>
      </c>
      <c r="AO69" s="59">
        <f t="shared" ref="AO69:AO132" si="90">$AO$3</f>
        <v>442.54749157177571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0.29695744552485748</v>
      </c>
      <c r="AV69" s="21">
        <f>EXP(-LN(2)/25)*AV68+(1-EXP(-LN(2)/25))/(LN(2)/25)*Calculateur!AQ69*Calculateur!AS69*VLOOKUP('Données projet'!$B$10,Paramètres!$A$1:$I$89,3,0)*0.475*44/12</f>
        <v>1.5808690298294534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1.8778264753543108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5">
      <c r="A70" s="10">
        <f t="shared" si="85"/>
        <v>67</v>
      </c>
      <c r="B70" s="73">
        <f>'Scénario référence'!$B$16*5+'Scénario référence'!$B$17*0+'Scénario référence'!$B$18*5</f>
        <v>5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1">
        <f t="shared" si="86"/>
        <v>0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0" s="11">
        <f>IF(OR('Scénario référence'!$F$8&gt;0,'Scénario référence'!$F$9&gt;0),('Scénario référence'!$F$8+'Scénario référence'!$F$9)*10,0)</f>
        <v>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67">
        <f t="shared" si="56"/>
        <v>183.33333333333334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112.82287576550925</v>
      </c>
      <c r="T70" s="59">
        <f t="shared" si="88"/>
        <v>317.78570695363294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23.708453014809425</v>
      </c>
      <c r="AA70" s="21">
        <f>EXP(-LN(2)/25)*AA69+(1-EXP(-LN(2)/25))/(LN(2)/25)*Calculateur!V70*Calculateur!X70*VLOOKUP('Données projet'!$B$9,Paramètres!$A$1:$I$89,3,0)*0.475*44/12</f>
        <v>3.487281179628591</v>
      </c>
      <c r="AB70" s="21">
        <f>EXP(-LN(2)/2)*AB69+(1-EXP(-LN(2)/2))/(LN(2)/2)*V70*Y70*VLOOKUP('Données projet'!$B$9,Paramètres!$A$1:$I$89,3,0)*0.475*44/12</f>
        <v>1.5452108545400873E-6</v>
      </c>
      <c r="AC70" s="22">
        <f t="shared" si="57"/>
        <v>27.195735739648871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247.00000000000017</v>
      </c>
      <c r="AJ70" s="13">
        <f>AI70*VLOOKUP('Données projet'!$B$10,Paramètres!$A$1:$I$89,3,0)*VLOOKUP('Données projet'!$B$10,Paramètres!$A$1:$I$89,5,0)</f>
        <v>223.48560000000012</v>
      </c>
      <c r="AK70" s="13">
        <f t="shared" si="89"/>
        <v>54.87176918107798</v>
      </c>
      <c r="AL70" s="20">
        <f t="shared" si="58"/>
        <v>484.80575132371092</v>
      </c>
      <c r="AM70" s="59">
        <f t="shared" si="59"/>
        <v>749.75981863192783</v>
      </c>
      <c r="AN70" s="59">
        <f ca="1">AVERAGE(OFFSET($AM$3,0,0,'Données projet'!$E$10+1,1))-AVERAGE(OFFSET($H$3,0,0,'Données projet'!$E$10+1,1))</f>
        <v>312.51355033343896</v>
      </c>
      <c r="AO70" s="59">
        <f t="shared" si="90"/>
        <v>442.54749157177571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0.29113429114427208</v>
      </c>
      <c r="AV70" s="21">
        <f>EXP(-LN(2)/25)*AV69+(1-EXP(-LN(2)/25))/(LN(2)/25)*Calculateur!AQ70*Calculateur!AS70*VLOOKUP('Données projet'!$B$10,Paramètres!$A$1:$I$89,3,0)*0.475*44/12</f>
        <v>1.5376400830744779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1.8287743742187499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5">
      <c r="A71" s="10">
        <f t="shared" si="85"/>
        <v>68</v>
      </c>
      <c r="B71" s="73">
        <f>'Scénario référence'!$B$16*5+'Scénario référence'!$B$17*0+'Scénario référence'!$B$18*5</f>
        <v>5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1">
        <f t="shared" si="86"/>
        <v>0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1" s="11">
        <f>IF(OR('Scénario référence'!$F$8&gt;0,'Scénario référence'!$F$9&gt;0),('Scénario référence'!$F$8+'Scénario référence'!$F$9)*10,0)</f>
        <v>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67">
        <f t="shared" si="56"/>
        <v>183.33333333333334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112.82287576550925</v>
      </c>
      <c r="T71" s="59">
        <f t="shared" si="88"/>
        <v>317.78570695363294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23.243544711917473</v>
      </c>
      <c r="AA71" s="21">
        <f>EXP(-LN(2)/25)*AA70+(1-EXP(-LN(2)/25))/(LN(2)/25)*Calculateur!V71*Calculateur!X71*VLOOKUP('Données projet'!$B$9,Paramètres!$A$1:$I$89,3,0)*0.475*44/12</f>
        <v>3.3919212923835</v>
      </c>
      <c r="AB71" s="21">
        <f>EXP(-LN(2)/2)*AB70+(1-EXP(-LN(2)/2))/(LN(2)/2)*V71*Y71*VLOOKUP('Données projet'!$B$9,Paramètres!$A$1:$I$89,3,0)*0.475*44/12</f>
        <v>1.0926290736083556E-6</v>
      </c>
      <c r="AC71" s="22">
        <f t="shared" si="57"/>
        <v>26.635467096930046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247.00000000000017</v>
      </c>
      <c r="AJ71" s="13">
        <f>AI71*VLOOKUP('Données projet'!$B$10,Paramètres!$A$1:$I$89,3,0)*VLOOKUP('Données projet'!$B$10,Paramètres!$A$1:$I$89,5,0)</f>
        <v>223.48560000000012</v>
      </c>
      <c r="AK71" s="13">
        <f t="shared" si="89"/>
        <v>54.87176918107798</v>
      </c>
      <c r="AL71" s="20">
        <f t="shared" si="58"/>
        <v>484.80575132371092</v>
      </c>
      <c r="AM71" s="59">
        <f t="shared" si="59"/>
        <v>750.2521354509297</v>
      </c>
      <c r="AN71" s="59">
        <f ca="1">AVERAGE(OFFSET($AM$3,0,0,'Données projet'!$E$10+1,1))-AVERAGE(OFFSET($H$3,0,0,'Données projet'!$E$10+1,1))</f>
        <v>312.51355033343896</v>
      </c>
      <c r="AO71" s="59">
        <f t="shared" si="90"/>
        <v>442.54749157177571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0.28542532526931647</v>
      </c>
      <c r="AV71" s="21">
        <f>EXP(-LN(2)/25)*AV70+(1-EXP(-LN(2)/25))/(LN(2)/25)*Calculateur!AQ71*Calculateur!AS71*VLOOKUP('Données projet'!$B$10,Paramètres!$A$1:$I$89,3,0)*0.475*44/12</f>
        <v>1.4955932341418285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1.781018559411145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5">
      <c r="A72" s="10">
        <f t="shared" si="85"/>
        <v>69</v>
      </c>
      <c r="B72" s="73">
        <f>'Scénario référence'!$B$16*5+'Scénario référence'!$B$17*0+'Scénario référence'!$B$18*5</f>
        <v>5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1">
        <f t="shared" si="86"/>
        <v>0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2" s="11">
        <f>IF(OR('Scénario référence'!$F$8&gt;0,'Scénario référence'!$F$9&gt;0),('Scénario référence'!$F$8+'Scénario référence'!$F$9)*10,0)</f>
        <v>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67">
        <f t="shared" si="56"/>
        <v>183.33333333333334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112.82287576550925</v>
      </c>
      <c r="T72" s="59">
        <f t="shared" si="88"/>
        <v>317.78570695363294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22.787752977279165</v>
      </c>
      <c r="AA72" s="21">
        <f>EXP(-LN(2)/25)*AA71+(1-EXP(-LN(2)/25))/(LN(2)/25)*Calculateur!V72*Calculateur!X72*VLOOKUP('Données projet'!$B$9,Paramètres!$A$1:$I$89,3,0)*0.475*44/12</f>
        <v>3.299169026269885</v>
      </c>
      <c r="AB72" s="21">
        <f>EXP(-LN(2)/2)*AB71+(1-EXP(-LN(2)/2))/(LN(2)/2)*V72*Y72*VLOOKUP('Données projet'!$B$9,Paramètres!$A$1:$I$89,3,0)*0.475*44/12</f>
        <v>7.7260542727004365E-7</v>
      </c>
      <c r="AC72" s="22">
        <f t="shared" si="57"/>
        <v>26.086922776154477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247.00000000000017</v>
      </c>
      <c r="AJ72" s="13">
        <f>AI72*VLOOKUP('Données projet'!$B$10,Paramètres!$A$1:$I$89,3,0)*VLOOKUP('Données projet'!$B$10,Paramètres!$A$1:$I$89,5,0)</f>
        <v>223.48560000000012</v>
      </c>
      <c r="AK72" s="13">
        <f t="shared" si="89"/>
        <v>54.87176918107798</v>
      </c>
      <c r="AL72" s="20">
        <f t="shared" si="58"/>
        <v>484.80575132371092</v>
      </c>
      <c r="AM72" s="59">
        <f t="shared" si="59"/>
        <v>750.73591167377754</v>
      </c>
      <c r="AN72" s="59">
        <f ca="1">AVERAGE(OFFSET($AM$3,0,0,'Données projet'!$E$10+1,1))-AVERAGE(OFFSET($H$3,0,0,'Données projet'!$E$10+1,1))</f>
        <v>312.51355033343896</v>
      </c>
      <c r="AO72" s="59">
        <f t="shared" si="90"/>
        <v>442.54749157177571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0.27982830873304337</v>
      </c>
      <c r="AV72" s="21">
        <f>EXP(-LN(2)/25)*AV71+(1-EXP(-LN(2)/25))/(LN(2)/25)*Calculateur!AQ72*Calculateur!AS72*VLOOKUP('Données projet'!$B$10,Paramètres!$A$1:$I$89,3,0)*0.475*44/12</f>
        <v>1.4546961585043903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1.7345244672374336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5">
      <c r="A73" s="10">
        <f t="shared" si="85"/>
        <v>70</v>
      </c>
      <c r="B73" s="73">
        <f>'Scénario référence'!$B$16*5+'Scénario référence'!$B$17*0+'Scénario référence'!$B$18*5</f>
        <v>5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1">
        <f t="shared" si="86"/>
        <v>0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3" s="11">
        <f>IF(OR('Scénario référence'!$F$8&gt;0,'Scénario référence'!$F$9&gt;0),('Scénario référence'!$F$8+'Scénario référence'!$F$9)*10,0)</f>
        <v>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67">
        <f t="shared" si="56"/>
        <v>183.33333333333334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112.82287576550925</v>
      </c>
      <c r="T73" s="59">
        <f t="shared" si="88"/>
        <v>317.78570695363294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22.340899040551609</v>
      </c>
      <c r="AA73" s="21">
        <f>EXP(-LN(2)/25)*AA72+(1-EXP(-LN(2)/25))/(LN(2)/25)*Calculateur!V73*Calculateur!X73*VLOOKUP('Données projet'!$B$9,Paramètres!$A$1:$I$89,3,0)*0.475*44/12</f>
        <v>3.208953075750776</v>
      </c>
      <c r="AB73" s="21">
        <f>EXP(-LN(2)/2)*AB72+(1-EXP(-LN(2)/2))/(LN(2)/2)*V73*Y73*VLOOKUP('Données projet'!$B$9,Paramètres!$A$1:$I$89,3,0)*0.475*44/12</f>
        <v>5.4631453680417781E-7</v>
      </c>
      <c r="AC73" s="22">
        <f t="shared" si="57"/>
        <v>25.549852662616924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247.00000000000017</v>
      </c>
      <c r="AJ73" s="13">
        <f>AI73*VLOOKUP('Données projet'!$B$10,Paramètres!$A$1:$I$89,3,0)*VLOOKUP('Données projet'!$B$10,Paramètres!$A$1:$I$89,5,0)</f>
        <v>223.48560000000012</v>
      </c>
      <c r="AK73" s="13">
        <f t="shared" si="89"/>
        <v>54.87176918107798</v>
      </c>
      <c r="AL73" s="20">
        <f t="shared" si="58"/>
        <v>484.80575132371092</v>
      </c>
      <c r="AM73" s="59">
        <f t="shared" si="59"/>
        <v>751.21129546072041</v>
      </c>
      <c r="AN73" s="59">
        <f ca="1">AVERAGE(OFFSET($AM$3,0,0,'Données projet'!$E$10+1,1))-AVERAGE(OFFSET($H$3,0,0,'Données projet'!$E$10+1,1))</f>
        <v>312.51355033343896</v>
      </c>
      <c r="AO73" s="59">
        <f t="shared" si="90"/>
        <v>442.54749157177571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0.27434104627720363</v>
      </c>
      <c r="AV73" s="21">
        <f>EXP(-LN(2)/25)*AV72+(1-EXP(-LN(2)/25))/(LN(2)/25)*Calculateur!AQ73*Calculateur!AS73*VLOOKUP('Données projet'!$B$10,Paramètres!$A$1:$I$89,3,0)*0.475*44/12</f>
        <v>1.4149174155509414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1.689258461828145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5">
      <c r="A74" s="10">
        <f t="shared" si="85"/>
        <v>71</v>
      </c>
      <c r="B74" s="73">
        <f>'Scénario référence'!$B$16*5+'Scénario référence'!$B$17*0+'Scénario référence'!$B$18*5</f>
        <v>5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1">
        <f t="shared" si="86"/>
        <v>0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4" s="11">
        <f>IF(OR('Scénario référence'!$F$8&gt;0,'Scénario référence'!$F$9&gt;0),('Scénario référence'!$F$8+'Scénario référence'!$F$9)*10,0)</f>
        <v>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67">
        <f t="shared" si="56"/>
        <v>183.33333333333334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112.82287576550925</v>
      </c>
      <c r="T74" s="59">
        <f t="shared" si="88"/>
        <v>317.78570695363294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21.902807636969293</v>
      </c>
      <c r="AA74" s="21">
        <f>EXP(-LN(2)/25)*AA73+(1-EXP(-LN(2)/25))/(LN(2)/25)*Calculateur!V74*Calculateur!X74*VLOOKUP('Données projet'!$B$9,Paramètres!$A$1:$I$89,3,0)*0.475*44/12</f>
        <v>3.1212040851428631</v>
      </c>
      <c r="AB74" s="21">
        <f>EXP(-LN(2)/2)*AB73+(1-EXP(-LN(2)/2))/(LN(2)/2)*V74*Y74*VLOOKUP('Données projet'!$B$9,Paramètres!$A$1:$I$89,3,0)*0.475*44/12</f>
        <v>3.8630271363502182E-7</v>
      </c>
      <c r="AC74" s="22">
        <f t="shared" si="57"/>
        <v>25.024012108414869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247.00000000000017</v>
      </c>
      <c r="AJ74" s="13">
        <f>AI74*VLOOKUP('Données projet'!$B$10,Paramètres!$A$1:$I$89,3,0)*VLOOKUP('Données projet'!$B$10,Paramètres!$A$1:$I$89,5,0)</f>
        <v>223.48560000000012</v>
      </c>
      <c r="AK74" s="13">
        <f t="shared" si="89"/>
        <v>54.87176918107798</v>
      </c>
      <c r="AL74" s="20">
        <f t="shared" si="58"/>
        <v>484.80575132371092</v>
      </c>
      <c r="AM74" s="59">
        <f t="shared" si="59"/>
        <v>751.67843240175887</v>
      </c>
      <c r="AN74" s="59">
        <f ca="1">AVERAGE(OFFSET($AM$3,0,0,'Données projet'!$E$10+1,1))-AVERAGE(OFFSET($H$3,0,0,'Données projet'!$E$10+1,1))</f>
        <v>312.51355033343896</v>
      </c>
      <c r="AO74" s="59">
        <f t="shared" si="90"/>
        <v>442.54749157177571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0.2689613856912233</v>
      </c>
      <c r="AV74" s="21">
        <f>EXP(-LN(2)/25)*AV73+(1-EXP(-LN(2)/25))/(LN(2)/25)*Calculateur!AQ74*Calculateur!AS74*VLOOKUP('Données projet'!$B$10,Paramètres!$A$1:$I$89,3,0)*0.475*44/12</f>
        <v>1.3762264244154279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1.645187810106651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5">
      <c r="A75" s="10">
        <f t="shared" si="85"/>
        <v>72</v>
      </c>
      <c r="B75" s="73">
        <f>'Scénario référence'!$B$16*5+'Scénario référence'!$B$17*0+'Scénario référence'!$B$18*5</f>
        <v>5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1">
        <f t="shared" si="86"/>
        <v>0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5" s="11">
        <f>IF(OR('Scénario référence'!$F$8&gt;0,'Scénario référence'!$F$9&gt;0),('Scénario référence'!$F$8+'Scénario référence'!$F$9)*10,0)</f>
        <v>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67">
        <f t="shared" si="56"/>
        <v>183.33333333333334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112.82287576550925</v>
      </c>
      <c r="T75" s="59">
        <f t="shared" si="88"/>
        <v>317.78570695363294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21.473306938601851</v>
      </c>
      <c r="AA75" s="21">
        <f>EXP(-LN(2)/25)*AA74+(1-EXP(-LN(2)/25))/(LN(2)/25)*Calculateur!V75*Calculateur!X75*VLOOKUP('Données projet'!$B$9,Paramètres!$A$1:$I$89,3,0)*0.475*44/12</f>
        <v>3.0358545952976423</v>
      </c>
      <c r="AB75" s="21">
        <f>EXP(-LN(2)/2)*AB74+(1-EXP(-LN(2)/2))/(LN(2)/2)*V75*Y75*VLOOKUP('Données projet'!$B$9,Paramètres!$A$1:$I$89,3,0)*0.475*44/12</f>
        <v>2.731572684020889E-7</v>
      </c>
      <c r="AC75" s="22">
        <f t="shared" si="57"/>
        <v>24.509161807056763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247.00000000000017</v>
      </c>
      <c r="AJ75" s="13">
        <f>AI75*VLOOKUP('Données projet'!$B$10,Paramètres!$A$1:$I$89,3,0)*VLOOKUP('Données projet'!$B$10,Paramètres!$A$1:$I$89,5,0)</f>
        <v>223.48560000000012</v>
      </c>
      <c r="AK75" s="13">
        <f t="shared" si="89"/>
        <v>54.87176918107798</v>
      </c>
      <c r="AL75" s="20">
        <f t="shared" si="58"/>
        <v>484.80575132371092</v>
      </c>
      <c r="AM75" s="59">
        <f t="shared" si="59"/>
        <v>752.13746556123203</v>
      </c>
      <c r="AN75" s="59">
        <f ca="1">AVERAGE(OFFSET($AM$3,0,0,'Données projet'!$E$10+1,1))-AVERAGE(OFFSET($H$3,0,0,'Données projet'!$E$10+1,1))</f>
        <v>312.51355033343896</v>
      </c>
      <c r="AO75" s="59">
        <f t="shared" si="90"/>
        <v>442.54749157177571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0.26368721696806507</v>
      </c>
      <c r="AV75" s="21">
        <f>EXP(-LN(2)/25)*AV74+(1-EXP(-LN(2)/25))/(LN(2)/25)*Calculateur!AQ75*Calculateur!AS75*VLOOKUP('Données projet'!$B$10,Paramètres!$A$1:$I$89,3,0)*0.475*44/12</f>
        <v>1.3385934404671858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1.6022806574352508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5">
      <c r="A76" s="10">
        <f t="shared" si="85"/>
        <v>73</v>
      </c>
      <c r="B76" s="73">
        <f>'Scénario référence'!$B$16*5+'Scénario référence'!$B$17*0+'Scénario référence'!$B$18*5</f>
        <v>5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1">
        <f t="shared" si="86"/>
        <v>0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6" s="11">
        <f>IF(OR('Scénario référence'!$F$8&gt;0,'Scénario référence'!$F$9&gt;0),('Scénario référence'!$F$8+'Scénario référence'!$F$9)*10,0)</f>
        <v>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67">
        <f t="shared" si="56"/>
        <v>183.33333333333334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112.82287576550925</v>
      </c>
      <c r="T76" s="59">
        <f t="shared" si="88"/>
        <v>317.78570695363294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21.052228486959837</v>
      </c>
      <c r="AA76" s="21">
        <f>EXP(-LN(2)/25)*AA75+(1-EXP(-LN(2)/25))/(LN(2)/25)*Calculateur!V76*Calculateur!X76*VLOOKUP('Données projet'!$B$9,Paramètres!$A$1:$I$89,3,0)*0.475*44/12</f>
        <v>2.9528389917405735</v>
      </c>
      <c r="AB76" s="21">
        <f>EXP(-LN(2)/2)*AB75+(1-EXP(-LN(2)/2))/(LN(2)/2)*V76*Y76*VLOOKUP('Données projet'!$B$9,Paramètres!$A$1:$I$89,3,0)*0.475*44/12</f>
        <v>1.9315135681751091E-7</v>
      </c>
      <c r="AC76" s="22">
        <f t="shared" si="57"/>
        <v>24.005067671851769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247.00000000000017</v>
      </c>
      <c r="AJ76" s="13">
        <f>AI76*VLOOKUP('Données projet'!$B$10,Paramètres!$A$1:$I$89,3,0)*VLOOKUP('Données projet'!$B$10,Paramètres!$A$1:$I$89,5,0)</f>
        <v>223.48560000000012</v>
      </c>
      <c r="AK76" s="13">
        <f t="shared" si="89"/>
        <v>54.87176918107798</v>
      </c>
      <c r="AL76" s="20">
        <f t="shared" si="58"/>
        <v>484.80575132371092</v>
      </c>
      <c r="AM76" s="59">
        <f t="shared" si="59"/>
        <v>752.58853552163271</v>
      </c>
      <c r="AN76" s="59">
        <f ca="1">AVERAGE(OFFSET($AM$3,0,0,'Données projet'!$E$10+1,1))-AVERAGE(OFFSET($H$3,0,0,'Données projet'!$E$10+1,1))</f>
        <v>312.51355033343896</v>
      </c>
      <c r="AO76" s="59">
        <f t="shared" si="90"/>
        <v>442.54749157177571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0.2585164714766427</v>
      </c>
      <c r="AV76" s="21">
        <f>EXP(-LN(2)/25)*AV75+(1-EXP(-LN(2)/25))/(LN(2)/25)*Calculateur!AQ76*Calculateur!AS76*VLOOKUP('Données projet'!$B$10,Paramètres!$A$1:$I$89,3,0)*0.475*44/12</f>
        <v>1.3019895324440409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1.5605060039206835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5">
      <c r="A77" s="10">
        <f t="shared" si="85"/>
        <v>74</v>
      </c>
      <c r="B77" s="73">
        <f>'Scénario référence'!$B$16*5+'Scénario référence'!$B$17*0+'Scénario référence'!$B$18*5</f>
        <v>5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1">
        <f t="shared" si="86"/>
        <v>0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7" s="11">
        <f>IF(OR('Scénario référence'!$F$8&gt;0,'Scénario référence'!$F$9&gt;0),('Scénario référence'!$F$8+'Scénario référence'!$F$9)*10,0)</f>
        <v>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67">
        <f t="shared" si="56"/>
        <v>183.33333333333334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112.82287576550925</v>
      </c>
      <c r="T77" s="59">
        <f t="shared" si="88"/>
        <v>317.78570695363294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20.63940712692203</v>
      </c>
      <c r="AA77" s="21">
        <f>EXP(-LN(2)/25)*AA76+(1-EXP(-LN(2)/25))/(LN(2)/25)*Calculateur!V77*Calculateur!X77*VLOOKUP('Données projet'!$B$9,Paramètres!$A$1:$I$89,3,0)*0.475*44/12</f>
        <v>2.8720934542283736</v>
      </c>
      <c r="AB77" s="21">
        <f>EXP(-LN(2)/2)*AB76+(1-EXP(-LN(2)/2))/(LN(2)/2)*V77*Y77*VLOOKUP('Données projet'!$B$9,Paramètres!$A$1:$I$89,3,0)*0.475*44/12</f>
        <v>1.3657863420104445E-7</v>
      </c>
      <c r="AC77" s="22">
        <f t="shared" si="57"/>
        <v>23.511500717729039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247.00000000000017</v>
      </c>
      <c r="AJ77" s="13">
        <f>AI77*VLOOKUP('Données projet'!$B$10,Paramètres!$A$1:$I$89,3,0)*VLOOKUP('Données projet'!$B$10,Paramètres!$A$1:$I$89,5,0)</f>
        <v>223.48560000000012</v>
      </c>
      <c r="AK77" s="13">
        <f t="shared" si="89"/>
        <v>54.87176918107798</v>
      </c>
      <c r="AL77" s="20">
        <f t="shared" si="58"/>
        <v>484.80575132371092</v>
      </c>
      <c r="AM77" s="59">
        <f t="shared" si="59"/>
        <v>753.03178042666173</v>
      </c>
      <c r="AN77" s="59">
        <f ca="1">AVERAGE(OFFSET($AM$3,0,0,'Données projet'!$E$10+1,1))-AVERAGE(OFFSET($H$3,0,0,'Données projet'!$E$10+1,1))</f>
        <v>312.51355033343896</v>
      </c>
      <c r="AO77" s="59">
        <f t="shared" si="90"/>
        <v>442.54749157177571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0.25344712115046375</v>
      </c>
      <c r="AV77" s="21">
        <f>EXP(-LN(2)/25)*AV76+(1-EXP(-LN(2)/25))/(LN(2)/25)*Calculateur!AQ77*Calculateur!AS77*VLOOKUP('Données projet'!$B$10,Paramètres!$A$1:$I$89,3,0)*0.475*44/12</f>
        <v>1.2663865602107049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1.5198336813611686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5">
      <c r="A78" s="10">
        <f t="shared" si="85"/>
        <v>75</v>
      </c>
      <c r="B78" s="73">
        <f>'Scénario référence'!$B$16*5+'Scénario référence'!$B$17*0+'Scénario référence'!$B$18*5</f>
        <v>5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1">
        <f t="shared" si="86"/>
        <v>0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8" s="11">
        <f>IF(OR('Scénario référence'!$F$8&gt;0,'Scénario référence'!$F$9&gt;0),('Scénario référence'!$F$8+'Scénario référence'!$F$9)*10,0)</f>
        <v>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67">
        <f t="shared" si="56"/>
        <v>183.33333333333334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112.82287576550925</v>
      </c>
      <c r="T78" s="59">
        <f t="shared" si="88"/>
        <v>317.78570695363294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20.234680941958395</v>
      </c>
      <c r="AA78" s="21">
        <f>EXP(-LN(2)/25)*AA77+(1-EXP(-LN(2)/25))/(LN(2)/25)*Calculateur!V78*Calculateur!X78*VLOOKUP('Données projet'!$B$9,Paramètres!$A$1:$I$89,3,0)*0.475*44/12</f>
        <v>2.7935559076856684</v>
      </c>
      <c r="AB78" s="21">
        <f>EXP(-LN(2)/2)*AB77+(1-EXP(-LN(2)/2))/(LN(2)/2)*V78*Y78*VLOOKUP('Données projet'!$B$9,Paramètres!$A$1:$I$89,3,0)*0.475*44/12</f>
        <v>9.6575678408755456E-8</v>
      </c>
      <c r="AC78" s="22">
        <f t="shared" si="57"/>
        <v>23.028236946219742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247.00000000000017</v>
      </c>
      <c r="AJ78" s="13">
        <f>AI78*VLOOKUP('Données projet'!$B$10,Paramètres!$A$1:$I$89,3,0)*VLOOKUP('Données projet'!$B$10,Paramètres!$A$1:$I$89,5,0)</f>
        <v>223.48560000000012</v>
      </c>
      <c r="AK78" s="13">
        <f t="shared" si="89"/>
        <v>54.87176918107798</v>
      </c>
      <c r="AL78" s="20">
        <f t="shared" si="58"/>
        <v>484.80575132371092</v>
      </c>
      <c r="AM78" s="59">
        <f t="shared" si="59"/>
        <v>753.46733602353572</v>
      </c>
      <c r="AN78" s="59">
        <f ca="1">AVERAGE(OFFSET($AM$3,0,0,'Données projet'!$E$10+1,1))-AVERAGE(OFFSET($H$3,0,0,'Données projet'!$E$10+1,1))</f>
        <v>312.51355033343896</v>
      </c>
      <c r="AO78" s="59">
        <f t="shared" si="90"/>
        <v>442.54749157177571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0.2484771776921828</v>
      </c>
      <c r="AV78" s="21">
        <f>EXP(-LN(2)/25)*AV77+(1-EXP(-LN(2)/25))/(LN(2)/25)*Calculateur!AQ78*Calculateur!AS78*VLOOKUP('Données projet'!$B$10,Paramètres!$A$1:$I$89,3,0)*0.475*44/12</f>
        <v>1.2317571531253684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1.4802343308175512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5">
      <c r="A79" s="10">
        <f t="shared" si="85"/>
        <v>76</v>
      </c>
      <c r="B79" s="73">
        <f>'Scénario référence'!$B$16*5+'Scénario référence'!$B$17*0+'Scénario référence'!$B$18*5</f>
        <v>5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1">
        <f t="shared" si="86"/>
        <v>0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9" s="11">
        <f>IF(OR('Scénario référence'!$F$8&gt;0,'Scénario référence'!$F$9&gt;0),('Scénario référence'!$F$8+'Scénario référence'!$F$9)*10,0)</f>
        <v>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67">
        <f t="shared" si="56"/>
        <v>183.33333333333334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112.82287576550925</v>
      </c>
      <c r="T79" s="59">
        <f t="shared" si="88"/>
        <v>317.78570695363294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19.837891190623299</v>
      </c>
      <c r="AA79" s="21">
        <f>EXP(-LN(2)/25)*AA78+(1-EXP(-LN(2)/25))/(LN(2)/25)*Calculateur!V79*Calculateur!X79*VLOOKUP('Données projet'!$B$9,Paramètres!$A$1:$I$89,3,0)*0.475*44/12</f>
        <v>2.7171659744832835</v>
      </c>
      <c r="AB79" s="21">
        <f>EXP(-LN(2)/2)*AB78+(1-EXP(-LN(2)/2))/(LN(2)/2)*V79*Y79*VLOOKUP('Données projet'!$B$9,Paramètres!$A$1:$I$89,3,0)*0.475*44/12</f>
        <v>6.8289317100522226E-8</v>
      </c>
      <c r="AC79" s="22">
        <f t="shared" si="57"/>
        <v>22.5550572333959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247.00000000000017</v>
      </c>
      <c r="AJ79" s="13">
        <f>AI79*VLOOKUP('Données projet'!$B$10,Paramètres!$A$1:$I$89,3,0)*VLOOKUP('Données projet'!$B$10,Paramètres!$A$1:$I$89,5,0)</f>
        <v>223.48560000000012</v>
      </c>
      <c r="AK79" s="13">
        <f t="shared" si="89"/>
        <v>54.87176918107798</v>
      </c>
      <c r="AL79" s="20">
        <f t="shared" si="58"/>
        <v>484.80575132371092</v>
      </c>
      <c r="AM79" s="59">
        <f t="shared" si="59"/>
        <v>753.89533570456035</v>
      </c>
      <c r="AN79" s="59">
        <f ca="1">AVERAGE(OFFSET($AM$3,0,0,'Données projet'!$E$10+1,1))-AVERAGE(OFFSET($H$3,0,0,'Données projet'!$E$10+1,1))</f>
        <v>312.51355033343896</v>
      </c>
      <c r="AO79" s="59">
        <f t="shared" si="90"/>
        <v>442.54749157177571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0.24360469179375258</v>
      </c>
      <c r="AV79" s="21">
        <f>EXP(-LN(2)/25)*AV78+(1-EXP(-LN(2)/25))/(LN(2)/25)*Calculateur!AQ79*Calculateur!AS79*VLOOKUP('Données projet'!$B$10,Paramètres!$A$1:$I$89,3,0)*0.475*44/12</f>
        <v>1.1980746889978617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1.4416793807916144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5">
      <c r="A80" s="10">
        <f t="shared" si="85"/>
        <v>77</v>
      </c>
      <c r="B80" s="73">
        <f>'Scénario référence'!$B$16*5+'Scénario référence'!$B$17*0+'Scénario référence'!$B$18*5</f>
        <v>5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1">
        <f t="shared" si="86"/>
        <v>0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0" s="11">
        <f>IF(OR('Scénario référence'!$F$8&gt;0,'Scénario référence'!$F$9&gt;0),('Scénario référence'!$F$8+'Scénario référence'!$F$9)*10,0)</f>
        <v>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67">
        <f t="shared" si="56"/>
        <v>183.33333333333334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112.82287576550925</v>
      </c>
      <c r="T80" s="59">
        <f t="shared" si="88"/>
        <v>317.78570695363294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19.448882244294033</v>
      </c>
      <c r="AA80" s="21">
        <f>EXP(-LN(2)/25)*AA79+(1-EXP(-LN(2)/25))/(LN(2)/25)*Calculateur!V80*Calculateur!X80*VLOOKUP('Données projet'!$B$9,Paramètres!$A$1:$I$89,3,0)*0.475*44/12</f>
        <v>2.6428649280214898</v>
      </c>
      <c r="AB80" s="21">
        <f>EXP(-LN(2)/2)*AB79+(1-EXP(-LN(2)/2))/(LN(2)/2)*V80*Y80*VLOOKUP('Données projet'!$B$9,Paramètres!$A$1:$I$89,3,0)*0.475*44/12</f>
        <v>4.8287839204377728E-8</v>
      </c>
      <c r="AC80" s="22">
        <f t="shared" si="57"/>
        <v>22.091747220603359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247.00000000000017</v>
      </c>
      <c r="AJ80" s="13">
        <f>AI80*VLOOKUP('Données projet'!$B$10,Paramètres!$A$1:$I$89,3,0)*VLOOKUP('Données projet'!$B$10,Paramètres!$A$1:$I$89,5,0)</f>
        <v>223.48560000000012</v>
      </c>
      <c r="AK80" s="13">
        <f t="shared" si="89"/>
        <v>54.87176918107798</v>
      </c>
      <c r="AL80" s="20">
        <f t="shared" si="58"/>
        <v>484.80575132371092</v>
      </c>
      <c r="AM80" s="59">
        <f t="shared" si="59"/>
        <v>754.31591054798321</v>
      </c>
      <c r="AN80" s="59">
        <f ca="1">AVERAGE(OFFSET($AM$3,0,0,'Données projet'!$E$10+1,1))-AVERAGE(OFFSET($H$3,0,0,'Données projet'!$E$10+1,1))</f>
        <v>312.51355033343896</v>
      </c>
      <c r="AO80" s="59">
        <f t="shared" si="90"/>
        <v>442.54749157177571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0.23882775237186762</v>
      </c>
      <c r="AV80" s="21">
        <f>EXP(-LN(2)/25)*AV79+(1-EXP(-LN(2)/25))/(LN(2)/25)*Calculateur!AQ80*Calculateur!AS80*VLOOKUP('Données projet'!$B$10,Paramètres!$A$1:$I$89,3,0)*0.475*44/12</f>
        <v>1.1653132736232055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1.4041410259950731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5">
      <c r="A81" s="10">
        <f t="shared" si="85"/>
        <v>78</v>
      </c>
      <c r="B81" s="73">
        <f>'Scénario référence'!$B$16*5+'Scénario référence'!$B$17*0+'Scénario référence'!$B$18*5</f>
        <v>5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1">
        <f t="shared" si="86"/>
        <v>0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1" s="11">
        <f>IF(OR('Scénario référence'!$F$8&gt;0,'Scénario référence'!$F$9&gt;0),('Scénario référence'!$F$8+'Scénario référence'!$F$9)*10,0)</f>
        <v>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67">
        <f t="shared" si="56"/>
        <v>183.33333333333334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112.82287576550925</v>
      </c>
      <c r="T81" s="59">
        <f t="shared" si="88"/>
        <v>317.78570695363294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19.067501526130258</v>
      </c>
      <c r="AA81" s="21">
        <f>EXP(-LN(2)/25)*AA80+(1-EXP(-LN(2)/25))/(LN(2)/25)*Calculateur!V81*Calculateur!X81*VLOOKUP('Données projet'!$B$9,Paramètres!$A$1:$I$89,3,0)*0.475*44/12</f>
        <v>2.570595647582516</v>
      </c>
      <c r="AB81" s="21">
        <f>EXP(-LN(2)/2)*AB80+(1-EXP(-LN(2)/2))/(LN(2)/2)*V81*Y81*VLOOKUP('Données projet'!$B$9,Paramètres!$A$1:$I$89,3,0)*0.475*44/12</f>
        <v>3.4144658550261113E-8</v>
      </c>
      <c r="AC81" s="22">
        <f t="shared" si="57"/>
        <v>21.638097207857431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247.00000000000017</v>
      </c>
      <c r="AJ81" s="13">
        <f>AI81*VLOOKUP('Données projet'!$B$10,Paramètres!$A$1:$I$89,3,0)*VLOOKUP('Données projet'!$B$10,Paramètres!$A$1:$I$89,5,0)</f>
        <v>223.48560000000012</v>
      </c>
      <c r="AK81" s="13">
        <f t="shared" si="89"/>
        <v>54.87176918107798</v>
      </c>
      <c r="AL81" s="20">
        <f t="shared" si="58"/>
        <v>484.80575132371092</v>
      </c>
      <c r="AM81" s="59">
        <f t="shared" si="59"/>
        <v>754.72918935813709</v>
      </c>
      <c r="AN81" s="59">
        <f ca="1">AVERAGE(OFFSET($AM$3,0,0,'Données projet'!$E$10+1,1))-AVERAGE(OFFSET($H$3,0,0,'Données projet'!$E$10+1,1))</f>
        <v>312.51355033343896</v>
      </c>
      <c r="AO81" s="59">
        <f t="shared" si="90"/>
        <v>442.54749157177571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0.23414448581840047</v>
      </c>
      <c r="AV81" s="21">
        <f>EXP(-LN(2)/25)*AV80+(1-EXP(-LN(2)/25))/(LN(2)/25)*Calculateur!AQ81*Calculateur!AS81*VLOOKUP('Données projet'!$B$10,Paramètres!$A$1:$I$89,3,0)*0.475*44/12</f>
        <v>1.1334477208748173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1.3675922066932178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5">
      <c r="A82" s="10">
        <f t="shared" si="85"/>
        <v>79</v>
      </c>
      <c r="B82" s="73">
        <f>'Scénario référence'!$B$16*5+'Scénario référence'!$B$17*0+'Scénario référence'!$B$18*5</f>
        <v>5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1">
        <f t="shared" si="86"/>
        <v>0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2" s="11">
        <f>IF(OR('Scénario référence'!$F$8&gt;0,'Scénario référence'!$F$9&gt;0),('Scénario référence'!$F$8+'Scénario référence'!$F$9)*10,0)</f>
        <v>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67">
        <f t="shared" si="56"/>
        <v>183.33333333333334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112.82287576550925</v>
      </c>
      <c r="T82" s="59">
        <f t="shared" si="88"/>
        <v>317.78570695363294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18.693599451230405</v>
      </c>
      <c r="AA82" s="21">
        <f>EXP(-LN(2)/25)*AA81+(1-EXP(-LN(2)/25))/(LN(2)/25)*Calculateur!V82*Calculateur!X82*VLOOKUP('Données projet'!$B$9,Paramètres!$A$1:$I$89,3,0)*0.475*44/12</f>
        <v>2.5003025744176224</v>
      </c>
      <c r="AB82" s="21">
        <f>EXP(-LN(2)/2)*AB81+(1-EXP(-LN(2)/2))/(LN(2)/2)*V82*Y82*VLOOKUP('Données projet'!$B$9,Paramètres!$A$1:$I$89,3,0)*0.475*44/12</f>
        <v>2.4143919602188864E-8</v>
      </c>
      <c r="AC82" s="22">
        <f t="shared" si="57"/>
        <v>21.193902049791948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247.00000000000017</v>
      </c>
      <c r="AJ82" s="13">
        <f>AI82*VLOOKUP('Données projet'!$B$10,Paramètres!$A$1:$I$89,3,0)*VLOOKUP('Données projet'!$B$10,Paramètres!$A$1:$I$89,5,0)</f>
        <v>223.48560000000012</v>
      </c>
      <c r="AK82" s="13">
        <f t="shared" si="89"/>
        <v>54.87176918107798</v>
      </c>
      <c r="AL82" s="20">
        <f t="shared" si="58"/>
        <v>484.80575132371092</v>
      </c>
      <c r="AM82" s="59">
        <f t="shared" si="59"/>
        <v>755.13529870488787</v>
      </c>
      <c r="AN82" s="59">
        <f ca="1">AVERAGE(OFFSET($AM$3,0,0,'Données projet'!$E$10+1,1))-AVERAGE(OFFSET($H$3,0,0,'Données projet'!$E$10+1,1))</f>
        <v>312.51355033343896</v>
      </c>
      <c r="AO82" s="59">
        <f t="shared" si="90"/>
        <v>442.54749157177571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0.22955305526553627</v>
      </c>
      <c r="AV82" s="21">
        <f>EXP(-LN(2)/25)*AV81+(1-EXP(-LN(2)/25))/(LN(2)/25)*Calculateur!AQ82*Calculateur!AS82*VLOOKUP('Données projet'!$B$10,Paramètres!$A$1:$I$89,3,0)*0.475*44/12</f>
        <v>1.1024535333420702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1.3320065886076065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5">
      <c r="A83" s="10">
        <f t="shared" si="85"/>
        <v>80</v>
      </c>
      <c r="B83" s="73">
        <f>'Scénario référence'!$B$16*5+'Scénario référence'!$B$17*0+'Scénario référence'!$B$18*5</f>
        <v>5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1">
        <f t="shared" si="86"/>
        <v>0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3" s="11">
        <f>IF(OR('Scénario référence'!$F$8&gt;0,'Scénario référence'!$F$9&gt;0),('Scénario référence'!$F$8+'Scénario référence'!$F$9)*10,0)</f>
        <v>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67">
        <f t="shared" si="56"/>
        <v>183.33333333333334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112.82287576550925</v>
      </c>
      <c r="T83" s="59">
        <f t="shared" si="88"/>
        <v>317.78570695363294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18.32702936796159</v>
      </c>
      <c r="AA83" s="21">
        <f>EXP(-LN(2)/25)*AA82+(1-EXP(-LN(2)/25))/(LN(2)/25)*Calculateur!V83*Calculateur!X83*VLOOKUP('Données projet'!$B$9,Paramètres!$A$1:$I$89,3,0)*0.475*44/12</f>
        <v>2.4319316690349746</v>
      </c>
      <c r="AB83" s="21">
        <f>EXP(-LN(2)/2)*AB82+(1-EXP(-LN(2)/2))/(LN(2)/2)*V83*Y83*VLOOKUP('Données projet'!$B$9,Paramètres!$A$1:$I$89,3,0)*0.475*44/12</f>
        <v>1.7072329275130556E-8</v>
      </c>
      <c r="AC83" s="22">
        <f t="shared" si="57"/>
        <v>20.758961054068891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247.00000000000017</v>
      </c>
      <c r="AJ83" s="13">
        <f>AI83*VLOOKUP('Données projet'!$B$10,Paramètres!$A$1:$I$89,3,0)*VLOOKUP('Données projet'!$B$10,Paramètres!$A$1:$I$89,5,0)</f>
        <v>223.48560000000012</v>
      </c>
      <c r="AK83" s="13">
        <f t="shared" si="89"/>
        <v>54.87176918107798</v>
      </c>
      <c r="AL83" s="20">
        <f t="shared" si="58"/>
        <v>484.80575132371092</v>
      </c>
      <c r="AM83" s="59">
        <f t="shared" si="59"/>
        <v>755.53436296239704</v>
      </c>
      <c r="AN83" s="59">
        <f ca="1">AVERAGE(OFFSET($AM$3,0,0,'Données projet'!$E$10+1,1))-AVERAGE(OFFSET($H$3,0,0,'Données projet'!$E$10+1,1))</f>
        <v>312.51355033343896</v>
      </c>
      <c r="AO83" s="59">
        <f t="shared" si="90"/>
        <v>442.54749157177571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0.22505165986531761</v>
      </c>
      <c r="AV83" s="21">
        <f>EXP(-LN(2)/25)*AV82+(1-EXP(-LN(2)/25))/(LN(2)/25)*Calculateur!AQ83*Calculateur!AS83*VLOOKUP('Données projet'!$B$10,Paramètres!$A$1:$I$89,3,0)*0.475*44/12</f>
        <v>1.0723068834973197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1.2973585433626373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5">
      <c r="A84" s="10">
        <f t="shared" si="85"/>
        <v>81</v>
      </c>
      <c r="B84" s="73">
        <f>'Scénario référence'!$B$16*5+'Scénario référence'!$B$17*0+'Scénario référence'!$B$18*5</f>
        <v>5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1">
        <f t="shared" si="86"/>
        <v>0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4" s="11">
        <f>IF(OR('Scénario référence'!$F$8&gt;0,'Scénario référence'!$F$9&gt;0),('Scénario référence'!$F$8+'Scénario référence'!$F$9)*10,0)</f>
        <v>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67">
        <f t="shared" si="56"/>
        <v>183.33333333333334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112.82287576550925</v>
      </c>
      <c r="T84" s="59">
        <f t="shared" si="88"/>
        <v>317.78570695363294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17.967647500440005</v>
      </c>
      <c r="AA84" s="21">
        <f>EXP(-LN(2)/25)*AA83+(1-EXP(-LN(2)/25))/(LN(2)/25)*Calculateur!V84*Calculateur!X84*VLOOKUP('Données projet'!$B$9,Paramètres!$A$1:$I$89,3,0)*0.475*44/12</f>
        <v>2.3654303696554848</v>
      </c>
      <c r="AB84" s="21">
        <f>EXP(-LN(2)/2)*AB83+(1-EXP(-LN(2)/2))/(LN(2)/2)*V84*Y84*VLOOKUP('Données projet'!$B$9,Paramètres!$A$1:$I$89,3,0)*0.475*44/12</f>
        <v>1.2071959801094432E-8</v>
      </c>
      <c r="AC84" s="22">
        <f t="shared" si="57"/>
        <v>20.333077882167451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247.00000000000017</v>
      </c>
      <c r="AJ84" s="13">
        <f>AI84*VLOOKUP('Données projet'!$B$10,Paramètres!$A$1:$I$89,3,0)*VLOOKUP('Données projet'!$B$10,Paramètres!$A$1:$I$89,5,0)</f>
        <v>223.48560000000012</v>
      </c>
      <c r="AK84" s="13">
        <f t="shared" si="89"/>
        <v>54.87176918107798</v>
      </c>
      <c r="AL84" s="20">
        <f t="shared" si="58"/>
        <v>484.80575132371092</v>
      </c>
      <c r="AM84" s="59">
        <f t="shared" si="59"/>
        <v>755.92650434721236</v>
      </c>
      <c r="AN84" s="59">
        <f ca="1">AVERAGE(OFFSET($AM$3,0,0,'Données projet'!$E$10+1,1))-AVERAGE(OFFSET($H$3,0,0,'Données projet'!$E$10+1,1))</f>
        <v>312.51355033343896</v>
      </c>
      <c r="AO84" s="59">
        <f t="shared" si="90"/>
        <v>442.54749157177571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0.22063853408331716</v>
      </c>
      <c r="AV84" s="21">
        <f>EXP(-LN(2)/25)*AV83+(1-EXP(-LN(2)/25))/(LN(2)/25)*Calculateur!AQ84*Calculateur!AS84*VLOOKUP('Données projet'!$B$10,Paramètres!$A$1:$I$89,3,0)*0.475*44/12</f>
        <v>1.0429845953779173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1.2636231294612346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5">
      <c r="A85" s="10">
        <f t="shared" si="85"/>
        <v>82</v>
      </c>
      <c r="B85" s="73">
        <f>'Scénario référence'!$B$16*5+'Scénario référence'!$B$17*0+'Scénario référence'!$B$18*5</f>
        <v>5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1">
        <f t="shared" si="86"/>
        <v>0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5" s="11">
        <f>IF(OR('Scénario référence'!$F$8&gt;0,'Scénario référence'!$F$9&gt;0),('Scénario référence'!$F$8+'Scénario référence'!$F$9)*10,0)</f>
        <v>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67">
        <f t="shared" si="56"/>
        <v>183.33333333333334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112.82287576550925</v>
      </c>
      <c r="T85" s="59">
        <f t="shared" si="88"/>
        <v>317.78570695363294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17.615312892139222</v>
      </c>
      <c r="AA85" s="21">
        <f>EXP(-LN(2)/25)*AA84+(1-EXP(-LN(2)/25))/(LN(2)/25)*Calculateur!V85*Calculateur!X85*VLOOKUP('Données projet'!$B$9,Paramètres!$A$1:$I$89,3,0)*0.475*44/12</f>
        <v>2.3007475518046787</v>
      </c>
      <c r="AB85" s="21">
        <f>EXP(-LN(2)/2)*AB84+(1-EXP(-LN(2)/2))/(LN(2)/2)*V85*Y85*VLOOKUP('Données projet'!$B$9,Paramètres!$A$1:$I$89,3,0)*0.475*44/12</f>
        <v>8.5361646375652782E-9</v>
      </c>
      <c r="AC85" s="22">
        <f t="shared" si="57"/>
        <v>19.916060452480068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247.00000000000017</v>
      </c>
      <c r="AJ85" s="13">
        <f>AI85*VLOOKUP('Données projet'!$B$10,Paramètres!$A$1:$I$89,3,0)*VLOOKUP('Données projet'!$B$10,Paramètres!$A$1:$I$89,5,0)</f>
        <v>223.48560000000012</v>
      </c>
      <c r="AK85" s="13">
        <f t="shared" si="89"/>
        <v>54.87176918107798</v>
      </c>
      <c r="AL85" s="20">
        <f t="shared" si="58"/>
        <v>484.80575132371092</v>
      </c>
      <c r="AM85" s="59">
        <f t="shared" si="59"/>
        <v>756.31184295569801</v>
      </c>
      <c r="AN85" s="59">
        <f ca="1">AVERAGE(OFFSET($AM$3,0,0,'Données projet'!$E$10+1,1))-AVERAGE(OFFSET($H$3,0,0,'Données projet'!$E$10+1,1))</f>
        <v>312.51355033343896</v>
      </c>
      <c r="AO85" s="59">
        <f t="shared" si="90"/>
        <v>442.54749157177571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0.2163119470061608</v>
      </c>
      <c r="AV85" s="21">
        <f>EXP(-LN(2)/25)*AV84+(1-EXP(-LN(2)/25))/(LN(2)/25)*Calculateur!AQ85*Calculateur!AS85*VLOOKUP('Données projet'!$B$10,Paramètres!$A$1:$I$89,3,0)*0.475*44/12</f>
        <v>1.0144641267691321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1.2307760737752929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5">
      <c r="A86" s="10">
        <f t="shared" si="85"/>
        <v>83</v>
      </c>
      <c r="B86" s="73">
        <f>'Scénario référence'!$B$16*5+'Scénario référence'!$B$17*0+'Scénario référence'!$B$18*5</f>
        <v>5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1">
        <f t="shared" si="86"/>
        <v>0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6" s="11">
        <f>IF(OR('Scénario référence'!$F$8&gt;0,'Scénario référence'!$F$9&gt;0),('Scénario référence'!$F$8+'Scénario référence'!$F$9)*10,0)</f>
        <v>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67">
        <f t="shared" si="56"/>
        <v>183.33333333333334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112.82287576550925</v>
      </c>
      <c r="T86" s="59">
        <f t="shared" si="88"/>
        <v>317.78570695363294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17.269887350604328</v>
      </c>
      <c r="AA86" s="21">
        <f>EXP(-LN(2)/25)*AA85+(1-EXP(-LN(2)/25))/(LN(2)/25)*Calculateur!V86*Calculateur!X86*VLOOKUP('Données projet'!$B$9,Paramètres!$A$1:$I$89,3,0)*0.475*44/12</f>
        <v>2.2378334890095246</v>
      </c>
      <c r="AB86" s="21">
        <f>EXP(-LN(2)/2)*AB85+(1-EXP(-LN(2)/2))/(LN(2)/2)*V86*Y86*VLOOKUP('Données projet'!$B$9,Paramètres!$A$1:$I$89,3,0)*0.475*44/12</f>
        <v>6.035979900547216E-9</v>
      </c>
      <c r="AC86" s="22">
        <f t="shared" si="57"/>
        <v>19.507720845649832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247.00000000000017</v>
      </c>
      <c r="AJ86" s="13">
        <f>AI86*VLOOKUP('Données projet'!$B$10,Paramètres!$A$1:$I$89,3,0)*VLOOKUP('Données projet'!$B$10,Paramètres!$A$1:$I$89,5,0)</f>
        <v>223.48560000000012</v>
      </c>
      <c r="AK86" s="13">
        <f t="shared" si="89"/>
        <v>54.87176918107798</v>
      </c>
      <c r="AL86" s="20">
        <f t="shared" si="58"/>
        <v>484.80575132371092</v>
      </c>
      <c r="AM86" s="59">
        <f t="shared" si="59"/>
        <v>756.69049680081434</v>
      </c>
      <c r="AN86" s="59">
        <f ca="1">AVERAGE(OFFSET($AM$3,0,0,'Données projet'!$E$10+1,1))-AVERAGE(OFFSET($H$3,0,0,'Données projet'!$E$10+1,1))</f>
        <v>312.51355033343896</v>
      </c>
      <c r="AO86" s="59">
        <f t="shared" si="90"/>
        <v>442.54749157177571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0.21207020166262994</v>
      </c>
      <c r="AV86" s="21">
        <f>EXP(-LN(2)/25)*AV85+(1-EXP(-LN(2)/25))/(LN(2)/25)*Calculateur!AQ86*Calculateur!AS86*VLOOKUP('Données projet'!$B$10,Paramètres!$A$1:$I$89,3,0)*0.475*44/12</f>
        <v>0.9867235518742804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1.1987937535369104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5">
      <c r="A87" s="10">
        <f t="shared" si="85"/>
        <v>84</v>
      </c>
      <c r="B87" s="73">
        <f>'Scénario référence'!$B$16*5+'Scénario référence'!$B$17*0+'Scénario référence'!$B$18*5</f>
        <v>5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1">
        <f t="shared" si="86"/>
        <v>0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7" s="11">
        <f>IF(OR('Scénario référence'!$F$8&gt;0,'Scénario référence'!$F$9&gt;0),('Scénario référence'!$F$8+'Scénario référence'!$F$9)*10,0)</f>
        <v>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67">
        <f t="shared" si="56"/>
        <v>183.33333333333334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112.82287576550925</v>
      </c>
      <c r="T87" s="59">
        <f t="shared" si="88"/>
        <v>317.78570695363294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16.931235393250155</v>
      </c>
      <c r="AA87" s="21">
        <f>EXP(-LN(2)/25)*AA86+(1-EXP(-LN(2)/25))/(LN(2)/25)*Calculateur!V87*Calculateur!X87*VLOOKUP('Données projet'!$B$9,Paramètres!$A$1:$I$89,3,0)*0.475*44/12</f>
        <v>2.1766398145700108</v>
      </c>
      <c r="AB87" s="21">
        <f>EXP(-LN(2)/2)*AB86+(1-EXP(-LN(2)/2))/(LN(2)/2)*V87*Y87*VLOOKUP('Données projet'!$B$9,Paramètres!$A$1:$I$89,3,0)*0.475*44/12</f>
        <v>4.2680823187826391E-9</v>
      </c>
      <c r="AC87" s="22">
        <f t="shared" si="57"/>
        <v>19.107875212088246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247.00000000000017</v>
      </c>
      <c r="AJ87" s="13">
        <f>AI87*VLOOKUP('Données projet'!$B$10,Paramètres!$A$1:$I$89,3,0)*VLOOKUP('Données projet'!$B$10,Paramètres!$A$1:$I$89,5,0)</f>
        <v>223.48560000000012</v>
      </c>
      <c r="AK87" s="13">
        <f t="shared" si="89"/>
        <v>54.87176918107798</v>
      </c>
      <c r="AL87" s="20">
        <f t="shared" si="58"/>
        <v>484.80575132371092</v>
      </c>
      <c r="AM87" s="59">
        <f t="shared" si="59"/>
        <v>757.06258184826129</v>
      </c>
      <c r="AN87" s="59">
        <f ca="1">AVERAGE(OFFSET($AM$3,0,0,'Données projet'!$E$10+1,1))-AVERAGE(OFFSET($H$3,0,0,'Données projet'!$E$10+1,1))</f>
        <v>312.51355033343896</v>
      </c>
      <c r="AO87" s="59">
        <f t="shared" si="90"/>
        <v>442.54749157177571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0.20791163435807652</v>
      </c>
      <c r="AV87" s="21">
        <f>EXP(-LN(2)/25)*AV86+(1-EXP(-LN(2)/25))/(LN(2)/25)*Calculateur!AQ87*Calculateur!AS87*VLOOKUP('Données projet'!$B$10,Paramètres!$A$1:$I$89,3,0)*0.475*44/12</f>
        <v>0.95974154445874182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1.1676531788168183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5">
      <c r="A88" s="10">
        <f t="shared" si="85"/>
        <v>85</v>
      </c>
      <c r="B88" s="73">
        <f>'Scénario référence'!$B$16*5+'Scénario référence'!$B$17*0+'Scénario référence'!$B$18*5</f>
        <v>5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1">
        <f t="shared" si="86"/>
        <v>0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8" s="11">
        <f>IF(OR('Scénario référence'!$F$8&gt;0,'Scénario référence'!$F$9&gt;0),('Scénario référence'!$F$8+'Scénario référence'!$F$9)*10,0)</f>
        <v>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67">
        <f t="shared" si="56"/>
        <v>183.33333333333334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112.82287576550925</v>
      </c>
      <c r="T88" s="59">
        <f t="shared" si="88"/>
        <v>317.78570695363294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16.599224194222401</v>
      </c>
      <c r="AA88" s="21">
        <f>EXP(-LN(2)/25)*AA87+(1-EXP(-LN(2)/25))/(LN(2)/25)*Calculateur!V88*Calculateur!X88*VLOOKUP('Données projet'!$B$9,Paramètres!$A$1:$I$89,3,0)*0.475*44/12</f>
        <v>2.1171194843760808</v>
      </c>
      <c r="AB88" s="21">
        <f>EXP(-LN(2)/2)*AB87+(1-EXP(-LN(2)/2))/(LN(2)/2)*V88*Y88*VLOOKUP('Données projet'!$B$9,Paramètres!$A$1:$I$89,3,0)*0.475*44/12</f>
        <v>3.017989950273608E-9</v>
      </c>
      <c r="AC88" s="22">
        <f t="shared" si="57"/>
        <v>18.716343681616472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247.00000000000017</v>
      </c>
      <c r="AJ88" s="13">
        <f>AI88*VLOOKUP('Données projet'!$B$10,Paramètres!$A$1:$I$89,3,0)*VLOOKUP('Données projet'!$B$10,Paramètres!$A$1:$I$89,5,0)</f>
        <v>223.48560000000012</v>
      </c>
      <c r="AK88" s="13">
        <f t="shared" si="89"/>
        <v>54.87176918107798</v>
      </c>
      <c r="AL88" s="20">
        <f t="shared" si="58"/>
        <v>484.80575132371092</v>
      </c>
      <c r="AM88" s="59">
        <f t="shared" si="59"/>
        <v>757.42821205199243</v>
      </c>
      <c r="AN88" s="59">
        <f ca="1">AVERAGE(OFFSET($AM$3,0,0,'Données projet'!$E$10+1,1))-AVERAGE(OFFSET($H$3,0,0,'Données projet'!$E$10+1,1))</f>
        <v>312.51355033343896</v>
      </c>
      <c r="AO88" s="59">
        <f t="shared" si="90"/>
        <v>442.54749157177571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0.20383461402188979</v>
      </c>
      <c r="AV88" s="21">
        <f>EXP(-LN(2)/25)*AV87+(1-EXP(-LN(2)/25))/(LN(2)/25)*Calculateur!AQ88*Calculateur!AS88*VLOOKUP('Données projet'!$B$10,Paramètres!$A$1:$I$89,3,0)*0.475*44/12</f>
        <v>0.93349736145490325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1.137331975476793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5">
      <c r="A89" s="10">
        <f t="shared" si="85"/>
        <v>86</v>
      </c>
      <c r="B89" s="73">
        <f>'Scénario référence'!$B$16*5+'Scénario référence'!$B$17*0+'Scénario référence'!$B$18*5</f>
        <v>5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1">
        <f t="shared" si="86"/>
        <v>0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9" s="11">
        <f>IF(OR('Scénario référence'!$F$8&gt;0,'Scénario référence'!$F$9&gt;0),('Scénario référence'!$F$8+'Scénario référence'!$F$9)*10,0)</f>
        <v>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67">
        <f t="shared" si="56"/>
        <v>183.33333333333334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112.82287576550925</v>
      </c>
      <c r="T89" s="59">
        <f t="shared" si="88"/>
        <v>317.78570695363294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16.273723532300746</v>
      </c>
      <c r="AA89" s="21">
        <f>EXP(-LN(2)/25)*AA88+(1-EXP(-LN(2)/25))/(LN(2)/25)*Calculateur!V89*Calculateur!X89*VLOOKUP('Données projet'!$B$9,Paramètres!$A$1:$I$89,3,0)*0.475*44/12</f>
        <v>2.0592267407413418</v>
      </c>
      <c r="AB89" s="21">
        <f>EXP(-LN(2)/2)*AB88+(1-EXP(-LN(2)/2))/(LN(2)/2)*V89*Y89*VLOOKUP('Données projet'!$B$9,Paramètres!$A$1:$I$89,3,0)*0.475*44/12</f>
        <v>2.1340411593913196E-9</v>
      </c>
      <c r="AC89" s="22">
        <f t="shared" si="57"/>
        <v>18.332950275176128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247.00000000000017</v>
      </c>
      <c r="AJ89" s="13">
        <f>AI89*VLOOKUP('Données projet'!$B$10,Paramètres!$A$1:$I$89,3,0)*VLOOKUP('Données projet'!$B$10,Paramètres!$A$1:$I$89,5,0)</f>
        <v>223.48560000000012</v>
      </c>
      <c r="AK89" s="13">
        <f t="shared" si="89"/>
        <v>54.87176918107798</v>
      </c>
      <c r="AL89" s="20">
        <f t="shared" si="58"/>
        <v>484.80575132371092</v>
      </c>
      <c r="AM89" s="59">
        <f t="shared" si="59"/>
        <v>757.78749938911562</v>
      </c>
      <c r="AN89" s="59">
        <f ca="1">AVERAGE(OFFSET($AM$3,0,0,'Données projet'!$E$10+1,1))-AVERAGE(OFFSET($H$3,0,0,'Données projet'!$E$10+1,1))</f>
        <v>312.51355033343896</v>
      </c>
      <c r="AO89" s="59">
        <f t="shared" si="90"/>
        <v>442.54749157177571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0.19983754156775882</v>
      </c>
      <c r="AV89" s="21">
        <f>EXP(-LN(2)/25)*AV88+(1-EXP(-LN(2)/25))/(LN(2)/25)*Calculateur!AQ89*Calculateur!AS89*VLOOKUP('Données projet'!$B$10,Paramètres!$A$1:$I$89,3,0)*0.475*44/12</f>
        <v>0.9079708270154262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1.107808368583185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5">
      <c r="A90" s="10">
        <f t="shared" si="85"/>
        <v>87</v>
      </c>
      <c r="B90" s="73">
        <f>'Scénario référence'!$B$16*5+'Scénario référence'!$B$17*0+'Scénario référence'!$B$18*5</f>
        <v>5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1">
        <f t="shared" si="86"/>
        <v>0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0" s="11">
        <f>IF(OR('Scénario référence'!$F$8&gt;0,'Scénario référence'!$F$9&gt;0),('Scénario référence'!$F$8+'Scénario référence'!$F$9)*10,0)</f>
        <v>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67">
        <f t="shared" si="56"/>
        <v>183.33333333333334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112.82287576550925</v>
      </c>
      <c r="T90" s="59">
        <f t="shared" si="88"/>
        <v>317.78570695363294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15.954605739823572</v>
      </c>
      <c r="AA90" s="21">
        <f>EXP(-LN(2)/25)*AA89+(1-EXP(-LN(2)/25))/(LN(2)/25)*Calculateur!V90*Calculateur!X90*VLOOKUP('Données projet'!$B$9,Paramètres!$A$1:$I$89,3,0)*0.475*44/12</f>
        <v>2.0029170772257419</v>
      </c>
      <c r="AB90" s="21">
        <f>EXP(-LN(2)/2)*AB89+(1-EXP(-LN(2)/2))/(LN(2)/2)*V90*Y90*VLOOKUP('Données projet'!$B$9,Paramètres!$A$1:$I$89,3,0)*0.475*44/12</f>
        <v>1.508994975136804E-9</v>
      </c>
      <c r="AC90" s="22">
        <f t="shared" si="57"/>
        <v>17.957522818558306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247.00000000000017</v>
      </c>
      <c r="AJ90" s="13">
        <f>AI90*VLOOKUP('Données projet'!$B$10,Paramètres!$A$1:$I$89,3,0)*VLOOKUP('Données projet'!$B$10,Paramètres!$A$1:$I$89,5,0)</f>
        <v>223.48560000000012</v>
      </c>
      <c r="AK90" s="13">
        <f t="shared" si="89"/>
        <v>54.87176918107798</v>
      </c>
      <c r="AL90" s="20">
        <f t="shared" si="58"/>
        <v>484.80575132371092</v>
      </c>
      <c r="AM90" s="59">
        <f t="shared" si="59"/>
        <v>758.14055389418581</v>
      </c>
      <c r="AN90" s="59">
        <f ca="1">AVERAGE(OFFSET($AM$3,0,0,'Données projet'!$E$10+1,1))-AVERAGE(OFFSET($H$3,0,0,'Données projet'!$E$10+1,1))</f>
        <v>312.51355033343896</v>
      </c>
      <c r="AO90" s="59">
        <f t="shared" si="90"/>
        <v>442.54749157177571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0.1959188492664799</v>
      </c>
      <c r="AV90" s="21">
        <f>EXP(-LN(2)/25)*AV89+(1-EXP(-LN(2)/25))/(LN(2)/25)*Calculateur!AQ90*Calculateur!AS90*VLOOKUP('Données projet'!$B$10,Paramètres!$A$1:$I$89,3,0)*0.475*44/12</f>
        <v>0.88314231700257873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1.0790611662690586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5">
      <c r="A91" s="10">
        <f t="shared" si="85"/>
        <v>88</v>
      </c>
      <c r="B91" s="73">
        <f>'Scénario référence'!$B$16*5+'Scénario référence'!$B$17*0+'Scénario référence'!$B$18*5</f>
        <v>5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1">
        <f t="shared" si="86"/>
        <v>0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1" s="11">
        <f>IF(OR('Scénario référence'!$F$8&gt;0,'Scénario référence'!$F$9&gt;0),('Scénario référence'!$F$8+'Scénario référence'!$F$9)*10,0)</f>
        <v>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67">
        <f t="shared" si="56"/>
        <v>183.33333333333334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112.82287576550925</v>
      </c>
      <c r="T91" s="59">
        <f t="shared" si="88"/>
        <v>317.78570695363294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15.641745652614242</v>
      </c>
      <c r="AA91" s="21">
        <f>EXP(-LN(2)/25)*AA90+(1-EXP(-LN(2)/25))/(LN(2)/25)*Calculateur!V91*Calculateur!X91*VLOOKUP('Données projet'!$B$9,Paramètres!$A$1:$I$89,3,0)*0.475*44/12</f>
        <v>1.9481472044201726</v>
      </c>
      <c r="AB91" s="21">
        <f>EXP(-LN(2)/2)*AB90+(1-EXP(-LN(2)/2))/(LN(2)/2)*V91*Y91*VLOOKUP('Données projet'!$B$9,Paramètres!$A$1:$I$89,3,0)*0.475*44/12</f>
        <v>1.0670205796956598E-9</v>
      </c>
      <c r="AC91" s="22">
        <f t="shared" si="57"/>
        <v>17.589892858101436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247.00000000000017</v>
      </c>
      <c r="AJ91" s="13">
        <f>AI91*VLOOKUP('Données projet'!$B$10,Paramètres!$A$1:$I$89,3,0)*VLOOKUP('Données projet'!$B$10,Paramètres!$A$1:$I$89,5,0)</f>
        <v>223.48560000000012</v>
      </c>
      <c r="AK91" s="13">
        <f t="shared" si="89"/>
        <v>54.87176918107798</v>
      </c>
      <c r="AL91" s="20">
        <f t="shared" si="58"/>
        <v>484.80575132371092</v>
      </c>
      <c r="AM91" s="59">
        <f t="shared" si="59"/>
        <v>758.48748369290456</v>
      </c>
      <c r="AN91" s="59">
        <f ca="1">AVERAGE(OFFSET($AM$3,0,0,'Données projet'!$E$10+1,1))-AVERAGE(OFFSET($H$3,0,0,'Données projet'!$E$10+1,1))</f>
        <v>312.51355033343896</v>
      </c>
      <c r="AO91" s="59">
        <f t="shared" si="90"/>
        <v>442.54749157177571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0.19207700013106277</v>
      </c>
      <c r="AV91" s="21">
        <f>EXP(-LN(2)/25)*AV90+(1-EXP(-LN(2)/25))/(LN(2)/25)*Calculateur!AQ91*Calculateur!AS91*VLOOKUP('Données projet'!$B$10,Paramètres!$A$1:$I$89,3,0)*0.475*44/12</f>
        <v>0.85899274390170721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1.0510697440327701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5">
      <c r="A92" s="10">
        <f t="shared" si="85"/>
        <v>89</v>
      </c>
      <c r="B92" s="73">
        <f>'Scénario référence'!$B$16*5+'Scénario référence'!$B$17*0+'Scénario référence'!$B$18*5</f>
        <v>5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1">
        <f t="shared" si="86"/>
        <v>0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2" s="11">
        <f>IF(OR('Scénario référence'!$F$8&gt;0,'Scénario référence'!$F$9&gt;0),('Scénario référence'!$F$8+'Scénario référence'!$F$9)*10,0)</f>
        <v>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67">
        <f t="shared" si="56"/>
        <v>183.33333333333334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112.82287576550925</v>
      </c>
      <c r="T92" s="59">
        <f t="shared" si="88"/>
        <v>317.78570695363294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15.335020560889276</v>
      </c>
      <c r="AA92" s="21">
        <f>EXP(-LN(2)/25)*AA91+(1-EXP(-LN(2)/25))/(LN(2)/25)*Calculateur!V92*Calculateur!X92*VLOOKUP('Données projet'!$B$9,Paramètres!$A$1:$I$89,3,0)*0.475*44/12</f>
        <v>1.8948750166666941</v>
      </c>
      <c r="AB92" s="21">
        <f>EXP(-LN(2)/2)*AB91+(1-EXP(-LN(2)/2))/(LN(2)/2)*V92*Y92*VLOOKUP('Données projet'!$B$9,Paramètres!$A$1:$I$89,3,0)*0.475*44/12</f>
        <v>7.54497487568402E-10</v>
      </c>
      <c r="AC92" s="22">
        <f t="shared" si="57"/>
        <v>17.229895578310469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247.00000000000017</v>
      </c>
      <c r="AJ92" s="13">
        <f>AI92*VLOOKUP('Données projet'!$B$10,Paramètres!$A$1:$I$89,3,0)*VLOOKUP('Données projet'!$B$10,Paramètres!$A$1:$I$89,5,0)</f>
        <v>223.48560000000012</v>
      </c>
      <c r="AK92" s="13">
        <f t="shared" si="89"/>
        <v>54.87176918107798</v>
      </c>
      <c r="AL92" s="20">
        <f t="shared" si="58"/>
        <v>484.80575132371092</v>
      </c>
      <c r="AM92" s="59">
        <f t="shared" si="59"/>
        <v>758.82839503523451</v>
      </c>
      <c r="AN92" s="59">
        <f ca="1">AVERAGE(OFFSET($AM$3,0,0,'Données projet'!$E$10+1,1))-AVERAGE(OFFSET($H$3,0,0,'Données projet'!$E$10+1,1))</f>
        <v>312.51355033343896</v>
      </c>
      <c r="AO92" s="59">
        <f t="shared" si="90"/>
        <v>442.54749157177571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0.18831048731389458</v>
      </c>
      <c r="AV92" s="21">
        <f>EXP(-LN(2)/25)*AV91+(1-EXP(-LN(2)/25))/(LN(2)/25)*Calculateur!AQ92*Calculateur!AS92*VLOOKUP('Données projet'!$B$10,Paramètres!$A$1:$I$89,3,0)*0.475*44/12</f>
        <v>0.83550354214724987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1.0238140294611444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5">
      <c r="A93" s="10">
        <f t="shared" si="85"/>
        <v>90</v>
      </c>
      <c r="B93" s="73">
        <f>'Scénario référence'!$B$16*5+'Scénario référence'!$B$17*0+'Scénario référence'!$B$18*5</f>
        <v>5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1">
        <f t="shared" si="86"/>
        <v>0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3" s="11">
        <f>IF(OR('Scénario référence'!$F$8&gt;0,'Scénario référence'!$F$9&gt;0),('Scénario référence'!$F$8+'Scénario référence'!$F$9)*10,0)</f>
        <v>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67">
        <f t="shared" si="56"/>
        <v>183.33333333333334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112.82287576550925</v>
      </c>
      <c r="T93" s="59">
        <f t="shared" si="88"/>
        <v>317.78570695363294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15.034310161129204</v>
      </c>
      <c r="AA93" s="21">
        <f>EXP(-LN(2)/25)*AA92+(1-EXP(-LN(2)/25))/(LN(2)/25)*Calculateur!V93*Calculateur!X93*VLOOKUP('Données projet'!$B$9,Paramètres!$A$1:$I$89,3,0)*0.475*44/12</f>
        <v>1.8430595596887971</v>
      </c>
      <c r="AB93" s="21">
        <f>EXP(-LN(2)/2)*AB92+(1-EXP(-LN(2)/2))/(LN(2)/2)*V93*Y93*VLOOKUP('Données projet'!$B$9,Paramètres!$A$1:$I$89,3,0)*0.475*44/12</f>
        <v>5.3351028984782989E-10</v>
      </c>
      <c r="AC93" s="22">
        <f t="shared" si="57"/>
        <v>16.877369721351513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247.00000000000017</v>
      </c>
      <c r="AJ93" s="13">
        <f>AI93*VLOOKUP('Données projet'!$B$10,Paramètres!$A$1:$I$89,3,0)*VLOOKUP('Données projet'!$B$10,Paramètres!$A$1:$I$89,5,0)</f>
        <v>223.48560000000012</v>
      </c>
      <c r="AK93" s="13">
        <f t="shared" si="89"/>
        <v>54.87176918107798</v>
      </c>
      <c r="AL93" s="20">
        <f t="shared" si="58"/>
        <v>484.80575132371092</v>
      </c>
      <c r="AM93" s="59">
        <f t="shared" si="59"/>
        <v>759.1633923279386</v>
      </c>
      <c r="AN93" s="59">
        <f ca="1">AVERAGE(OFFSET($AM$3,0,0,'Données projet'!$E$10+1,1))-AVERAGE(OFFSET($H$3,0,0,'Données projet'!$E$10+1,1))</f>
        <v>312.51355033343896</v>
      </c>
      <c r="AO93" s="59">
        <f t="shared" si="90"/>
        <v>442.54749157177571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0.18461783351572508</v>
      </c>
      <c r="AV93" s="21">
        <f>EXP(-LN(2)/25)*AV92+(1-EXP(-LN(2)/25))/(LN(2)/25)*Calculateur!AQ93*Calculateur!AS93*VLOOKUP('Données projet'!$B$10,Paramètres!$A$1:$I$89,3,0)*0.475*44/12</f>
        <v>0.81265665385001162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0.99727448736573665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5">
      <c r="A94" s="10">
        <f t="shared" si="85"/>
        <v>91</v>
      </c>
      <c r="B94" s="73">
        <f>'Scénario référence'!$B$16*5+'Scénario référence'!$B$17*0+'Scénario référence'!$B$18*5</f>
        <v>5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1">
        <f t="shared" si="86"/>
        <v>0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4" s="11">
        <f>IF(OR('Scénario référence'!$F$8&gt;0,'Scénario référence'!$F$9&gt;0),('Scénario référence'!$F$8+'Scénario référence'!$F$9)*10,0)</f>
        <v>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67">
        <f t="shared" si="56"/>
        <v>183.33333333333334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112.82287576550925</v>
      </c>
      <c r="T94" s="59">
        <f t="shared" si="88"/>
        <v>317.78570695363294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14.739496508893193</v>
      </c>
      <c r="AA94" s="21">
        <f>EXP(-LN(2)/25)*AA93+(1-EXP(-LN(2)/25))/(LN(2)/25)*Calculateur!V94*Calculateur!X94*VLOOKUP('Données projet'!$B$9,Paramètres!$A$1:$I$89,3,0)*0.475*44/12</f>
        <v>1.792660999106817</v>
      </c>
      <c r="AB94" s="21">
        <f>EXP(-LN(2)/2)*AB93+(1-EXP(-LN(2)/2))/(LN(2)/2)*V94*Y94*VLOOKUP('Données projet'!$B$9,Paramètres!$A$1:$I$89,3,0)*0.475*44/12</f>
        <v>3.77248743784201E-10</v>
      </c>
      <c r="AC94" s="22">
        <f t="shared" si="57"/>
        <v>16.53215750837726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247.00000000000017</v>
      </c>
      <c r="AJ94" s="13">
        <f>AI94*VLOOKUP('Données projet'!$B$10,Paramètres!$A$1:$I$89,3,0)*VLOOKUP('Données projet'!$B$10,Paramètres!$A$1:$I$89,5,0)</f>
        <v>223.48560000000012</v>
      </c>
      <c r="AK94" s="13">
        <f t="shared" si="89"/>
        <v>54.87176918107798</v>
      </c>
      <c r="AL94" s="20">
        <f t="shared" si="58"/>
        <v>484.80575132371092</v>
      </c>
      <c r="AM94" s="59">
        <f t="shared" si="59"/>
        <v>759.49257816655597</v>
      </c>
      <c r="AN94" s="59">
        <f ca="1">AVERAGE(OFFSET($AM$3,0,0,'Données projet'!$E$10+1,1))-AVERAGE(OFFSET($H$3,0,0,'Données projet'!$E$10+1,1))</f>
        <v>312.51355033343896</v>
      </c>
      <c r="AO94" s="59">
        <f t="shared" si="90"/>
        <v>442.54749157177571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0.18099759040624128</v>
      </c>
      <c r="AV94" s="21">
        <f>EXP(-LN(2)/25)*AV93+(1-EXP(-LN(2)/25))/(LN(2)/25)*Calculateur!AQ94*Calculateur!AS94*VLOOKUP('Données projet'!$B$10,Paramètres!$A$1:$I$89,3,0)*0.475*44/12</f>
        <v>0.79043451491472694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0.97143210532096824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5">
      <c r="A95" s="10">
        <f t="shared" si="85"/>
        <v>92</v>
      </c>
      <c r="B95" s="73">
        <f>'Scénario référence'!$B$16*5+'Scénario référence'!$B$17*0+'Scénario référence'!$B$18*5</f>
        <v>5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1">
        <f t="shared" si="86"/>
        <v>0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5" s="11">
        <f>IF(OR('Scénario référence'!$F$8&gt;0,'Scénario référence'!$F$9&gt;0),('Scénario référence'!$F$8+'Scénario référence'!$F$9)*10,0)</f>
        <v>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67">
        <f t="shared" si="56"/>
        <v>183.33333333333334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112.82287576550925</v>
      </c>
      <c r="T95" s="59">
        <f t="shared" si="88"/>
        <v>317.78570695363294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14.450463972558959</v>
      </c>
      <c r="AA95" s="21">
        <f>EXP(-LN(2)/25)*AA94+(1-EXP(-LN(2)/25))/(LN(2)/25)*Calculateur!V95*Calculateur!X95*VLOOKUP('Données projet'!$B$9,Paramètres!$A$1:$I$89,3,0)*0.475*44/12</f>
        <v>1.7436405898142964</v>
      </c>
      <c r="AB95" s="21">
        <f>EXP(-LN(2)/2)*AB94+(1-EXP(-LN(2)/2))/(LN(2)/2)*V95*Y95*VLOOKUP('Données projet'!$B$9,Paramètres!$A$1:$I$89,3,0)*0.475*44/12</f>
        <v>2.6675514492391495E-10</v>
      </c>
      <c r="AC95" s="22">
        <f t="shared" si="57"/>
        <v>16.19410456264001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247.00000000000017</v>
      </c>
      <c r="AJ95" s="13">
        <f>AI95*VLOOKUP('Données projet'!$B$10,Paramètres!$A$1:$I$89,3,0)*VLOOKUP('Données projet'!$B$10,Paramètres!$A$1:$I$89,5,0)</f>
        <v>223.48560000000012</v>
      </c>
      <c r="AK95" s="13">
        <f t="shared" si="89"/>
        <v>54.87176918107798</v>
      </c>
      <c r="AL95" s="20">
        <f t="shared" si="58"/>
        <v>484.80575132371092</v>
      </c>
      <c r="AM95" s="59">
        <f t="shared" si="59"/>
        <v>759.81605336682264</v>
      </c>
      <c r="AN95" s="59">
        <f ca="1">AVERAGE(OFFSET($AM$3,0,0,'Données projet'!$E$10+1,1))-AVERAGE(OFFSET($H$3,0,0,'Données projet'!$E$10+1,1))</f>
        <v>312.51355033343896</v>
      </c>
      <c r="AO95" s="59">
        <f t="shared" si="90"/>
        <v>442.54749157177571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0.17744833805600418</v>
      </c>
      <c r="AV95" s="21">
        <f>EXP(-LN(2)/25)*AV94+(1-EXP(-LN(2)/25))/(LN(2)/25)*Calculateur!AQ95*Calculateur!AS95*VLOOKUP('Données projet'!$B$10,Paramètres!$A$1:$I$89,3,0)*0.475*44/12</f>
        <v>0.76882004153723915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0.94626837959324339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5">
      <c r="A96" s="10">
        <f t="shared" si="85"/>
        <v>93</v>
      </c>
      <c r="B96" s="73">
        <f>'Scénario référence'!$B$16*5+'Scénario référence'!$B$17*0+'Scénario référence'!$B$18*5</f>
        <v>5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1">
        <f t="shared" si="86"/>
        <v>0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6" s="11">
        <f>IF(OR('Scénario référence'!$F$8&gt;0,'Scénario référence'!$F$9&gt;0),('Scénario référence'!$F$8+'Scénario référence'!$F$9)*10,0)</f>
        <v>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67">
        <f t="shared" si="56"/>
        <v>183.33333333333334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112.82287576550925</v>
      </c>
      <c r="T96" s="59">
        <f t="shared" si="88"/>
        <v>317.78570695363294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14.1670991879698</v>
      </c>
      <c r="AA96" s="21">
        <f>EXP(-LN(2)/25)*AA95+(1-EXP(-LN(2)/25))/(LN(2)/25)*Calculateur!V96*Calculateur!X96*VLOOKUP('Données projet'!$B$9,Paramètres!$A$1:$I$89,3,0)*0.475*44/12</f>
        <v>1.6959606461917509</v>
      </c>
      <c r="AB96" s="21">
        <f>EXP(-LN(2)/2)*AB95+(1-EXP(-LN(2)/2))/(LN(2)/2)*V96*Y96*VLOOKUP('Données projet'!$B$9,Paramètres!$A$1:$I$89,3,0)*0.475*44/12</f>
        <v>1.886243718921005E-10</v>
      </c>
      <c r="AC96" s="22">
        <f t="shared" si="57"/>
        <v>15.863059834350175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247.00000000000017</v>
      </c>
      <c r="AJ96" s="13">
        <f>AI96*VLOOKUP('Données projet'!$B$10,Paramètres!$A$1:$I$89,3,0)*VLOOKUP('Données projet'!$B$10,Paramètres!$A$1:$I$89,5,0)</f>
        <v>223.48560000000012</v>
      </c>
      <c r="AK96" s="13">
        <f t="shared" si="89"/>
        <v>54.87176918107798</v>
      </c>
      <c r="AL96" s="20">
        <f t="shared" si="58"/>
        <v>484.80575132371092</v>
      </c>
      <c r="AM96" s="59">
        <f t="shared" si="59"/>
        <v>760.13391699554688</v>
      </c>
      <c r="AN96" s="59">
        <f ca="1">AVERAGE(OFFSET($AM$3,0,0,'Données projet'!$E$10+1,1))-AVERAGE(OFFSET($H$3,0,0,'Données projet'!$E$10+1,1))</f>
        <v>312.51355033343896</v>
      </c>
      <c r="AO96" s="59">
        <f t="shared" si="90"/>
        <v>442.54749157177571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0.17396868437952506</v>
      </c>
      <c r="AV96" s="21">
        <f>EXP(-LN(2)/25)*AV95+(1-EXP(-LN(2)/25))/(LN(2)/25)*Calculateur!AQ96*Calculateur!AS96*VLOOKUP('Données projet'!$B$10,Paramètres!$A$1:$I$89,3,0)*0.475*44/12</f>
        <v>0.74779661707091449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0.92176530145043956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5">
      <c r="A97" s="10">
        <f t="shared" si="85"/>
        <v>94</v>
      </c>
      <c r="B97" s="73">
        <f>'Scénario référence'!$B$16*5+'Scénario référence'!$B$17*0+'Scénario référence'!$B$18*5</f>
        <v>5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1">
        <f t="shared" si="86"/>
        <v>0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7" s="11">
        <f>IF(OR('Scénario référence'!$F$8&gt;0,'Scénario référence'!$F$9&gt;0),('Scénario référence'!$F$8+'Scénario référence'!$F$9)*10,0)</f>
        <v>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67">
        <f t="shared" si="56"/>
        <v>183.33333333333334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112.82287576550925</v>
      </c>
      <c r="T97" s="59">
        <f t="shared" si="88"/>
        <v>317.78570695363294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13.889291013970981</v>
      </c>
      <c r="AA97" s="21">
        <f>EXP(-LN(2)/25)*AA96+(1-EXP(-LN(2)/25))/(LN(2)/25)*Calculateur!V97*Calculateur!X97*VLOOKUP('Données projet'!$B$9,Paramètres!$A$1:$I$89,3,0)*0.475*44/12</f>
        <v>1.6495845131349434</v>
      </c>
      <c r="AB97" s="21">
        <f>EXP(-LN(2)/2)*AB96+(1-EXP(-LN(2)/2))/(LN(2)/2)*V97*Y97*VLOOKUP('Données projet'!$B$9,Paramètres!$A$1:$I$89,3,0)*0.475*44/12</f>
        <v>1.3337757246195747E-10</v>
      </c>
      <c r="AC97" s="22">
        <f t="shared" si="57"/>
        <v>15.538875527239302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247.00000000000017</v>
      </c>
      <c r="AJ97" s="13">
        <f>AI97*VLOOKUP('Données projet'!$B$10,Paramètres!$A$1:$I$89,3,0)*VLOOKUP('Données projet'!$B$10,Paramètres!$A$1:$I$89,5,0)</f>
        <v>223.48560000000012</v>
      </c>
      <c r="AK97" s="13">
        <f t="shared" si="89"/>
        <v>54.87176918107798</v>
      </c>
      <c r="AL97" s="20">
        <f t="shared" si="58"/>
        <v>484.80575132371092</v>
      </c>
      <c r="AM97" s="59">
        <f t="shared" si="59"/>
        <v>760.44626640094941</v>
      </c>
      <c r="AN97" s="59">
        <f ca="1">AVERAGE(OFFSET($AM$3,0,0,'Données projet'!$E$10+1,1))-AVERAGE(OFFSET($H$3,0,0,'Données projet'!$E$10+1,1))</f>
        <v>312.51355033343896</v>
      </c>
      <c r="AO97" s="59">
        <f t="shared" si="90"/>
        <v>442.54749157177571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0.17055726458926251</v>
      </c>
      <c r="AV97" s="21">
        <f>EXP(-LN(2)/25)*AV96+(1-EXP(-LN(2)/25))/(LN(2)/25)*Calculateur!AQ97*Calculateur!AS97*VLOOKUP('Données projet'!$B$10,Paramètres!$A$1:$I$89,3,0)*0.475*44/12</f>
        <v>0.72734807925219536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0.89790534384145793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5">
      <c r="A98" s="10">
        <f t="shared" si="85"/>
        <v>95</v>
      </c>
      <c r="B98" s="73">
        <f>'Scénario référence'!$B$16*5+'Scénario référence'!$B$17*0+'Scénario référence'!$B$18*5</f>
        <v>5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1">
        <f t="shared" si="86"/>
        <v>0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8" s="11">
        <f>IF(OR('Scénario référence'!$F$8&gt;0,'Scénario référence'!$F$9&gt;0),('Scénario référence'!$F$8+'Scénario référence'!$F$9)*10,0)</f>
        <v>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67">
        <f t="shared" si="56"/>
        <v>183.33333333333334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112.82287576550925</v>
      </c>
      <c r="T98" s="59">
        <f t="shared" si="88"/>
        <v>317.78570695363294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13.616930488818024</v>
      </c>
      <c r="AA98" s="21">
        <f>EXP(-LN(2)/25)*AA97+(1-EXP(-LN(2)/25))/(LN(2)/25)*Calculateur!V98*Calculateur!X98*VLOOKUP('Données projet'!$B$9,Paramètres!$A$1:$I$89,3,0)*0.475*44/12</f>
        <v>1.6044765378753889</v>
      </c>
      <c r="AB98" s="21">
        <f>EXP(-LN(2)/2)*AB97+(1-EXP(-LN(2)/2))/(LN(2)/2)*V98*Y98*VLOOKUP('Données projet'!$B$9,Paramètres!$A$1:$I$89,3,0)*0.475*44/12</f>
        <v>9.431218594605025E-11</v>
      </c>
      <c r="AC98" s="22">
        <f t="shared" si="57"/>
        <v>15.221407026787725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247.00000000000017</v>
      </c>
      <c r="AJ98" s="13">
        <f>AI98*VLOOKUP('Données projet'!$B$10,Paramètres!$A$1:$I$89,3,0)*VLOOKUP('Données projet'!$B$10,Paramètres!$A$1:$I$89,5,0)</f>
        <v>223.48560000000012</v>
      </c>
      <c r="AK98" s="13">
        <f t="shared" si="89"/>
        <v>54.87176918107798</v>
      </c>
      <c r="AL98" s="20">
        <f t="shared" si="58"/>
        <v>484.80575132371092</v>
      </c>
      <c r="AM98" s="59">
        <f t="shared" si="59"/>
        <v>760.75319724247686</v>
      </c>
      <c r="AN98" s="59">
        <f ca="1">AVERAGE(OFFSET($AM$3,0,0,'Données projet'!$E$10+1,1))-AVERAGE(OFFSET($H$3,0,0,'Données projet'!$E$10+1,1))</f>
        <v>312.51355033343896</v>
      </c>
      <c r="AO98" s="59">
        <f t="shared" si="90"/>
        <v>442.54749157177571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0.1672127406603264</v>
      </c>
      <c r="AV98" s="21">
        <f>EXP(-LN(2)/25)*AV97+(1-EXP(-LN(2)/25))/(LN(2)/25)*Calculateur!AQ98*Calculateur!AS98*VLOOKUP('Données projet'!$B$10,Paramètres!$A$1:$I$89,3,0)*0.475*44/12</f>
        <v>0.70745870777547093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0.87467144843579736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5">
      <c r="A99" s="10">
        <f t="shared" si="85"/>
        <v>96</v>
      </c>
      <c r="B99" s="73">
        <f>'Scénario référence'!$B$16*5+'Scénario référence'!$B$17*0+'Scénario référence'!$B$18*5</f>
        <v>5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1">
        <f t="shared" si="86"/>
        <v>0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9" s="11">
        <f>IF(OR('Scénario référence'!$F$8&gt;0,'Scénario référence'!$F$9&gt;0),('Scénario référence'!$F$8+'Scénario référence'!$F$9)*10,0)</f>
        <v>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67">
        <f t="shared" si="56"/>
        <v>183.33333333333334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112.82287576550925</v>
      </c>
      <c r="T99" s="59">
        <f t="shared" si="88"/>
        <v>317.78570695363294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13.3499107874398</v>
      </c>
      <c r="AA99" s="21">
        <f>EXP(-LN(2)/25)*AA98+(1-EXP(-LN(2)/25))/(LN(2)/25)*Calculateur!V99*Calculateur!X99*VLOOKUP('Données projet'!$B$9,Paramètres!$A$1:$I$89,3,0)*0.475*44/12</f>
        <v>1.5606020425714324</v>
      </c>
      <c r="AB99" s="21">
        <f>EXP(-LN(2)/2)*AB98+(1-EXP(-LN(2)/2))/(LN(2)/2)*V99*Y99*VLOOKUP('Données projet'!$B$9,Paramètres!$A$1:$I$89,3,0)*0.475*44/12</f>
        <v>6.6688786230978736E-11</v>
      </c>
      <c r="AC99" s="22">
        <f t="shared" si="57"/>
        <v>14.91051283007792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247.00000000000017</v>
      </c>
      <c r="AJ99" s="13">
        <f>AI99*VLOOKUP('Données projet'!$B$10,Paramètres!$A$1:$I$89,3,0)*VLOOKUP('Données projet'!$B$10,Paramètres!$A$1:$I$89,5,0)</f>
        <v>223.48560000000012</v>
      </c>
      <c r="AK99" s="13">
        <f t="shared" si="89"/>
        <v>54.87176918107798</v>
      </c>
      <c r="AL99" s="20">
        <f t="shared" si="58"/>
        <v>484.80575132371092</v>
      </c>
      <c r="AM99" s="59">
        <f t="shared" si="59"/>
        <v>761.0548035200984</v>
      </c>
      <c r="AN99" s="59">
        <f ca="1">AVERAGE(OFFSET($AM$3,0,0,'Données projet'!$E$10+1,1))-AVERAGE(OFFSET($H$3,0,0,'Données projet'!$E$10+1,1))</f>
        <v>312.51355033343896</v>
      </c>
      <c r="AO99" s="59">
        <f t="shared" si="90"/>
        <v>442.54749157177571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0.16393380080567857</v>
      </c>
      <c r="AV99" s="21">
        <f>EXP(-LN(2)/25)*AV98+(1-EXP(-LN(2)/25))/(LN(2)/25)*Calculateur!AQ99*Calculateur!AS99*VLOOKUP('Données projet'!$B$10,Paramètres!$A$1:$I$89,3,0)*0.475*44/12</f>
        <v>0.68811321220771415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0.8520470130133927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5">
      <c r="A100" s="10">
        <f t="shared" si="85"/>
        <v>97</v>
      </c>
      <c r="B100" s="73">
        <f>'Scénario référence'!$B$16*5+'Scénario référence'!$B$17*0+'Scénario référence'!$B$18*5</f>
        <v>5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1">
        <f t="shared" si="86"/>
        <v>0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0" s="11">
        <f>IF(OR('Scénario référence'!$F$8&gt;0,'Scénario référence'!$F$9&gt;0),('Scénario référence'!$F$8+'Scénario référence'!$F$9)*10,0)</f>
        <v>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67">
        <f t="shared" si="56"/>
        <v>183.33333333333334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112.82287576550925</v>
      </c>
      <c r="T100" s="59">
        <f t="shared" si="88"/>
        <v>317.78570695363294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13.088127179539667</v>
      </c>
      <c r="AA100" s="21">
        <f>EXP(-LN(2)/25)*AA99+(1-EXP(-LN(2)/25))/(LN(2)/25)*Calculateur!V100*Calculateur!X100*VLOOKUP('Données projet'!$B$9,Paramètres!$A$1:$I$89,3,0)*0.475*44/12</f>
        <v>1.5179272976488221</v>
      </c>
      <c r="AB100" s="21">
        <f>EXP(-LN(2)/2)*AB99+(1-EXP(-LN(2)/2))/(LN(2)/2)*V100*Y100*VLOOKUP('Données projet'!$B$9,Paramètres!$A$1:$I$89,3,0)*0.475*44/12</f>
        <v>4.7156092973025125E-11</v>
      </c>
      <c r="AC100" s="22">
        <f t="shared" si="57"/>
        <v>14.606054477235645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247.00000000000017</v>
      </c>
      <c r="AJ100" s="13">
        <f>AI100*VLOOKUP('Données projet'!$B$10,Paramètres!$A$1:$I$89,3,0)*VLOOKUP('Données projet'!$B$10,Paramètres!$A$1:$I$89,5,0)</f>
        <v>223.48560000000012</v>
      </c>
      <c r="AK100" s="13">
        <f t="shared" si="89"/>
        <v>54.87176918107798</v>
      </c>
      <c r="AL100" s="20">
        <f t="shared" si="58"/>
        <v>484.80575132371092</v>
      </c>
      <c r="AM100" s="59">
        <f t="shared" si="59"/>
        <v>761.35117760309367</v>
      </c>
      <c r="AN100" s="59">
        <f ca="1">AVERAGE(OFFSET($AM$3,0,0,'Données projet'!$E$10+1,1))-AVERAGE(OFFSET($H$3,0,0,'Données projet'!$E$10+1,1))</f>
        <v>312.51355033343896</v>
      </c>
      <c r="AO100" s="59">
        <f t="shared" si="90"/>
        <v>442.54749157177571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0.16071915896162453</v>
      </c>
      <c r="AV100" s="21">
        <f>EXP(-LN(2)/25)*AV99+(1-EXP(-LN(2)/25))/(LN(2)/25)*Calculateur!AQ100*Calculateur!AS100*VLOOKUP('Données projet'!$B$10,Paramètres!$A$1:$I$89,3,0)*0.475*44/12</f>
        <v>0.6692967202335931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0.83001587919521769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5">
      <c r="A101" s="10">
        <f t="shared" si="85"/>
        <v>98</v>
      </c>
      <c r="B101" s="73">
        <f>'Scénario référence'!$B$16*5+'Scénario référence'!$B$17*0+'Scénario référence'!$B$18*5</f>
        <v>5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1">
        <f t="shared" si="86"/>
        <v>0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1" s="11">
        <f>IF(OR('Scénario référence'!$F$8&gt;0,'Scénario référence'!$F$9&gt;0),('Scénario référence'!$F$8+'Scénario référence'!$F$9)*10,0)</f>
        <v>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67">
        <f t="shared" si="56"/>
        <v>183.33333333333334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112.82287576550925</v>
      </c>
      <c r="T101" s="59">
        <f t="shared" si="88"/>
        <v>317.78570695363294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12.83147698851822</v>
      </c>
      <c r="AA101" s="21">
        <f>EXP(-LN(2)/25)*AA100+(1-EXP(-LN(2)/25))/(LN(2)/25)*Calculateur!V101*Calculateur!X101*VLOOKUP('Données projet'!$B$9,Paramètres!$A$1:$I$89,3,0)*0.475*44/12</f>
        <v>1.4764194958702876</v>
      </c>
      <c r="AB101" s="21">
        <f>EXP(-LN(2)/2)*AB100+(1-EXP(-LN(2)/2))/(LN(2)/2)*V101*Y101*VLOOKUP('Données projet'!$B$9,Paramètres!$A$1:$I$89,3,0)*0.475*44/12</f>
        <v>3.3344393115489368E-11</v>
      </c>
      <c r="AC101" s="22">
        <f t="shared" si="57"/>
        <v>14.307896484421851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247.00000000000017</v>
      </c>
      <c r="AJ101" s="13">
        <f>AI101*VLOOKUP('Données projet'!$B$10,Paramètres!$A$1:$I$89,3,0)*VLOOKUP('Données projet'!$B$10,Paramètres!$A$1:$I$89,5,0)</f>
        <v>223.48560000000012</v>
      </c>
      <c r="AK101" s="13">
        <f t="shared" si="89"/>
        <v>54.87176918107798</v>
      </c>
      <c r="AL101" s="20">
        <f t="shared" si="58"/>
        <v>484.80575132371092</v>
      </c>
      <c r="AM101" s="59">
        <f t="shared" si="59"/>
        <v>761.64241025834235</v>
      </c>
      <c r="AN101" s="59">
        <f ca="1">AVERAGE(OFFSET($AM$3,0,0,'Données projet'!$E$10+1,1))-AVERAGE(OFFSET($H$3,0,0,'Données projet'!$E$10+1,1))</f>
        <v>312.51355033343896</v>
      </c>
      <c r="AO101" s="59">
        <f t="shared" si="90"/>
        <v>442.54749157177571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0.15756755428339447</v>
      </c>
      <c r="AV101" s="21">
        <f>EXP(-LN(2)/25)*AV100+(1-EXP(-LN(2)/25))/(LN(2)/25)*Calculateur!AQ101*Calculateur!AS101*VLOOKUP('Données projet'!$B$10,Paramètres!$A$1:$I$89,3,0)*0.475*44/12</f>
        <v>0.65099476622202068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0.8085623205054151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5">
      <c r="A102" s="10">
        <f t="shared" si="85"/>
        <v>99</v>
      </c>
      <c r="B102" s="73">
        <f>'Scénario référence'!$B$16*5+'Scénario référence'!$B$17*0+'Scénario référence'!$B$18*5</f>
        <v>5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1">
        <f t="shared" si="86"/>
        <v>0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2" s="11">
        <f>IF(OR('Scénario référence'!$F$8&gt;0,'Scénario référence'!$F$9&gt;0),('Scénario référence'!$F$8+'Scénario référence'!$F$9)*10,0)</f>
        <v>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67">
        <f t="shared" si="56"/>
        <v>183.33333333333334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112.82287576550925</v>
      </c>
      <c r="T102" s="59">
        <f t="shared" si="88"/>
        <v>317.78570695363294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12.579859551201546</v>
      </c>
      <c r="AA102" s="21">
        <f>EXP(-LN(2)/25)*AA101+(1-EXP(-LN(2)/25))/(LN(2)/25)*Calculateur!V102*Calculateur!X102*VLOOKUP('Données projet'!$B$9,Paramètres!$A$1:$I$89,3,0)*0.475*44/12</f>
        <v>1.4360467271141877</v>
      </c>
      <c r="AB102" s="21">
        <f>EXP(-LN(2)/2)*AB101+(1-EXP(-LN(2)/2))/(LN(2)/2)*V102*Y102*VLOOKUP('Données projet'!$B$9,Paramètres!$A$1:$I$89,3,0)*0.475*44/12</f>
        <v>2.3578046486512563E-11</v>
      </c>
      <c r="AC102" s="22">
        <f t="shared" si="57"/>
        <v>14.01590627833931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247.00000000000017</v>
      </c>
      <c r="AJ102" s="13">
        <f>AI102*VLOOKUP('Données projet'!$B$10,Paramètres!$A$1:$I$89,3,0)*VLOOKUP('Données projet'!$B$10,Paramètres!$A$1:$I$89,5,0)</f>
        <v>223.48560000000012</v>
      </c>
      <c r="AK102" s="13">
        <f t="shared" si="89"/>
        <v>54.87176918107798</v>
      </c>
      <c r="AL102" s="20">
        <f t="shared" si="58"/>
        <v>484.80575132371092</v>
      </c>
      <c r="AM102" s="59">
        <f t="shared" si="59"/>
        <v>761.92859067812105</v>
      </c>
      <c r="AN102" s="59">
        <f ca="1">AVERAGE(OFFSET($AM$3,0,0,'Données projet'!$E$10+1,1))-AVERAGE(OFFSET($H$3,0,0,'Données projet'!$E$10+1,1))</f>
        <v>312.51355033343896</v>
      </c>
      <c r="AO102" s="59">
        <f t="shared" si="90"/>
        <v>442.54749157177571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0.15447775065061548</v>
      </c>
      <c r="AV102" s="21">
        <f>EXP(-LN(2)/25)*AV101+(1-EXP(-LN(2)/25))/(LN(2)/25)*Calculateur!AQ102*Calculateur!AS102*VLOOKUP('Données projet'!$B$10,Paramètres!$A$1:$I$89,3,0)*0.475*44/12</f>
        <v>0.63319328010535258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0.787671030755968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5">
      <c r="A103" s="10">
        <f t="shared" si="85"/>
        <v>100</v>
      </c>
      <c r="B103" s="73">
        <f>'Scénario référence'!$B$16*5+'Scénario référence'!$B$17*0+'Scénario référence'!$B$18*5</f>
        <v>5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1">
        <f t="shared" si="86"/>
        <v>0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3" s="11">
        <f>IF(OR('Scénario référence'!$F$8&gt;0,'Scénario référence'!$F$9&gt;0),('Scénario référence'!$F$8+'Scénario référence'!$F$9)*10,0)</f>
        <v>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67">
        <f t="shared" si="56"/>
        <v>183.33333333333334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112.82287576550925</v>
      </c>
      <c r="T103" s="59">
        <f t="shared" si="88"/>
        <v>317.78570695363294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12.333176178359167</v>
      </c>
      <c r="AA103" s="21">
        <f>EXP(-LN(2)/25)*AA102+(1-EXP(-LN(2)/25))/(LN(2)/25)*Calculateur!V103*Calculateur!X103*VLOOKUP('Données projet'!$B$9,Paramètres!$A$1:$I$89,3,0)*0.475*44/12</f>
        <v>1.3967779538428349</v>
      </c>
      <c r="AB103" s="21">
        <f>EXP(-LN(2)/2)*AB102+(1-EXP(-LN(2)/2))/(LN(2)/2)*V103*Y103*VLOOKUP('Données projet'!$B$9,Paramètres!$A$1:$I$89,3,0)*0.475*44/12</f>
        <v>1.6672196557744684E-11</v>
      </c>
      <c r="AC103" s="22">
        <f t="shared" si="57"/>
        <v>13.729954132218674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247.00000000000017</v>
      </c>
      <c r="AJ103" s="13">
        <f>AI103*VLOOKUP('Données projet'!$B$10,Paramètres!$A$1:$I$89,3,0)*VLOOKUP('Données projet'!$B$10,Paramètres!$A$1:$I$89,5,0)</f>
        <v>223.48560000000012</v>
      </c>
      <c r="AK103" s="13">
        <f t="shared" si="89"/>
        <v>54.87176918107798</v>
      </c>
      <c r="AL103" s="20">
        <f t="shared" si="58"/>
        <v>484.80575132371092</v>
      </c>
      <c r="AM103" s="59">
        <f t="shared" si="59"/>
        <v>762.20980650742013</v>
      </c>
      <c r="AN103" s="59">
        <f ca="1">AVERAGE(OFFSET($AM$3,0,0,'Données projet'!$E$10+1,1))-AVERAGE(OFFSET($H$3,0,0,'Données projet'!$E$10+1,1))</f>
        <v>312.51355033343896</v>
      </c>
      <c r="AO103" s="59">
        <f t="shared" si="90"/>
        <v>442.54749157177571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0.15144853618248114</v>
      </c>
      <c r="AV103" s="21">
        <f>EXP(-LN(2)/25)*AV102+(1-EXP(-LN(2)/25))/(LN(2)/25)*Calculateur!AQ103*Calculateur!AS103*VLOOKUP('Données projet'!$B$10,Paramètres!$A$1:$I$89,3,0)*0.475*44/12</f>
        <v>0.6158785765626843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0.76732711274516541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5">
      <c r="A104" s="10">
        <f t="shared" si="85"/>
        <v>101</v>
      </c>
      <c r="B104" s="73">
        <f>'Scénario référence'!$B$16*5+'Scénario référence'!$B$17*0+'Scénario référence'!$B$18*5</f>
        <v>5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1">
        <f t="shared" si="86"/>
        <v>0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4" s="11">
        <f>IF(OR('Scénario référence'!$F$8&gt;0,'Scénario référence'!$F$9&gt;0),('Scénario référence'!$F$8+'Scénario référence'!$F$9)*10,0)</f>
        <v>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67">
        <f t="shared" si="56"/>
        <v>183.33333333333334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112.82287576550925</v>
      </c>
      <c r="T104" s="59">
        <f t="shared" si="88"/>
        <v>317.78570695363294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12.091330115996229</v>
      </c>
      <c r="AA104" s="21">
        <f>EXP(-LN(2)/25)*AA103+(1-EXP(-LN(2)/25))/(LN(2)/25)*Calculateur!V104*Calculateur!X104*VLOOKUP('Données projet'!$B$9,Paramètres!$A$1:$I$89,3,0)*0.475*44/12</f>
        <v>1.3585829872416424</v>
      </c>
      <c r="AB104" s="21">
        <f>EXP(-LN(2)/2)*AB103+(1-EXP(-LN(2)/2))/(LN(2)/2)*V104*Y104*VLOOKUP('Données projet'!$B$9,Paramètres!$A$1:$I$89,3,0)*0.475*44/12</f>
        <v>1.1789023243256281E-11</v>
      </c>
      <c r="AC104" s="22">
        <f t="shared" si="57"/>
        <v>13.449913103249662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247.00000000000017</v>
      </c>
      <c r="AJ104" s="13">
        <f>AI104*VLOOKUP('Données projet'!$B$10,Paramètres!$A$1:$I$89,3,0)*VLOOKUP('Données projet'!$B$10,Paramètres!$A$1:$I$89,5,0)</f>
        <v>223.48560000000012</v>
      </c>
      <c r="AK104" s="13">
        <f t="shared" si="89"/>
        <v>54.87176918107798</v>
      </c>
      <c r="AL104" s="20">
        <f t="shared" si="58"/>
        <v>484.80575132371092</v>
      </c>
      <c r="AM104" s="59">
        <f t="shared" si="59"/>
        <v>762.48614387078533</v>
      </c>
      <c r="AN104" s="59">
        <f ca="1">AVERAGE(OFFSET($AM$3,0,0,'Données projet'!$E$10+1,1))-AVERAGE(OFFSET($H$3,0,0,'Données projet'!$E$10+1,1))</f>
        <v>312.51355033343896</v>
      </c>
      <c r="AO104" s="59">
        <f t="shared" si="90"/>
        <v>442.54749157177571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0.14847872276242852</v>
      </c>
      <c r="AV104" s="21">
        <f>EXP(-LN(2)/25)*AV103+(1-EXP(-LN(2)/25))/(LN(2)/25)*Calculateur!AQ104*Calculateur!AS104*VLOOKUP('Données projet'!$B$10,Paramètres!$A$1:$I$89,3,0)*0.475*44/12</f>
        <v>0.59903734449893098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0.74751606726135944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5">
      <c r="A105" s="10">
        <f t="shared" si="85"/>
        <v>102</v>
      </c>
      <c r="B105" s="73">
        <f>'Scénario référence'!$B$16*5+'Scénario référence'!$B$17*0+'Scénario référence'!$B$18*5</f>
        <v>5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1">
        <f t="shared" si="86"/>
        <v>0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5" s="11">
        <f>IF(OR('Scénario référence'!$F$8&gt;0,'Scénario référence'!$F$9&gt;0),('Scénario référence'!$F$8+'Scénario référence'!$F$9)*10,0)</f>
        <v>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67">
        <f t="shared" si="56"/>
        <v>183.33333333333334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112.82287576550925</v>
      </c>
      <c r="T105" s="59">
        <f t="shared" si="88"/>
        <v>317.78570695363294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11.854226507404695</v>
      </c>
      <c r="AA105" s="21">
        <f>EXP(-LN(2)/25)*AA104+(1-EXP(-LN(2)/25))/(LN(2)/25)*Calculateur!V105*Calculateur!X105*VLOOKUP('Données projet'!$B$9,Paramètres!$A$1:$I$89,3,0)*0.475*44/12</f>
        <v>1.3214324640107455</v>
      </c>
      <c r="AB105" s="21">
        <f>EXP(-LN(2)/2)*AB104+(1-EXP(-LN(2)/2))/(LN(2)/2)*V105*Y105*VLOOKUP('Données projet'!$B$9,Paramètres!$A$1:$I$89,3,0)*0.475*44/12</f>
        <v>8.336098278872342E-12</v>
      </c>
      <c r="AC105" s="22">
        <f t="shared" si="57"/>
        <v>13.175658971423777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247.00000000000017</v>
      </c>
      <c r="AJ105" s="13">
        <f>AI105*VLOOKUP('Données projet'!$B$10,Paramètres!$A$1:$I$89,3,0)*VLOOKUP('Données projet'!$B$10,Paramètres!$A$1:$I$89,5,0)</f>
        <v>223.48560000000012</v>
      </c>
      <c r="AK105" s="13">
        <f t="shared" si="89"/>
        <v>54.87176918107798</v>
      </c>
      <c r="AL105" s="20">
        <f t="shared" si="58"/>
        <v>484.80575132371092</v>
      </c>
      <c r="AM105" s="59">
        <f t="shared" si="59"/>
        <v>762.75768739869386</v>
      </c>
      <c r="AN105" s="59">
        <f ca="1">AVERAGE(OFFSET($AM$3,0,0,'Données projet'!$E$10+1,1))-AVERAGE(OFFSET($H$3,0,0,'Données projet'!$E$10+1,1))</f>
        <v>312.51355033343896</v>
      </c>
      <c r="AO105" s="59">
        <f t="shared" si="90"/>
        <v>442.54749157177571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0.14556714557213582</v>
      </c>
      <c r="AV105" s="21">
        <f>EXP(-LN(2)/25)*AV104+(1-EXP(-LN(2)/25))/(LN(2)/25)*Calculateur!AQ105*Calculateur!AS105*VLOOKUP('Données projet'!$B$10,Paramètres!$A$1:$I$89,3,0)*0.475*44/12</f>
        <v>0.58265663681160285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0.72822378238373864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5">
      <c r="A106" s="10">
        <f t="shared" si="85"/>
        <v>103</v>
      </c>
      <c r="B106" s="73">
        <f>'Scénario référence'!$B$16*5+'Scénario référence'!$B$17*0+'Scénario référence'!$B$18*5</f>
        <v>5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1">
        <f t="shared" si="86"/>
        <v>0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6" s="11">
        <f>IF(OR('Scénario référence'!$F$8&gt;0,'Scénario référence'!$F$9&gt;0),('Scénario référence'!$F$8+'Scénario référence'!$F$9)*10,0)</f>
        <v>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67">
        <f t="shared" si="56"/>
        <v>183.33333333333334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112.82287576550925</v>
      </c>
      <c r="T106" s="59">
        <f t="shared" si="88"/>
        <v>317.78570695363294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11.621772355958718</v>
      </c>
      <c r="AA106" s="21">
        <f>EXP(-LN(2)/25)*AA105+(1-EXP(-LN(2)/25))/(LN(2)/25)*Calculateur!V106*Calculateur!X106*VLOOKUP('Données projet'!$B$9,Paramètres!$A$1:$I$89,3,0)*0.475*44/12</f>
        <v>1.2852978237912587</v>
      </c>
      <c r="AB106" s="21">
        <f>EXP(-LN(2)/2)*AB105+(1-EXP(-LN(2)/2))/(LN(2)/2)*V106*Y106*VLOOKUP('Données projet'!$B$9,Paramètres!$A$1:$I$89,3,0)*0.475*44/12</f>
        <v>5.8945116216281406E-12</v>
      </c>
      <c r="AC106" s="22">
        <f t="shared" si="57"/>
        <v>12.907070179755872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247.00000000000017</v>
      </c>
      <c r="AJ106" s="13">
        <f>AI106*VLOOKUP('Données projet'!$B$10,Paramètres!$A$1:$I$89,3,0)*VLOOKUP('Données projet'!$B$10,Paramètres!$A$1:$I$89,5,0)</f>
        <v>223.48560000000012</v>
      </c>
      <c r="AK106" s="13">
        <f t="shared" si="89"/>
        <v>54.87176918107798</v>
      </c>
      <c r="AL106" s="20">
        <f t="shared" si="58"/>
        <v>484.80575132371092</v>
      </c>
      <c r="AM106" s="59">
        <f t="shared" si="59"/>
        <v>763.02452025347361</v>
      </c>
      <c r="AN106" s="59">
        <f ca="1">AVERAGE(OFFSET($AM$3,0,0,'Données projet'!$E$10+1,1))-AVERAGE(OFFSET($H$3,0,0,'Données projet'!$E$10+1,1))</f>
        <v>312.51355033343896</v>
      </c>
      <c r="AO106" s="59">
        <f t="shared" si="90"/>
        <v>442.54749157177571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0.14271266263465804</v>
      </c>
      <c r="AV106" s="21">
        <f>EXP(-LN(2)/25)*AV105+(1-EXP(-LN(2)/25))/(LN(2)/25)*Calculateur!AQ106*Calculateur!AS106*VLOOKUP('Données projet'!$B$10,Paramètres!$A$1:$I$89,3,0)*0.475*44/12</f>
        <v>0.56672386043740874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0.70943652307206673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5">
      <c r="A107" s="10">
        <f t="shared" si="85"/>
        <v>104</v>
      </c>
      <c r="B107" s="73">
        <f>'Scénario référence'!$B$16*5+'Scénario référence'!$B$17*0+'Scénario référence'!$B$18*5</f>
        <v>5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1">
        <f t="shared" si="86"/>
        <v>0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7" s="11">
        <f>IF(OR('Scénario référence'!$F$8&gt;0,'Scénario référence'!$F$9&gt;0),('Scénario référence'!$F$8+'Scénario référence'!$F$9)*10,0)</f>
        <v>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67">
        <f t="shared" si="56"/>
        <v>183.33333333333334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112.82287576550925</v>
      </c>
      <c r="T107" s="59">
        <f t="shared" si="88"/>
        <v>317.78570695363294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11.393876488639567</v>
      </c>
      <c r="AA107" s="21">
        <f>EXP(-LN(2)/25)*AA106+(1-EXP(-LN(2)/25))/(LN(2)/25)*Calculateur!V107*Calculateur!X107*VLOOKUP('Données projet'!$B$9,Paramètres!$A$1:$I$89,3,0)*0.475*44/12</f>
        <v>1.2501512872088116</v>
      </c>
      <c r="AB107" s="21">
        <f>EXP(-LN(2)/2)*AB106+(1-EXP(-LN(2)/2))/(LN(2)/2)*V107*Y107*VLOOKUP('Données projet'!$B$9,Paramètres!$A$1:$I$89,3,0)*0.475*44/12</f>
        <v>4.168049139436171E-12</v>
      </c>
      <c r="AC107" s="22">
        <f t="shared" si="57"/>
        <v>12.644027775852546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247.00000000000017</v>
      </c>
      <c r="AJ107" s="13">
        <f>AI107*VLOOKUP('Données projet'!$B$10,Paramètres!$A$1:$I$89,3,0)*VLOOKUP('Données projet'!$B$10,Paramètres!$A$1:$I$89,5,0)</f>
        <v>223.48560000000012</v>
      </c>
      <c r="AK107" s="13">
        <f t="shared" si="89"/>
        <v>54.87176918107798</v>
      </c>
      <c r="AL107" s="20">
        <f t="shared" si="58"/>
        <v>484.80575132371092</v>
      </c>
      <c r="AM107" s="59">
        <f t="shared" si="59"/>
        <v>763.28672415477183</v>
      </c>
      <c r="AN107" s="59">
        <f ca="1">AVERAGE(OFFSET($AM$3,0,0,'Données projet'!$E$10+1,1))-AVERAGE(OFFSET($H$3,0,0,'Données projet'!$E$10+1,1))</f>
        <v>312.51355033343896</v>
      </c>
      <c r="AO107" s="59">
        <f t="shared" si="90"/>
        <v>442.54749157177571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0.13991415436652152</v>
      </c>
      <c r="AV107" s="21">
        <f>EXP(-LN(2)/25)*AV106+(1-EXP(-LN(2)/25))/(LN(2)/25)*Calculateur!AQ107*Calculateur!AS107*VLOOKUP('Données projet'!$B$10,Paramètres!$A$1:$I$89,3,0)*0.475*44/12</f>
        <v>0.55122676667103521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0.69114092103755675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5">
      <c r="A108" s="10">
        <f t="shared" si="85"/>
        <v>105</v>
      </c>
      <c r="B108" s="73">
        <f>'Scénario référence'!$B$16*5+'Scénario référence'!$B$17*0+'Scénario référence'!$B$18*5</f>
        <v>5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1">
        <f t="shared" si="86"/>
        <v>0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8" s="11">
        <f>IF(OR('Scénario référence'!$F$8&gt;0,'Scénario référence'!$F$9&gt;0),('Scénario référence'!$F$8+'Scénario référence'!$F$9)*10,0)</f>
        <v>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67">
        <f t="shared" si="56"/>
        <v>183.33333333333334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112.82287576550925</v>
      </c>
      <c r="T108" s="59">
        <f t="shared" si="88"/>
        <v>317.78570695363294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11.170449520275788</v>
      </c>
      <c r="AA108" s="21">
        <f>EXP(-LN(2)/25)*AA107+(1-EXP(-LN(2)/25))/(LN(2)/25)*Calculateur!V108*Calculateur!X108*VLOOKUP('Données projet'!$B$9,Paramètres!$A$1:$I$89,3,0)*0.475*44/12</f>
        <v>1.2159658345174877</v>
      </c>
      <c r="AB108" s="21">
        <f>EXP(-LN(2)/2)*AB107+(1-EXP(-LN(2)/2))/(LN(2)/2)*V108*Y108*VLOOKUP('Données projet'!$B$9,Paramètres!$A$1:$I$89,3,0)*0.475*44/12</f>
        <v>2.9472558108140703E-12</v>
      </c>
      <c r="AC108" s="22">
        <f t="shared" si="57"/>
        <v>12.386415354796222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247.00000000000017</v>
      </c>
      <c r="AJ108" s="13">
        <f>AI108*VLOOKUP('Données projet'!$B$10,Paramètres!$A$1:$I$89,3,0)*VLOOKUP('Données projet'!$B$10,Paramètres!$A$1:$I$89,5,0)</f>
        <v>223.48560000000012</v>
      </c>
      <c r="AK108" s="13">
        <f t="shared" si="89"/>
        <v>54.87176918107798</v>
      </c>
      <c r="AL108" s="20">
        <f t="shared" si="58"/>
        <v>484.80575132371092</v>
      </c>
      <c r="AM108" s="59">
        <f t="shared" si="59"/>
        <v>763.54437940458274</v>
      </c>
      <c r="AN108" s="59">
        <f ca="1">AVERAGE(OFFSET($AM$3,0,0,'Données projet'!$E$10+1,1))-AVERAGE(OFFSET($H$3,0,0,'Données projet'!$E$10+1,1))</f>
        <v>312.51355033343896</v>
      </c>
      <c r="AO108" s="59">
        <f t="shared" si="90"/>
        <v>442.54749157177571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0.13717052313860165</v>
      </c>
      <c r="AV108" s="21">
        <f>EXP(-LN(2)/25)*AV107+(1-EXP(-LN(2)/25))/(LN(2)/25)*Calculateur!AQ108*Calculateur!AS108*VLOOKUP('Données projet'!$B$10,Paramètres!$A$1:$I$89,3,0)*0.475*44/12</f>
        <v>0.53615344174865998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0.67332396488726165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5">
      <c r="A109" s="10">
        <f t="shared" si="85"/>
        <v>106</v>
      </c>
      <c r="B109" s="73">
        <f>'Scénario référence'!$B$16*5+'Scénario référence'!$B$17*0+'Scénario référence'!$B$18*5</f>
        <v>5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1">
        <f t="shared" si="86"/>
        <v>0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9" s="11">
        <f>IF(OR('Scénario référence'!$F$8&gt;0,'Scénario référence'!$F$9&gt;0),('Scénario référence'!$F$8+'Scénario référence'!$F$9)*10,0)</f>
        <v>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67">
        <f t="shared" si="56"/>
        <v>183.33333333333334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112.82287576550925</v>
      </c>
      <c r="T109" s="59">
        <f t="shared" si="88"/>
        <v>317.78570695363294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10.95140381848463</v>
      </c>
      <c r="AA109" s="21">
        <f>EXP(-LN(2)/25)*AA108+(1-EXP(-LN(2)/25))/(LN(2)/25)*Calculateur!V109*Calculateur!X109*VLOOKUP('Données projet'!$B$9,Paramètres!$A$1:$I$89,3,0)*0.475*44/12</f>
        <v>1.1827151848277428</v>
      </c>
      <c r="AB109" s="21">
        <f>EXP(-LN(2)/2)*AB108+(1-EXP(-LN(2)/2))/(LN(2)/2)*V109*Y109*VLOOKUP('Données projet'!$B$9,Paramètres!$A$1:$I$89,3,0)*0.475*44/12</f>
        <v>2.0840245697180855E-12</v>
      </c>
      <c r="AC109" s="22">
        <f t="shared" si="57"/>
        <v>12.134119003314456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247.00000000000017</v>
      </c>
      <c r="AJ109" s="13">
        <f>AI109*VLOOKUP('Données projet'!$B$10,Paramètres!$A$1:$I$89,3,0)*VLOOKUP('Données projet'!$B$10,Paramètres!$A$1:$I$89,5,0)</f>
        <v>223.48560000000012</v>
      </c>
      <c r="AK109" s="13">
        <f t="shared" si="89"/>
        <v>54.87176918107798</v>
      </c>
      <c r="AL109" s="20">
        <f t="shared" si="58"/>
        <v>484.80575132371092</v>
      </c>
      <c r="AM109" s="59">
        <f t="shared" si="59"/>
        <v>763.79756491184003</v>
      </c>
      <c r="AN109" s="59">
        <f ca="1">AVERAGE(OFFSET($AM$3,0,0,'Données projet'!$E$10+1,1))-AVERAGE(OFFSET($H$3,0,0,'Données projet'!$E$10+1,1))</f>
        <v>312.51355033343896</v>
      </c>
      <c r="AO109" s="59">
        <f t="shared" si="90"/>
        <v>442.54749157177571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0.13448069284561148</v>
      </c>
      <c r="AV109" s="21">
        <f>EXP(-LN(2)/25)*AV108+(1-EXP(-LN(2)/25))/(LN(2)/25)*Calculateur!AQ109*Calculateur!AS109*VLOOKUP('Données projet'!$B$10,Paramètres!$A$1:$I$89,3,0)*0.475*44/12</f>
        <v>0.52149229768895877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0.65597299053457025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5">
      <c r="A110" s="10">
        <f t="shared" si="85"/>
        <v>107</v>
      </c>
      <c r="B110" s="73">
        <f>'Scénario référence'!$B$16*5+'Scénario référence'!$B$17*0+'Scénario référence'!$B$18*5</f>
        <v>5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1">
        <f t="shared" si="86"/>
        <v>0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0" s="11">
        <f>IF(OR('Scénario référence'!$F$8&gt;0,'Scénario référence'!$F$9&gt;0),('Scénario référence'!$F$8+'Scénario référence'!$F$9)*10,0)</f>
        <v>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67">
        <f t="shared" si="56"/>
        <v>183.33333333333334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112.82287576550925</v>
      </c>
      <c r="T110" s="59">
        <f t="shared" si="88"/>
        <v>317.78570695363294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10.736653469300911</v>
      </c>
      <c r="AA110" s="21">
        <f>EXP(-LN(2)/25)*AA109+(1-EXP(-LN(2)/25))/(LN(2)/25)*Calculateur!V110*Calculateur!X110*VLOOKUP('Données projet'!$B$9,Paramètres!$A$1:$I$89,3,0)*0.475*44/12</f>
        <v>1.1503737759023398</v>
      </c>
      <c r="AB110" s="21">
        <f>EXP(-LN(2)/2)*AB109+(1-EXP(-LN(2)/2))/(LN(2)/2)*V110*Y110*VLOOKUP('Données projet'!$B$9,Paramètres!$A$1:$I$89,3,0)*0.475*44/12</f>
        <v>1.4736279054070352E-12</v>
      </c>
      <c r="AC110" s="22">
        <f t="shared" si="57"/>
        <v>11.887027245204726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247.00000000000017</v>
      </c>
      <c r="AJ110" s="13">
        <f>AI110*VLOOKUP('Données projet'!$B$10,Paramètres!$A$1:$I$89,3,0)*VLOOKUP('Données projet'!$B$10,Paramètres!$A$1:$I$89,5,0)</f>
        <v>223.48560000000012</v>
      </c>
      <c r="AK110" s="13">
        <f t="shared" si="89"/>
        <v>54.87176918107798</v>
      </c>
      <c r="AL110" s="20">
        <f t="shared" si="58"/>
        <v>484.80575132371092</v>
      </c>
      <c r="AM110" s="59">
        <f t="shared" si="59"/>
        <v>764.04635821658462</v>
      </c>
      <c r="AN110" s="59">
        <f ca="1">AVERAGE(OFFSET($AM$3,0,0,'Données projet'!$E$10+1,1))-AVERAGE(OFFSET($H$3,0,0,'Données projet'!$E$10+1,1))</f>
        <v>312.51355033343896</v>
      </c>
      <c r="AO110" s="59">
        <f t="shared" si="90"/>
        <v>442.54749157177571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0.13184360848403237</v>
      </c>
      <c r="AV110" s="21">
        <f>EXP(-LN(2)/25)*AV109+(1-EXP(-LN(2)/25))/(LN(2)/25)*Calculateur!AQ110*Calculateur!AS110*VLOOKUP('Données projet'!$B$10,Paramètres!$A$1:$I$89,3,0)*0.475*44/12</f>
        <v>0.50723206338456617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0.63907567186859859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5">
      <c r="A111" s="10">
        <f t="shared" si="85"/>
        <v>108</v>
      </c>
      <c r="B111" s="73">
        <f>'Scénario référence'!$B$16*5+'Scénario référence'!$B$17*0+'Scénario référence'!$B$18*5</f>
        <v>5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1">
        <f t="shared" si="86"/>
        <v>0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1" s="11">
        <f>IF(OR('Scénario référence'!$F$8&gt;0,'Scénario référence'!$F$9&gt;0),('Scénario référence'!$F$8+'Scénario référence'!$F$9)*10,0)</f>
        <v>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67">
        <f t="shared" si="56"/>
        <v>183.33333333333334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112.82287576550925</v>
      </c>
      <c r="T111" s="59">
        <f t="shared" si="88"/>
        <v>317.78570695363294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10.526114243479904</v>
      </c>
      <c r="AA111" s="21">
        <f>EXP(-LN(2)/25)*AA110+(1-EXP(-LN(2)/25))/(LN(2)/25)*Calculateur!V111*Calculateur!X111*VLOOKUP('Données projet'!$B$9,Paramètres!$A$1:$I$89,3,0)*0.475*44/12</f>
        <v>1.1189167445047628</v>
      </c>
      <c r="AB111" s="21">
        <f>EXP(-LN(2)/2)*AB110+(1-EXP(-LN(2)/2))/(LN(2)/2)*V111*Y111*VLOOKUP('Données projet'!$B$9,Paramètres!$A$1:$I$89,3,0)*0.475*44/12</f>
        <v>1.0420122848590428E-12</v>
      </c>
      <c r="AC111" s="22">
        <f t="shared" si="57"/>
        <v>11.645030987985709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247.00000000000017</v>
      </c>
      <c r="AJ111" s="13">
        <f>AI111*VLOOKUP('Données projet'!$B$10,Paramètres!$A$1:$I$89,3,0)*VLOOKUP('Données projet'!$B$10,Paramètres!$A$1:$I$89,5,0)</f>
        <v>223.48560000000012</v>
      </c>
      <c r="AK111" s="13">
        <f t="shared" si="89"/>
        <v>54.87176918107798</v>
      </c>
      <c r="AL111" s="20">
        <f t="shared" si="58"/>
        <v>484.80575132371092</v>
      </c>
      <c r="AM111" s="59">
        <f t="shared" si="59"/>
        <v>764.29083551371025</v>
      </c>
      <c r="AN111" s="59">
        <f ca="1">AVERAGE(OFFSET($AM$3,0,0,'Données projet'!$E$10+1,1))-AVERAGE(OFFSET($H$3,0,0,'Données projet'!$E$10+1,1))</f>
        <v>312.51355033343896</v>
      </c>
      <c r="AO111" s="59">
        <f t="shared" si="90"/>
        <v>442.54749157177571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0.12925823573832118</v>
      </c>
      <c r="AV111" s="21">
        <f>EXP(-LN(2)/25)*AV110+(1-EXP(-LN(2)/25))/(LN(2)/25)*Calculateur!AQ111*Calculateur!AS111*VLOOKUP('Données projet'!$B$10,Paramètres!$A$1:$I$89,3,0)*0.475*44/12</f>
        <v>0.49336177593714031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0.62262001167546144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5">
      <c r="A112" s="10">
        <f t="shared" si="85"/>
        <v>109</v>
      </c>
      <c r="B112" s="73">
        <f>'Scénario référence'!$B$16*5+'Scénario référence'!$B$17*0+'Scénario référence'!$B$18*5</f>
        <v>5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1">
        <f t="shared" si="86"/>
        <v>0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2" s="11">
        <f>IF(OR('Scénario référence'!$F$8&gt;0,'Scénario référence'!$F$9&gt;0),('Scénario référence'!$F$8+'Scénario référence'!$F$9)*10,0)</f>
        <v>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67">
        <f t="shared" si="56"/>
        <v>183.33333333333334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112.82287576550925</v>
      </c>
      <c r="T112" s="59">
        <f t="shared" si="88"/>
        <v>317.78570695363294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10.319703563461001</v>
      </c>
      <c r="AA112" s="21">
        <f>EXP(-LN(2)/25)*AA111+(1-EXP(-LN(2)/25))/(LN(2)/25)*Calculateur!V112*Calculateur!X112*VLOOKUP('Données projet'!$B$9,Paramètres!$A$1:$I$89,3,0)*0.475*44/12</f>
        <v>1.0883199072850058</v>
      </c>
      <c r="AB112" s="21">
        <f>EXP(-LN(2)/2)*AB111+(1-EXP(-LN(2)/2))/(LN(2)/2)*V112*Y112*VLOOKUP('Données projet'!$B$9,Paramètres!$A$1:$I$89,3,0)*0.475*44/12</f>
        <v>7.3681395270351758E-13</v>
      </c>
      <c r="AC112" s="22">
        <f t="shared" si="57"/>
        <v>11.408023470746745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247.00000000000017</v>
      </c>
      <c r="AJ112" s="13">
        <f>AI112*VLOOKUP('Données projet'!$B$10,Paramètres!$A$1:$I$89,3,0)*VLOOKUP('Données projet'!$B$10,Paramètres!$A$1:$I$89,5,0)</f>
        <v>223.48560000000012</v>
      </c>
      <c r="AK112" s="13">
        <f t="shared" si="89"/>
        <v>54.87176918107798</v>
      </c>
      <c r="AL112" s="20">
        <f t="shared" si="58"/>
        <v>484.80575132371092</v>
      </c>
      <c r="AM112" s="59">
        <f t="shared" si="59"/>
        <v>764.53107167630014</v>
      </c>
      <c r="AN112" s="59">
        <f ca="1">AVERAGE(OFFSET($AM$3,0,0,'Données projet'!$E$10+1,1))-AVERAGE(OFFSET($H$3,0,0,'Données projet'!$E$10+1,1))</f>
        <v>312.51355033343896</v>
      </c>
      <c r="AO112" s="59">
        <f t="shared" si="90"/>
        <v>442.54749157177571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0.12672356057523174</v>
      </c>
      <c r="AV112" s="21">
        <f>EXP(-LN(2)/25)*AV111+(1-EXP(-LN(2)/25))/(LN(2)/25)*Calculateur!AQ112*Calculateur!AS112*VLOOKUP('Données projet'!$B$10,Paramètres!$A$1:$I$89,3,0)*0.475*44/12</f>
        <v>0.47987077222937102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0.60659433280460273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5">
      <c r="A113" s="10">
        <f t="shared" si="85"/>
        <v>110</v>
      </c>
      <c r="B113" s="73">
        <f>'Scénario référence'!$B$16*5+'Scénario référence'!$B$17*0+'Scénario référence'!$B$18*5</f>
        <v>5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1">
        <f t="shared" si="86"/>
        <v>0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3" s="11">
        <f>IF(OR('Scénario référence'!$F$8&gt;0,'Scénario référence'!$F$9&gt;0),('Scénario référence'!$F$8+'Scénario référence'!$F$9)*10,0)</f>
        <v>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67">
        <f t="shared" si="56"/>
        <v>183.33333333333334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112.82287576550925</v>
      </c>
      <c r="T113" s="59">
        <f t="shared" si="88"/>
        <v>317.78570695363294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10.117340470979185</v>
      </c>
      <c r="AA113" s="21">
        <f>EXP(-LN(2)/25)*AA112+(1-EXP(-LN(2)/25))/(LN(2)/25)*Calculateur!V113*Calculateur!X113*VLOOKUP('Données projet'!$B$9,Paramètres!$A$1:$I$89,3,0)*0.475*44/12</f>
        <v>1.0585597421880408</v>
      </c>
      <c r="AB113" s="21">
        <f>EXP(-LN(2)/2)*AB112+(1-EXP(-LN(2)/2))/(LN(2)/2)*V113*Y113*VLOOKUP('Données projet'!$B$9,Paramètres!$A$1:$I$89,3,0)*0.475*44/12</f>
        <v>5.2100614242952138E-13</v>
      </c>
      <c r="AC113" s="22">
        <f t="shared" si="57"/>
        <v>11.175900213167747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247.00000000000017</v>
      </c>
      <c r="AJ113" s="13">
        <f>AI113*VLOOKUP('Données projet'!$B$10,Paramètres!$A$1:$I$89,3,0)*VLOOKUP('Données projet'!$B$10,Paramètres!$A$1:$I$89,5,0)</f>
        <v>223.48560000000012</v>
      </c>
      <c r="AK113" s="13">
        <f t="shared" si="89"/>
        <v>54.87176918107798</v>
      </c>
      <c r="AL113" s="20">
        <f t="shared" si="58"/>
        <v>484.80575132371092</v>
      </c>
      <c r="AM113" s="59">
        <f t="shared" si="59"/>
        <v>764.76714027855678</v>
      </c>
      <c r="AN113" s="59">
        <f ca="1">AVERAGE(OFFSET($AM$3,0,0,'Données projet'!$E$10+1,1))-AVERAGE(OFFSET($H$3,0,0,'Données projet'!$E$10+1,1))</f>
        <v>312.51355033343896</v>
      </c>
      <c r="AO113" s="59">
        <f t="shared" si="90"/>
        <v>442.54749157177571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0.12423858884609126</v>
      </c>
      <c r="AV113" s="21">
        <f>EXP(-LN(2)/25)*AV112+(1-EXP(-LN(2)/25))/(LN(2)/25)*Calculateur!AQ113*Calculateur!AS113*VLOOKUP('Données projet'!$B$10,Paramètres!$A$1:$I$89,3,0)*0.475*44/12</f>
        <v>0.46674868072745174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0.59098726957354297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5">
      <c r="A114" s="10">
        <f t="shared" si="85"/>
        <v>111</v>
      </c>
      <c r="B114" s="73">
        <f>'Scénario référence'!$B$16*5+'Scénario référence'!$B$17*0+'Scénario référence'!$B$18*5</f>
        <v>5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1">
        <f t="shared" si="86"/>
        <v>0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4" s="11">
        <f>IF(OR('Scénario référence'!$F$8&gt;0,'Scénario référence'!$F$9&gt;0),('Scénario référence'!$F$8+'Scénario référence'!$F$9)*10,0)</f>
        <v>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67">
        <f t="shared" si="56"/>
        <v>183.33333333333334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112.82287576550925</v>
      </c>
      <c r="T114" s="59">
        <f t="shared" si="88"/>
        <v>317.78570695363294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9.9189455953116372</v>
      </c>
      <c r="AA114" s="21">
        <f>EXP(-LN(2)/25)*AA113+(1-EXP(-LN(2)/25))/(LN(2)/25)*Calculateur!V114*Calculateur!X114*VLOOKUP('Données projet'!$B$9,Paramètres!$A$1:$I$89,3,0)*0.475*44/12</f>
        <v>1.0296133703706714</v>
      </c>
      <c r="AB114" s="21">
        <f>EXP(-LN(2)/2)*AB113+(1-EXP(-LN(2)/2))/(LN(2)/2)*V114*Y114*VLOOKUP('Données projet'!$B$9,Paramètres!$A$1:$I$89,3,0)*0.475*44/12</f>
        <v>3.6840697635175879E-13</v>
      </c>
      <c r="AC114" s="22">
        <f t="shared" si="57"/>
        <v>10.948558965682677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247.00000000000017</v>
      </c>
      <c r="AJ114" s="13">
        <f>AI114*VLOOKUP('Données projet'!$B$10,Paramètres!$A$1:$I$89,3,0)*VLOOKUP('Données projet'!$B$10,Paramètres!$A$1:$I$89,5,0)</f>
        <v>223.48560000000012</v>
      </c>
      <c r="AK114" s="13">
        <f t="shared" si="89"/>
        <v>54.87176918107798</v>
      </c>
      <c r="AL114" s="20">
        <f t="shared" si="58"/>
        <v>484.80575132371092</v>
      </c>
      <c r="AM114" s="59">
        <f t="shared" si="59"/>
        <v>764.99911361833449</v>
      </c>
      <c r="AN114" s="59">
        <f ca="1">AVERAGE(OFFSET($AM$3,0,0,'Données projet'!$E$10+1,1))-AVERAGE(OFFSET($H$3,0,0,'Données projet'!$E$10+1,1))</f>
        <v>312.51355033343896</v>
      </c>
      <c r="AO114" s="59">
        <f t="shared" si="90"/>
        <v>442.54749157177571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0.12180234589687615</v>
      </c>
      <c r="AV114" s="21">
        <f>EXP(-LN(2)/25)*AV113+(1-EXP(-LN(2)/25))/(LN(2)/25)*Calculateur!AQ114*Calculateur!AS114*VLOOKUP('Données projet'!$B$10,Paramètres!$A$1:$I$89,3,0)*0.475*44/12</f>
        <v>0.45398541350771321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0.57578775940458937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5">
      <c r="A115" s="10">
        <f t="shared" si="85"/>
        <v>112</v>
      </c>
      <c r="B115" s="73">
        <f>'Scénario référence'!$B$16*5+'Scénario référence'!$B$17*0+'Scénario référence'!$B$18*5</f>
        <v>5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1">
        <f t="shared" si="86"/>
        <v>0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5" s="11">
        <f>IF(OR('Scénario référence'!$F$8&gt;0,'Scénario référence'!$F$9&gt;0),('Scénario référence'!$F$8+'Scénario référence'!$F$9)*10,0)</f>
        <v>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67">
        <f t="shared" si="56"/>
        <v>183.33333333333334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112.82287576550925</v>
      </c>
      <c r="T115" s="59">
        <f t="shared" si="88"/>
        <v>317.78570695363294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9.724441122147006</v>
      </c>
      <c r="AA115" s="21">
        <f>EXP(-LN(2)/25)*AA114+(1-EXP(-LN(2)/25))/(LN(2)/25)*Calculateur!V115*Calculateur!X115*VLOOKUP('Données projet'!$B$9,Paramètres!$A$1:$I$89,3,0)*0.475*44/12</f>
        <v>1.0014585386128714</v>
      </c>
      <c r="AB115" s="21">
        <f>EXP(-LN(2)/2)*AB114+(1-EXP(-LN(2)/2))/(LN(2)/2)*V115*Y115*VLOOKUP('Données projet'!$B$9,Paramètres!$A$1:$I$89,3,0)*0.475*44/12</f>
        <v>2.6050307121476069E-13</v>
      </c>
      <c r="AC115" s="22">
        <f t="shared" si="57"/>
        <v>10.725899660760138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247.00000000000017</v>
      </c>
      <c r="AJ115" s="13">
        <f>AI115*VLOOKUP('Données projet'!$B$10,Paramètres!$A$1:$I$89,3,0)*VLOOKUP('Données projet'!$B$10,Paramètres!$A$1:$I$89,5,0)</f>
        <v>223.48560000000012</v>
      </c>
      <c r="AK115" s="13">
        <f t="shared" si="89"/>
        <v>54.87176918107798</v>
      </c>
      <c r="AL115" s="20">
        <f t="shared" si="58"/>
        <v>484.80575132371092</v>
      </c>
      <c r="AM115" s="59">
        <f t="shared" si="59"/>
        <v>765.22706273928179</v>
      </c>
      <c r="AN115" s="59">
        <f ca="1">AVERAGE(OFFSET($AM$3,0,0,'Données projet'!$E$10+1,1))-AVERAGE(OFFSET($H$3,0,0,'Données projet'!$E$10+1,1))</f>
        <v>312.51355033343896</v>
      </c>
      <c r="AO115" s="59">
        <f t="shared" si="90"/>
        <v>442.54749157177571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0.11941387618593367</v>
      </c>
      <c r="AV115" s="21">
        <f>EXP(-LN(2)/25)*AV114+(1-EXP(-LN(2)/25))/(LN(2)/25)*Calculateur!AQ115*Calculateur!AS115*VLOOKUP('Données projet'!$B$10,Paramètres!$A$1:$I$89,3,0)*0.475*44/12</f>
        <v>0.44157115850128947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0.56098503468722316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5">
      <c r="A116" s="10">
        <f t="shared" si="85"/>
        <v>113</v>
      </c>
      <c r="B116" s="73">
        <f>'Scénario référence'!$B$16*5+'Scénario référence'!$B$17*0+'Scénario référence'!$B$18*5</f>
        <v>5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1">
        <f t="shared" si="86"/>
        <v>0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6" s="11">
        <f>IF(OR('Scénario référence'!$F$8&gt;0,'Scénario référence'!$F$9&gt;0),('Scénario référence'!$F$8+'Scénario référence'!$F$9)*10,0)</f>
        <v>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67">
        <f t="shared" si="56"/>
        <v>183.33333333333334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112.82287576550925</v>
      </c>
      <c r="T116" s="59">
        <f t="shared" si="88"/>
        <v>317.78570695363294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9.5337507630651182</v>
      </c>
      <c r="AA116" s="21">
        <f>EXP(-LN(2)/25)*AA115+(1-EXP(-LN(2)/25))/(LN(2)/25)*Calculateur!V116*Calculateur!X116*VLOOKUP('Données projet'!$B$9,Paramètres!$A$1:$I$89,3,0)*0.475*44/12</f>
        <v>0.97407360221008676</v>
      </c>
      <c r="AB116" s="21">
        <f>EXP(-LN(2)/2)*AB115+(1-EXP(-LN(2)/2))/(LN(2)/2)*V116*Y116*VLOOKUP('Données projet'!$B$9,Paramètres!$A$1:$I$89,3,0)*0.475*44/12</f>
        <v>1.8420348817587939E-13</v>
      </c>
      <c r="AC116" s="22">
        <f t="shared" si="57"/>
        <v>10.50782436527539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247.00000000000017</v>
      </c>
      <c r="AJ116" s="13">
        <f>AI116*VLOOKUP('Données projet'!$B$10,Paramètres!$A$1:$I$89,3,0)*VLOOKUP('Données projet'!$B$10,Paramètres!$A$1:$I$89,5,0)</f>
        <v>223.48560000000012</v>
      </c>
      <c r="AK116" s="13">
        <f t="shared" si="89"/>
        <v>54.87176918107798</v>
      </c>
      <c r="AL116" s="20">
        <f t="shared" si="58"/>
        <v>484.80575132371092</v>
      </c>
      <c r="AM116" s="59">
        <f t="shared" si="59"/>
        <v>765.45105745259855</v>
      </c>
      <c r="AN116" s="59">
        <f ca="1">AVERAGE(OFFSET($AM$3,0,0,'Données projet'!$E$10+1,1))-AVERAGE(OFFSET($H$3,0,0,'Données projet'!$E$10+1,1))</f>
        <v>312.51355033343896</v>
      </c>
      <c r="AO116" s="59">
        <f t="shared" si="90"/>
        <v>442.54749157177571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0.1170722429092001</v>
      </c>
      <c r="AV116" s="21">
        <f>EXP(-LN(2)/25)*AV115+(1-EXP(-LN(2)/25))/(LN(2)/25)*Calculateur!AQ116*Calculateur!AS116*VLOOKUP('Données projet'!$B$10,Paramètres!$A$1:$I$89,3,0)*0.475*44/12</f>
        <v>0.42949637195085372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0.54656861486005381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5">
      <c r="A117" s="10">
        <f t="shared" si="85"/>
        <v>114</v>
      </c>
      <c r="B117" s="73">
        <f>'Scénario référence'!$B$16*5+'Scénario référence'!$B$17*0+'Scénario référence'!$B$18*5</f>
        <v>5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1">
        <f t="shared" si="86"/>
        <v>0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7" s="11">
        <f>IF(OR('Scénario référence'!$F$8&gt;0,'Scénario référence'!$F$9&gt;0),('Scénario référence'!$F$8+'Scénario référence'!$F$9)*10,0)</f>
        <v>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67">
        <f t="shared" si="56"/>
        <v>183.33333333333334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112.82287576550925</v>
      </c>
      <c r="T117" s="59">
        <f t="shared" si="88"/>
        <v>317.78570695363294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9.3467997256151918</v>
      </c>
      <c r="AA117" s="21">
        <f>EXP(-LN(2)/25)*AA116+(1-EXP(-LN(2)/25))/(LN(2)/25)*Calculateur!V117*Calculateur!X117*VLOOKUP('Données projet'!$B$9,Paramètres!$A$1:$I$89,3,0)*0.475*44/12</f>
        <v>0.9474375083333475</v>
      </c>
      <c r="AB117" s="21">
        <f>EXP(-LN(2)/2)*AB116+(1-EXP(-LN(2)/2))/(LN(2)/2)*V117*Y117*VLOOKUP('Données projet'!$B$9,Paramètres!$A$1:$I$89,3,0)*0.475*44/12</f>
        <v>1.3025153560738034E-13</v>
      </c>
      <c r="AC117" s="22">
        <f t="shared" si="57"/>
        <v>10.294237233948669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247.00000000000017</v>
      </c>
      <c r="AJ117" s="13">
        <f>AI117*VLOOKUP('Données projet'!$B$10,Paramètres!$A$1:$I$89,3,0)*VLOOKUP('Données projet'!$B$10,Paramètres!$A$1:$I$89,5,0)</f>
        <v>223.48560000000012</v>
      </c>
      <c r="AK117" s="13">
        <f t="shared" si="89"/>
        <v>54.87176918107798</v>
      </c>
      <c r="AL117" s="20">
        <f t="shared" si="58"/>
        <v>484.80575132371092</v>
      </c>
      <c r="AM117" s="59">
        <f t="shared" si="59"/>
        <v>765.67116635841637</v>
      </c>
      <c r="AN117" s="59">
        <f ca="1">AVERAGE(OFFSET($AM$3,0,0,'Données projet'!$E$10+1,1))-AVERAGE(OFFSET($H$3,0,0,'Données projet'!$E$10+1,1))</f>
        <v>312.51355033343896</v>
      </c>
      <c r="AO117" s="59">
        <f t="shared" si="90"/>
        <v>442.54749157177571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0.11477652763276799</v>
      </c>
      <c r="AV117" s="21">
        <f>EXP(-LN(2)/25)*AV116+(1-EXP(-LN(2)/25))/(LN(2)/25)*Calculateur!AQ117*Calculateur!AS117*VLOOKUP('Données projet'!$B$10,Paramètres!$A$1:$I$89,3,0)*0.475*44/12</f>
        <v>0.41775177107362504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0.53252829870639307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5">
      <c r="A118" s="10">
        <f t="shared" si="85"/>
        <v>115</v>
      </c>
      <c r="B118" s="73">
        <f>'Scénario référence'!$B$16*5+'Scénario référence'!$B$17*0+'Scénario référence'!$B$18*5</f>
        <v>5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1">
        <f t="shared" si="86"/>
        <v>0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8" s="11">
        <f>IF(OR('Scénario référence'!$F$8&gt;0,'Scénario référence'!$F$9&gt;0),('Scénario référence'!$F$8+'Scénario référence'!$F$9)*10,0)</f>
        <v>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67">
        <f t="shared" si="56"/>
        <v>183.33333333333334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112.82287576550925</v>
      </c>
      <c r="T118" s="59">
        <f t="shared" si="88"/>
        <v>317.78570695363294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9.1635146839807842</v>
      </c>
      <c r="AA118" s="21">
        <f>EXP(-LN(2)/25)*AA117+(1-EXP(-LN(2)/25))/(LN(2)/25)*Calculateur!V118*Calculateur!X118*VLOOKUP('Données projet'!$B$9,Paramètres!$A$1:$I$89,3,0)*0.475*44/12</f>
        <v>0.92152977984439899</v>
      </c>
      <c r="AB118" s="21">
        <f>EXP(-LN(2)/2)*AB117+(1-EXP(-LN(2)/2))/(LN(2)/2)*V118*Y118*VLOOKUP('Données projet'!$B$9,Paramètres!$A$1:$I$89,3,0)*0.475*44/12</f>
        <v>9.2101744087939697E-14</v>
      </c>
      <c r="AC118" s="22">
        <f t="shared" si="57"/>
        <v>10.085044463825275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247.00000000000017</v>
      </c>
      <c r="AJ118" s="13">
        <f>AI118*VLOOKUP('Données projet'!$B$10,Paramètres!$A$1:$I$89,3,0)*VLOOKUP('Données projet'!$B$10,Paramètres!$A$1:$I$89,5,0)</f>
        <v>223.48560000000012</v>
      </c>
      <c r="AK118" s="13">
        <f t="shared" si="89"/>
        <v>54.87176918107798</v>
      </c>
      <c r="AL118" s="20">
        <f t="shared" si="58"/>
        <v>484.80575132371092</v>
      </c>
      <c r="AM118" s="59">
        <f t="shared" si="59"/>
        <v>765.88745686680818</v>
      </c>
      <c r="AN118" s="59">
        <f ca="1">AVERAGE(OFFSET($AM$3,0,0,'Données projet'!$E$10+1,1))-AVERAGE(OFFSET($H$3,0,0,'Données projet'!$E$10+1,1))</f>
        <v>312.51355033343896</v>
      </c>
      <c r="AO118" s="59">
        <f t="shared" si="90"/>
        <v>442.54749157177571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0.11252582993265868</v>
      </c>
      <c r="AV118" s="21">
        <f>EXP(-LN(2)/25)*AV117+(1-EXP(-LN(2)/25))/(LN(2)/25)*Calculateur!AQ118*Calculateur!AS118*VLOOKUP('Données projet'!$B$10,Paramètres!$A$1:$I$89,3,0)*0.475*44/12</f>
        <v>0.40632832692500592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0.51885415685766456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5">
      <c r="A119" s="10">
        <f t="shared" si="85"/>
        <v>116</v>
      </c>
      <c r="B119" s="73">
        <f>'Scénario référence'!$B$16*5+'Scénario référence'!$B$17*0+'Scénario référence'!$B$18*5</f>
        <v>5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1">
        <f t="shared" si="86"/>
        <v>0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9" s="11">
        <f>IF(OR('Scénario référence'!$F$8&gt;0,'Scénario référence'!$F$9&gt;0),('Scénario référence'!$F$8+'Scénario référence'!$F$9)*10,0)</f>
        <v>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67">
        <f t="shared" si="56"/>
        <v>183.33333333333334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112.82287576550925</v>
      </c>
      <c r="T119" s="59">
        <f t="shared" si="88"/>
        <v>317.78570695363294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8.983823750219992</v>
      </c>
      <c r="AA119" s="21">
        <f>EXP(-LN(2)/25)*AA118+(1-EXP(-LN(2)/25))/(LN(2)/25)*Calculateur!V119*Calculateur!X119*VLOOKUP('Données projet'!$B$9,Paramètres!$A$1:$I$89,3,0)*0.475*44/12</f>
        <v>0.89633049955340893</v>
      </c>
      <c r="AB119" s="21">
        <f>EXP(-LN(2)/2)*AB118+(1-EXP(-LN(2)/2))/(LN(2)/2)*V119*Y119*VLOOKUP('Données projet'!$B$9,Paramètres!$A$1:$I$89,3,0)*0.475*44/12</f>
        <v>6.5125767803690172E-14</v>
      </c>
      <c r="AC119" s="22">
        <f t="shared" si="57"/>
        <v>9.8801542497734669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247.00000000000017</v>
      </c>
      <c r="AJ119" s="13">
        <f>AI119*VLOOKUP('Données projet'!$B$10,Paramètres!$A$1:$I$89,3,0)*VLOOKUP('Données projet'!$B$10,Paramètres!$A$1:$I$89,5,0)</f>
        <v>223.48560000000012</v>
      </c>
      <c r="AK119" s="13">
        <f t="shared" si="89"/>
        <v>54.87176918107798</v>
      </c>
      <c r="AL119" s="20">
        <f t="shared" si="58"/>
        <v>484.80575132371092</v>
      </c>
      <c r="AM119" s="59">
        <f t="shared" si="59"/>
        <v>766.09999521843247</v>
      </c>
      <c r="AN119" s="59">
        <f ca="1">AVERAGE(OFFSET($AM$3,0,0,'Données projet'!$E$10+1,1))-AVERAGE(OFFSET($H$3,0,0,'Données projet'!$E$10+1,1))</f>
        <v>312.51355033343896</v>
      </c>
      <c r="AO119" s="59">
        <f t="shared" si="90"/>
        <v>442.54749157177571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0.11031926704165845</v>
      </c>
      <c r="AV119" s="21">
        <f>EXP(-LN(2)/25)*AV118+(1-EXP(-LN(2)/25))/(LN(2)/25)*Calculateur!AQ119*Calculateur!AS119*VLOOKUP('Données projet'!$B$10,Paramètres!$A$1:$I$89,3,0)*0.475*44/12</f>
        <v>0.39521725745736358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0.50553652449902198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5">
      <c r="A120" s="10">
        <f t="shared" si="85"/>
        <v>117</v>
      </c>
      <c r="B120" s="73">
        <f>'Scénario référence'!$B$16*5+'Scénario référence'!$B$17*0+'Scénario référence'!$B$18*5</f>
        <v>5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1">
        <f t="shared" si="86"/>
        <v>0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0" s="11">
        <f>IF(OR('Scénario référence'!$F$8&gt;0,'Scénario référence'!$F$9&gt;0),('Scénario référence'!$F$8+'Scénario référence'!$F$9)*10,0)</f>
        <v>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67">
        <f t="shared" si="56"/>
        <v>183.33333333333334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112.82287576550925</v>
      </c>
      <c r="T120" s="59">
        <f t="shared" si="88"/>
        <v>317.78570695363294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8.8076564460696005</v>
      </c>
      <c r="AA120" s="21">
        <f>EXP(-LN(2)/25)*AA119+(1-EXP(-LN(2)/25))/(LN(2)/25)*Calculateur!V120*Calculateur!X120*VLOOKUP('Données projet'!$B$9,Paramètres!$A$1:$I$89,3,0)*0.475*44/12</f>
        <v>0.87182029490714863</v>
      </c>
      <c r="AB120" s="21">
        <f>EXP(-LN(2)/2)*AB119+(1-EXP(-LN(2)/2))/(LN(2)/2)*V120*Y120*VLOOKUP('Données projet'!$B$9,Paramètres!$A$1:$I$89,3,0)*0.475*44/12</f>
        <v>4.6050872043969849E-14</v>
      </c>
      <c r="AC120" s="22">
        <f t="shared" si="57"/>
        <v>9.6794767409767957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247.00000000000017</v>
      </c>
      <c r="AJ120" s="13">
        <f>AI120*VLOOKUP('Données projet'!$B$10,Paramètres!$A$1:$I$89,3,0)*VLOOKUP('Données projet'!$B$10,Paramètres!$A$1:$I$89,5,0)</f>
        <v>223.48560000000012</v>
      </c>
      <c r="AK120" s="13">
        <f t="shared" si="89"/>
        <v>54.87176918107798</v>
      </c>
      <c r="AL120" s="20">
        <f t="shared" si="58"/>
        <v>484.80575132371092</v>
      </c>
      <c r="AM120" s="59">
        <f t="shared" si="59"/>
        <v>766.30884650482062</v>
      </c>
      <c r="AN120" s="59">
        <f ca="1">AVERAGE(OFFSET($AM$3,0,0,'Données projet'!$E$10+1,1))-AVERAGE(OFFSET($H$3,0,0,'Données projet'!$E$10+1,1))</f>
        <v>312.51355033343896</v>
      </c>
      <c r="AO120" s="59">
        <f t="shared" si="90"/>
        <v>442.54749157177571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0.10815597350308027</v>
      </c>
      <c r="AV120" s="21">
        <f>EXP(-LN(2)/25)*AV119+(1-EXP(-LN(2)/25))/(LN(2)/25)*Calculateur!AQ120*Calculateur!AS120*VLOOKUP('Données projet'!$B$10,Paramètres!$A$1:$I$89,3,0)*0.475*44/12</f>
        <v>0.38441002076861969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0.49256599427169995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5">
      <c r="A121" s="10">
        <f t="shared" si="85"/>
        <v>118</v>
      </c>
      <c r="B121" s="73">
        <f>'Scénario référence'!$B$16*5+'Scénario référence'!$B$17*0+'Scénario référence'!$B$18*5</f>
        <v>5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1">
        <f t="shared" si="86"/>
        <v>0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1" s="11">
        <f>IF(OR('Scénario référence'!$F$8&gt;0,'Scénario référence'!$F$9&gt;0),('Scénario référence'!$F$8+'Scénario référence'!$F$9)*10,0)</f>
        <v>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67">
        <f t="shared" si="56"/>
        <v>183.33333333333334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112.82287576550925</v>
      </c>
      <c r="T121" s="59">
        <f t="shared" si="88"/>
        <v>317.78570695363294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8.6349436753021536</v>
      </c>
      <c r="AA121" s="21">
        <f>EXP(-LN(2)/25)*AA120+(1-EXP(-LN(2)/25))/(LN(2)/25)*Calculateur!V121*Calculateur!X121*VLOOKUP('Données projet'!$B$9,Paramètres!$A$1:$I$89,3,0)*0.475*44/12</f>
        <v>0.8479803230958759</v>
      </c>
      <c r="AB121" s="21">
        <f>EXP(-LN(2)/2)*AB120+(1-EXP(-LN(2)/2))/(LN(2)/2)*V121*Y121*VLOOKUP('Données projet'!$B$9,Paramètres!$A$1:$I$89,3,0)*0.475*44/12</f>
        <v>3.2562883901845086E-14</v>
      </c>
      <c r="AC121" s="22">
        <f t="shared" si="57"/>
        <v>9.4829239983980607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247.00000000000017</v>
      </c>
      <c r="AJ121" s="13">
        <f>AI121*VLOOKUP('Données projet'!$B$10,Paramètres!$A$1:$I$89,3,0)*VLOOKUP('Données projet'!$B$10,Paramètres!$A$1:$I$89,5,0)</f>
        <v>223.48560000000012</v>
      </c>
      <c r="AK121" s="13">
        <f t="shared" si="89"/>
        <v>54.87176918107798</v>
      </c>
      <c r="AL121" s="20">
        <f t="shared" si="58"/>
        <v>484.80575132371092</v>
      </c>
      <c r="AM121" s="59">
        <f t="shared" si="59"/>
        <v>766.51407468831133</v>
      </c>
      <c r="AN121" s="59">
        <f ca="1">AVERAGE(OFFSET($AM$3,0,0,'Données projet'!$E$10+1,1))-AVERAGE(OFFSET($H$3,0,0,'Données projet'!$E$10+1,1))</f>
        <v>312.51355033343896</v>
      </c>
      <c r="AO121" s="59">
        <f t="shared" si="90"/>
        <v>442.54749157177571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0.10603510083131484</v>
      </c>
      <c r="AV121" s="21">
        <f>EXP(-LN(2)/25)*AV120+(1-EXP(-LN(2)/25))/(LN(2)/25)*Calculateur!AQ121*Calculateur!AS121*VLOOKUP('Données projet'!$B$10,Paramètres!$A$1:$I$89,3,0)*0.475*44/12</f>
        <v>0.37389830853545736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0.4799334093667722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5">
      <c r="A122" s="10">
        <f t="shared" si="85"/>
        <v>119</v>
      </c>
      <c r="B122" s="73">
        <f>'Scénario référence'!$B$16*5+'Scénario référence'!$B$17*0+'Scénario référence'!$B$18*5</f>
        <v>5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1">
        <f t="shared" si="86"/>
        <v>0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2" s="11">
        <f>IF(OR('Scénario référence'!$F$8&gt;0,'Scénario référence'!$F$9&gt;0),('Scénario référence'!$F$8+'Scénario référence'!$F$9)*10,0)</f>
        <v>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67">
        <f t="shared" si="56"/>
        <v>183.33333333333334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112.82287576550925</v>
      </c>
      <c r="T122" s="59">
        <f t="shared" si="88"/>
        <v>317.78570695363294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8.4656176966250669</v>
      </c>
      <c r="AA122" s="21">
        <f>EXP(-LN(2)/25)*AA121+(1-EXP(-LN(2)/25))/(LN(2)/25)*Calculateur!V122*Calculateur!X122*VLOOKUP('Données projet'!$B$9,Paramètres!$A$1:$I$89,3,0)*0.475*44/12</f>
        <v>0.82479225656747202</v>
      </c>
      <c r="AB122" s="21">
        <f>EXP(-LN(2)/2)*AB121+(1-EXP(-LN(2)/2))/(LN(2)/2)*V122*Y122*VLOOKUP('Données projet'!$B$9,Paramètres!$A$1:$I$89,3,0)*0.475*44/12</f>
        <v>2.3025436021984924E-14</v>
      </c>
      <c r="AC122" s="22">
        <f t="shared" si="57"/>
        <v>9.2904099531925617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247.00000000000017</v>
      </c>
      <c r="AJ122" s="13">
        <f>AI122*VLOOKUP('Données projet'!$B$10,Paramètres!$A$1:$I$89,3,0)*VLOOKUP('Données projet'!$B$10,Paramètres!$A$1:$I$89,5,0)</f>
        <v>223.48560000000012</v>
      </c>
      <c r="AK122" s="13">
        <f t="shared" si="89"/>
        <v>54.87176918107798</v>
      </c>
      <c r="AL122" s="20">
        <f t="shared" si="58"/>
        <v>484.80575132371092</v>
      </c>
      <c r="AM122" s="59">
        <f t="shared" si="59"/>
        <v>766.71574262164006</v>
      </c>
      <c r="AN122" s="59">
        <f ca="1">AVERAGE(OFFSET($AM$3,0,0,'Données projet'!$E$10+1,1))-AVERAGE(OFFSET($H$3,0,0,'Données projet'!$E$10+1,1))</f>
        <v>312.51355033343896</v>
      </c>
      <c r="AO122" s="59">
        <f t="shared" si="90"/>
        <v>442.54749157177571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0.10395581717903814</v>
      </c>
      <c r="AV122" s="21">
        <f>EXP(-LN(2)/25)*AV121+(1-EXP(-LN(2)/25))/(LN(2)/25)*Calculateur!AQ122*Calculateur!AS122*VLOOKUP('Données projet'!$B$10,Paramètres!$A$1:$I$89,3,0)*0.475*44/12</f>
        <v>0.36367403962609779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0.46762985680513591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5">
      <c r="A123" s="10">
        <f t="shared" si="85"/>
        <v>120</v>
      </c>
      <c r="B123" s="73">
        <f>'Scénario référence'!$B$16*5+'Scénario référence'!$B$17*0+'Scénario référence'!$B$18*5</f>
        <v>5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1">
        <f t="shared" si="86"/>
        <v>0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3" s="11">
        <f>IF(OR('Scénario référence'!$F$8&gt;0,'Scénario référence'!$F$9&gt;0),('Scénario référence'!$F$8+'Scénario référence'!$F$9)*10,0)</f>
        <v>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67">
        <f t="shared" si="56"/>
        <v>183.33333333333334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112.82287576550925</v>
      </c>
      <c r="T123" s="59">
        <f t="shared" si="88"/>
        <v>317.78570695363294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8.29961209711119</v>
      </c>
      <c r="AA123" s="21">
        <f>EXP(-LN(2)/25)*AA122+(1-EXP(-LN(2)/25))/(LN(2)/25)*Calculateur!V123*Calculateur!X123*VLOOKUP('Données projet'!$B$9,Paramètres!$A$1:$I$89,3,0)*0.475*44/12</f>
        <v>0.80223826893769479</v>
      </c>
      <c r="AB123" s="21">
        <f>EXP(-LN(2)/2)*AB122+(1-EXP(-LN(2)/2))/(LN(2)/2)*V123*Y123*VLOOKUP('Données projet'!$B$9,Paramètres!$A$1:$I$89,3,0)*0.475*44/12</f>
        <v>1.6281441950922543E-14</v>
      </c>
      <c r="AC123" s="22">
        <f t="shared" si="57"/>
        <v>9.1018503660489003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247.00000000000017</v>
      </c>
      <c r="AJ123" s="13">
        <f>AI123*VLOOKUP('Données projet'!$B$10,Paramètres!$A$1:$I$89,3,0)*VLOOKUP('Données projet'!$B$10,Paramètres!$A$1:$I$89,5,0)</f>
        <v>223.48560000000012</v>
      </c>
      <c r="AK123" s="13">
        <f t="shared" si="89"/>
        <v>54.87176918107798</v>
      </c>
      <c r="AL123" s="20">
        <f t="shared" si="58"/>
        <v>484.80575132371092</v>
      </c>
      <c r="AM123" s="59">
        <f t="shared" si="59"/>
        <v>766.91391206718754</v>
      </c>
      <c r="AN123" s="59">
        <f ca="1">AVERAGE(OFFSET($AM$3,0,0,'Données projet'!$E$10+1,1))-AVERAGE(OFFSET($H$3,0,0,'Données projet'!$E$10+1,1))</f>
        <v>312.51355033343896</v>
      </c>
      <c r="AO123" s="59">
        <f t="shared" si="90"/>
        <v>442.54749157177571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0.10191730701094479</v>
      </c>
      <c r="AV123" s="21">
        <f>EXP(-LN(2)/25)*AV122+(1-EXP(-LN(2)/25))/(LN(2)/25)*Calculateur!AQ123*Calculateur!AS123*VLOOKUP('Données projet'!$B$10,Paramètres!$A$1:$I$89,3,0)*0.475*44/12</f>
        <v>0.35372935388773558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0.45564666089868033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5">
      <c r="A124" s="10">
        <f t="shared" si="85"/>
        <v>121</v>
      </c>
      <c r="B124" s="73">
        <f>'Scénario référence'!$B$16*5+'Scénario référence'!$B$17*0+'Scénario référence'!$B$18*5</f>
        <v>5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1">
        <f t="shared" si="86"/>
        <v>0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4" s="11">
        <f>IF(OR('Scénario référence'!$F$8&gt;0,'Scénario référence'!$F$9&gt;0),('Scénario référence'!$F$8+'Scénario référence'!$F$9)*10,0)</f>
        <v>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67">
        <f t="shared" si="56"/>
        <v>183.33333333333334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112.82287576550925</v>
      </c>
      <c r="T124" s="59">
        <f t="shared" si="88"/>
        <v>317.78570695363294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8.1368617661503624</v>
      </c>
      <c r="AA124" s="21">
        <f>EXP(-LN(2)/25)*AA123+(1-EXP(-LN(2)/25))/(LN(2)/25)*Calculateur!V124*Calculateur!X124*VLOOKUP('Données projet'!$B$9,Paramètres!$A$1:$I$89,3,0)*0.475*44/12</f>
        <v>0.78030102128571655</v>
      </c>
      <c r="AB124" s="21">
        <f>EXP(-LN(2)/2)*AB123+(1-EXP(-LN(2)/2))/(LN(2)/2)*V124*Y124*VLOOKUP('Données projet'!$B$9,Paramètres!$A$1:$I$89,3,0)*0.475*44/12</f>
        <v>1.1512718010992462E-14</v>
      </c>
      <c r="AC124" s="22">
        <f t="shared" si="57"/>
        <v>8.917162787436089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247.00000000000017</v>
      </c>
      <c r="AJ124" s="13">
        <f>AI124*VLOOKUP('Données projet'!$B$10,Paramètres!$A$1:$I$89,3,0)*VLOOKUP('Données projet'!$B$10,Paramètres!$A$1:$I$89,5,0)</f>
        <v>223.48560000000012</v>
      </c>
      <c r="AK124" s="13">
        <f t="shared" si="89"/>
        <v>54.87176918107798</v>
      </c>
      <c r="AL124" s="20">
        <f t="shared" si="58"/>
        <v>484.80575132371092</v>
      </c>
      <c r="AM124" s="59">
        <f t="shared" si="59"/>
        <v>767.10864371589537</v>
      </c>
      <c r="AN124" s="59">
        <f ca="1">AVERAGE(OFFSET($AM$3,0,0,'Données projet'!$E$10+1,1))-AVERAGE(OFFSET($H$3,0,0,'Données projet'!$E$10+1,1))</f>
        <v>312.51355033343896</v>
      </c>
      <c r="AO124" s="59">
        <f t="shared" si="90"/>
        <v>442.54749157177571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9.9918770783879313E-2</v>
      </c>
      <c r="AV124" s="21">
        <f>EXP(-LN(2)/25)*AV123+(1-EXP(-LN(2)/25))/(LN(2)/25)*Calculateur!AQ124*Calculateur!AS124*VLOOKUP('Données projet'!$B$10,Paramètres!$A$1:$I$89,3,0)*0.475*44/12</f>
        <v>0.34405660610385719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0.44397537688773647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5">
      <c r="A125" s="10">
        <f t="shared" si="85"/>
        <v>122</v>
      </c>
      <c r="B125" s="73">
        <f>'Scénario référence'!$B$16*5+'Scénario référence'!$B$17*0+'Scénario référence'!$B$18*5</f>
        <v>5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1">
        <f t="shared" si="86"/>
        <v>0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5" s="11">
        <f>IF(OR('Scénario référence'!$F$8&gt;0,'Scénario référence'!$F$9&gt;0),('Scénario référence'!$F$8+'Scénario référence'!$F$9)*10,0)</f>
        <v>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67">
        <f t="shared" si="56"/>
        <v>183.33333333333334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112.82287576550925</v>
      </c>
      <c r="T125" s="59">
        <f t="shared" si="88"/>
        <v>317.78570695363294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7.9773028699117763</v>
      </c>
      <c r="AA125" s="21">
        <f>EXP(-LN(2)/25)*AA124+(1-EXP(-LN(2)/25))/(LN(2)/25)*Calculateur!V125*Calculateur!X125*VLOOKUP('Données projet'!$B$9,Paramètres!$A$1:$I$89,3,0)*0.475*44/12</f>
        <v>0.75896364882441136</v>
      </c>
      <c r="AB125" s="21">
        <f>EXP(-LN(2)/2)*AB124+(1-EXP(-LN(2)/2))/(LN(2)/2)*V125*Y125*VLOOKUP('Données projet'!$B$9,Paramètres!$A$1:$I$89,3,0)*0.475*44/12</f>
        <v>8.1407209754612715E-15</v>
      </c>
      <c r="AC125" s="22">
        <f t="shared" si="57"/>
        <v>8.7362665187361959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247.00000000000017</v>
      </c>
      <c r="AJ125" s="13">
        <f>AI125*VLOOKUP('Données projet'!$B$10,Paramètres!$A$1:$I$89,3,0)*VLOOKUP('Données projet'!$B$10,Paramètres!$A$1:$I$89,5,0)</f>
        <v>223.48560000000012</v>
      </c>
      <c r="AK125" s="13">
        <f t="shared" si="89"/>
        <v>54.87176918107798</v>
      </c>
      <c r="AL125" s="20">
        <f t="shared" si="58"/>
        <v>484.80575132371092</v>
      </c>
      <c r="AM125" s="59">
        <f t="shared" si="59"/>
        <v>767.29999720585272</v>
      </c>
      <c r="AN125" s="59">
        <f ca="1">AVERAGE(OFFSET($AM$3,0,0,'Données projet'!$E$10+1,1))-AVERAGE(OFFSET($H$3,0,0,'Données projet'!$E$10+1,1))</f>
        <v>312.51355033343896</v>
      </c>
      <c r="AO125" s="59">
        <f t="shared" si="90"/>
        <v>442.54749157177571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9.7959424633239853E-2</v>
      </c>
      <c r="AV125" s="21">
        <f>EXP(-LN(2)/25)*AV124+(1-EXP(-LN(2)/25))/(LN(2)/25)*Calculateur!AQ125*Calculateur!AS125*VLOOKUP('Données projet'!$B$10,Paramètres!$A$1:$I$89,3,0)*0.475*44/12</f>
        <v>0.33464836011679666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0.43260778475003653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5">
      <c r="A126" s="10">
        <f t="shared" si="85"/>
        <v>123</v>
      </c>
      <c r="B126" s="73">
        <f>'Scénario référence'!$B$16*5+'Scénario référence'!$B$17*0+'Scénario référence'!$B$18*5</f>
        <v>5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1">
        <f t="shared" si="86"/>
        <v>0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6" s="11">
        <f>IF(OR('Scénario référence'!$F$8&gt;0,'Scénario référence'!$F$9&gt;0),('Scénario référence'!$F$8+'Scénario référence'!$F$9)*10,0)</f>
        <v>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67">
        <f t="shared" si="56"/>
        <v>183.33333333333334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112.82287576550925</v>
      </c>
      <c r="T126" s="59">
        <f t="shared" si="88"/>
        <v>317.78570695363294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7.8208728263071112</v>
      </c>
      <c r="AA126" s="21">
        <f>EXP(-LN(2)/25)*AA125+(1-EXP(-LN(2)/25))/(LN(2)/25)*Calculateur!V126*Calculateur!X126*VLOOKUP('Données projet'!$B$9,Paramètres!$A$1:$I$89,3,0)*0.475*44/12</f>
        <v>0.73820974793514416</v>
      </c>
      <c r="AB126" s="21">
        <f>EXP(-LN(2)/2)*AB125+(1-EXP(-LN(2)/2))/(LN(2)/2)*V126*Y126*VLOOKUP('Données projet'!$B$9,Paramètres!$A$1:$I$89,3,0)*0.475*44/12</f>
        <v>5.7563590054962311E-15</v>
      </c>
      <c r="AC126" s="22">
        <f t="shared" si="57"/>
        <v>8.5590825742422609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247.00000000000017</v>
      </c>
      <c r="AJ126" s="13">
        <f>AI126*VLOOKUP('Données projet'!$B$10,Paramètres!$A$1:$I$89,3,0)*VLOOKUP('Données projet'!$B$10,Paramètres!$A$1:$I$89,5,0)</f>
        <v>223.48560000000012</v>
      </c>
      <c r="AK126" s="13">
        <f t="shared" si="89"/>
        <v>54.87176918107798</v>
      </c>
      <c r="AL126" s="20">
        <f t="shared" si="58"/>
        <v>484.80575132371092</v>
      </c>
      <c r="AM126" s="59">
        <f t="shared" si="59"/>
        <v>767.48803114056159</v>
      </c>
      <c r="AN126" s="59">
        <f ca="1">AVERAGE(OFFSET($AM$3,0,0,'Données projet'!$E$10+1,1))-AVERAGE(OFFSET($H$3,0,0,'Données projet'!$E$10+1,1))</f>
        <v>312.51355033343896</v>
      </c>
      <c r="AO126" s="59">
        <f t="shared" si="90"/>
        <v>442.54749157177571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9.6038500065531288E-2</v>
      </c>
      <c r="AV126" s="21">
        <f>EXP(-LN(2)/25)*AV125+(1-EXP(-LN(2)/25))/(LN(2)/25)*Calculateur!AQ126*Calculateur!AS126*VLOOKUP('Données projet'!$B$10,Paramètres!$A$1:$I$89,3,0)*0.475*44/12</f>
        <v>0.32549738311101045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0.42153588317654173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5">
      <c r="A127" s="10">
        <f t="shared" si="85"/>
        <v>124</v>
      </c>
      <c r="B127" s="73">
        <f>'Scénario référence'!$B$16*5+'Scénario référence'!$B$17*0+'Scénario référence'!$B$18*5</f>
        <v>5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1">
        <f t="shared" si="86"/>
        <v>0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7" s="11">
        <f>IF(OR('Scénario référence'!$F$8&gt;0,'Scénario référence'!$F$9&gt;0),('Scénario référence'!$F$8+'Scénario référence'!$F$9)*10,0)</f>
        <v>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67">
        <f t="shared" si="56"/>
        <v>183.33333333333334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112.82287576550925</v>
      </c>
      <c r="T127" s="59">
        <f t="shared" si="88"/>
        <v>317.78570695363294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7.6675102804446285</v>
      </c>
      <c r="AA127" s="21">
        <f>EXP(-LN(2)/25)*AA126+(1-EXP(-LN(2)/25))/(LN(2)/25)*Calculateur!V127*Calculateur!X127*VLOOKUP('Données projet'!$B$9,Paramètres!$A$1:$I$89,3,0)*0.475*44/12</f>
        <v>0.71802336355709417</v>
      </c>
      <c r="AB127" s="21">
        <f>EXP(-LN(2)/2)*AB126+(1-EXP(-LN(2)/2))/(LN(2)/2)*V127*Y127*VLOOKUP('Données projet'!$B$9,Paramètres!$A$1:$I$89,3,0)*0.475*44/12</f>
        <v>4.0703604877306358E-15</v>
      </c>
      <c r="AC127" s="22">
        <f t="shared" si="57"/>
        <v>8.3855336440017254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247.00000000000017</v>
      </c>
      <c r="AJ127" s="13">
        <f>AI127*VLOOKUP('Données projet'!$B$10,Paramètres!$A$1:$I$89,3,0)*VLOOKUP('Données projet'!$B$10,Paramètres!$A$1:$I$89,5,0)</f>
        <v>223.48560000000012</v>
      </c>
      <c r="AK127" s="13">
        <f t="shared" si="89"/>
        <v>54.87176918107798</v>
      </c>
      <c r="AL127" s="20">
        <f t="shared" si="58"/>
        <v>484.80575132371092</v>
      </c>
      <c r="AM127" s="59">
        <f t="shared" si="59"/>
        <v>767.6728031068842</v>
      </c>
      <c r="AN127" s="59">
        <f ca="1">AVERAGE(OFFSET($AM$3,0,0,'Données projet'!$E$10+1,1))-AVERAGE(OFFSET($H$3,0,0,'Données projet'!$E$10+1,1))</f>
        <v>312.51355033343896</v>
      </c>
      <c r="AO127" s="59">
        <f t="shared" si="90"/>
        <v>442.54749157177571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9.4155243656947191E-2</v>
      </c>
      <c r="AV127" s="21">
        <f>EXP(-LN(2)/25)*AV126+(1-EXP(-LN(2)/25))/(LN(2)/25)*Calculateur!AQ127*Calculateur!AS127*VLOOKUP('Données projet'!$B$10,Paramètres!$A$1:$I$89,3,0)*0.475*44/12</f>
        <v>0.3165966400526764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0.41075188370962357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5">
      <c r="A128" s="10">
        <f t="shared" si="85"/>
        <v>125</v>
      </c>
      <c r="B128" s="73">
        <f>'Scénario référence'!$B$16*5+'Scénario référence'!$B$17*0+'Scénario référence'!$B$18*5</f>
        <v>5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1">
        <f t="shared" si="86"/>
        <v>0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8" s="11">
        <f>IF(OR('Scénario référence'!$F$8&gt;0,'Scénario référence'!$F$9&gt;0),('Scénario référence'!$F$8+'Scénario référence'!$F$9)*10,0)</f>
        <v>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67">
        <f t="shared" si="56"/>
        <v>183.33333333333334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112.82287576550925</v>
      </c>
      <c r="T128" s="59">
        <f t="shared" si="88"/>
        <v>317.78570695363294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7.517155080564593</v>
      </c>
      <c r="AA128" s="21">
        <f>EXP(-LN(2)/25)*AA127+(1-EXP(-LN(2)/25))/(LN(2)/25)*Calculateur!V128*Calculateur!X128*VLOOKUP('Données projet'!$B$9,Paramètres!$A$1:$I$89,3,0)*0.475*44/12</f>
        <v>0.69838897692141777</v>
      </c>
      <c r="AB128" s="21">
        <f>EXP(-LN(2)/2)*AB127+(1-EXP(-LN(2)/2))/(LN(2)/2)*V128*Y128*VLOOKUP('Données projet'!$B$9,Paramètres!$A$1:$I$89,3,0)*0.475*44/12</f>
        <v>2.8781795027481155E-15</v>
      </c>
      <c r="AC128" s="22">
        <f t="shared" si="57"/>
        <v>8.2155440574860137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247.00000000000017</v>
      </c>
      <c r="AJ128" s="13">
        <f>AI128*VLOOKUP('Données projet'!$B$10,Paramètres!$A$1:$I$89,3,0)*VLOOKUP('Données projet'!$B$10,Paramètres!$A$1:$I$89,5,0)</f>
        <v>223.48560000000012</v>
      </c>
      <c r="AK128" s="13">
        <f t="shared" si="89"/>
        <v>54.87176918107798</v>
      </c>
      <c r="AL128" s="20">
        <f t="shared" si="58"/>
        <v>484.80575132371092</v>
      </c>
      <c r="AM128" s="59">
        <f t="shared" si="59"/>
        <v>767.85436969267948</v>
      </c>
      <c r="AN128" s="59">
        <f ca="1">AVERAGE(OFFSET($AM$3,0,0,'Données projet'!$E$10+1,1))-AVERAGE(OFFSET($H$3,0,0,'Données projet'!$E$10+1,1))</f>
        <v>312.51355033343896</v>
      </c>
      <c r="AO128" s="59">
        <f t="shared" si="90"/>
        <v>442.54749157177571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9.2308916757862444E-2</v>
      </c>
      <c r="AV128" s="21">
        <f>EXP(-LN(2)/25)*AV127+(1-EXP(-LN(2)/25))/(LN(2)/25)*Calculateur!AQ128*Calculateur!AS128*VLOOKUP('Données projet'!$B$10,Paramètres!$A$1:$I$89,3,0)*0.475*44/12</f>
        <v>0.30793928828134226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0.40024820503920472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5">
      <c r="A129" s="10">
        <f t="shared" si="85"/>
        <v>126</v>
      </c>
      <c r="B129" s="73">
        <f>'Scénario référence'!$B$16*5+'Scénario référence'!$B$17*0+'Scénario référence'!$B$18*5</f>
        <v>5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1">
        <f t="shared" si="86"/>
        <v>0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9" s="11">
        <f>IF(OR('Scénario référence'!$F$8&gt;0,'Scénario référence'!$F$9&gt;0),('Scénario référence'!$F$8+'Scénario référence'!$F$9)*10,0)</f>
        <v>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67">
        <f t="shared" si="56"/>
        <v>183.33333333333334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112.82287576550925</v>
      </c>
      <c r="T129" s="59">
        <f t="shared" si="88"/>
        <v>317.78570695363294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7.3697482544465878</v>
      </c>
      <c r="AA129" s="21">
        <f>EXP(-LN(2)/25)*AA128+(1-EXP(-LN(2)/25))/(LN(2)/25)*Calculateur!V129*Calculateur!X129*VLOOKUP('Données projet'!$B$9,Paramètres!$A$1:$I$89,3,0)*0.475*44/12</f>
        <v>0.67929149362082153</v>
      </c>
      <c r="AB129" s="21">
        <f>EXP(-LN(2)/2)*AB128+(1-EXP(-LN(2)/2))/(LN(2)/2)*V129*Y129*VLOOKUP('Données projet'!$B$9,Paramètres!$A$1:$I$89,3,0)*0.475*44/12</f>
        <v>2.0351802438653179E-15</v>
      </c>
      <c r="AC129" s="22">
        <f t="shared" si="57"/>
        <v>8.0490397480674112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247.00000000000017</v>
      </c>
      <c r="AJ129" s="13">
        <f>AI129*VLOOKUP('Données projet'!$B$10,Paramètres!$A$1:$I$89,3,0)*VLOOKUP('Données projet'!$B$10,Paramètres!$A$1:$I$89,5,0)</f>
        <v>223.48560000000012</v>
      </c>
      <c r="AK129" s="13">
        <f t="shared" si="89"/>
        <v>54.87176918107798</v>
      </c>
      <c r="AL129" s="20">
        <f t="shared" si="58"/>
        <v>484.80575132371092</v>
      </c>
      <c r="AM129" s="59">
        <f t="shared" si="59"/>
        <v>768.03278650413313</v>
      </c>
      <c r="AN129" s="59">
        <f ca="1">AVERAGE(OFFSET($AM$3,0,0,'Données projet'!$E$10+1,1))-AVERAGE(OFFSET($H$3,0,0,'Données projet'!$E$10+1,1))</f>
        <v>312.51355033343896</v>
      </c>
      <c r="AO129" s="59">
        <f t="shared" si="90"/>
        <v>442.54749157177571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9.0498795203120541E-2</v>
      </c>
      <c r="AV129" s="21">
        <f>EXP(-LN(2)/25)*AV128+(1-EXP(-LN(2)/25))/(LN(2)/25)*Calculateur!AQ129*Calculateur!AS129*VLOOKUP('Données projet'!$B$10,Paramètres!$A$1:$I$89,3,0)*0.475*44/12</f>
        <v>0.2995186722494656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0.39001746745258614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5">
      <c r="A130" s="10">
        <f t="shared" si="85"/>
        <v>127</v>
      </c>
      <c r="B130" s="73">
        <f>'Scénario référence'!$B$16*5+'Scénario référence'!$B$17*0+'Scénario référence'!$B$18*5</f>
        <v>5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1">
        <f t="shared" si="86"/>
        <v>0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0" s="11">
        <f>IF(OR('Scénario référence'!$F$8&gt;0,'Scénario référence'!$F$9&gt;0),('Scénario référence'!$F$8+'Scénario référence'!$F$9)*10,0)</f>
        <v>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67">
        <f t="shared" si="56"/>
        <v>183.33333333333334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112.82287576550925</v>
      </c>
      <c r="T130" s="59">
        <f t="shared" si="88"/>
        <v>317.78570695363294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7.2252319862794705</v>
      </c>
      <c r="AA130" s="21">
        <f>EXP(-LN(2)/25)*AA129+(1-EXP(-LN(2)/25))/(LN(2)/25)*Calculateur!V130*Calculateur!X130*VLOOKUP('Données projet'!$B$9,Paramètres!$A$1:$I$89,3,0)*0.475*44/12</f>
        <v>0.66071623200537311</v>
      </c>
      <c r="AB130" s="21">
        <f>EXP(-LN(2)/2)*AB129+(1-EXP(-LN(2)/2))/(LN(2)/2)*V130*Y130*VLOOKUP('Données projet'!$B$9,Paramètres!$A$1:$I$89,3,0)*0.475*44/12</f>
        <v>1.4390897513740578E-15</v>
      </c>
      <c r="AC130" s="22">
        <f t="shared" si="57"/>
        <v>7.8859482182848453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247.00000000000017</v>
      </c>
      <c r="AJ130" s="13">
        <f>AI130*VLOOKUP('Données projet'!$B$10,Paramètres!$A$1:$I$89,3,0)*VLOOKUP('Données projet'!$B$10,Paramètres!$A$1:$I$89,5,0)</f>
        <v>223.48560000000012</v>
      </c>
      <c r="AK130" s="13">
        <f t="shared" si="89"/>
        <v>54.87176918107798</v>
      </c>
      <c r="AL130" s="20">
        <f t="shared" si="58"/>
        <v>484.80575132371092</v>
      </c>
      <c r="AM130" s="59">
        <f t="shared" si="59"/>
        <v>768.20810818278835</v>
      </c>
      <c r="AN130" s="59">
        <f ca="1">AVERAGE(OFFSET($AM$3,0,0,'Données projet'!$E$10+1,1))-AVERAGE(OFFSET($H$3,0,0,'Données projet'!$E$10+1,1))</f>
        <v>312.51355033343896</v>
      </c>
      <c r="AO130" s="59">
        <f t="shared" si="90"/>
        <v>442.54749157177571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8.8724169028001995E-2</v>
      </c>
      <c r="AV130" s="21">
        <f>EXP(-LN(2)/25)*AV129+(1-EXP(-LN(2)/25))/(LN(2)/25)*Calculateur!AQ130*Calculateur!AS130*VLOOKUP('Données projet'!$B$10,Paramètres!$A$1:$I$89,3,0)*0.475*44/12</f>
        <v>0.29132831840580153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0.38005248743380354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5">
      <c r="A131" s="10">
        <f t="shared" si="85"/>
        <v>128</v>
      </c>
      <c r="B131" s="73">
        <f>'Scénario référence'!$B$16*5+'Scénario référence'!$B$17*0+'Scénario référence'!$B$18*5</f>
        <v>5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1">
        <f t="shared" si="86"/>
        <v>0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1" s="11">
        <f>IF(OR('Scénario référence'!$F$8&gt;0,'Scénario référence'!$F$9&gt;0),('Scénario référence'!$F$8+'Scénario référence'!$F$9)*10,0)</f>
        <v>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67">
        <f t="shared" si="56"/>
        <v>183.33333333333334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112.82287576550925</v>
      </c>
      <c r="T131" s="59">
        <f t="shared" si="88"/>
        <v>317.78570695363294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7.0835495939848911</v>
      </c>
      <c r="AA131" s="21">
        <f>EXP(-LN(2)/25)*AA130+(1-EXP(-LN(2)/25))/(LN(2)/25)*Calculateur!V131*Calculateur!X131*VLOOKUP('Données projet'!$B$9,Paramètres!$A$1:$I$89,3,0)*0.475*44/12</f>
        <v>0.64264891189562967</v>
      </c>
      <c r="AB131" s="21">
        <f>EXP(-LN(2)/2)*AB130+(1-EXP(-LN(2)/2))/(LN(2)/2)*V131*Y131*VLOOKUP('Données projet'!$B$9,Paramètres!$A$1:$I$89,3,0)*0.475*44/12</f>
        <v>1.0175901219326589E-15</v>
      </c>
      <c r="AC131" s="22">
        <f t="shared" si="57"/>
        <v>7.7261985058805216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247.00000000000017</v>
      </c>
      <c r="AJ131" s="13">
        <f>AI131*VLOOKUP('Données projet'!$B$10,Paramètres!$A$1:$I$89,3,0)*VLOOKUP('Données projet'!$B$10,Paramètres!$A$1:$I$89,5,0)</f>
        <v>223.48560000000012</v>
      </c>
      <c r="AK131" s="13">
        <f t="shared" si="89"/>
        <v>54.87176918107798</v>
      </c>
      <c r="AL131" s="20">
        <f t="shared" si="58"/>
        <v>484.80575132371092</v>
      </c>
      <c r="AM131" s="59">
        <f t="shared" si="59"/>
        <v>768.38038842227945</v>
      </c>
      <c r="AN131" s="59">
        <f ca="1">AVERAGE(OFFSET($AM$3,0,0,'Données projet'!$E$10+1,1))-AVERAGE(OFFSET($H$3,0,0,'Données projet'!$E$10+1,1))</f>
        <v>312.51355033343896</v>
      </c>
      <c r="AO131" s="59">
        <f t="shared" si="90"/>
        <v>442.54749157177571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8.6984342189762434E-2</v>
      </c>
      <c r="AV131" s="21">
        <f>EXP(-LN(2)/25)*AV130+(1-EXP(-LN(2)/25))/(LN(2)/25)*Calculateur!AQ131*Calculateur!AS131*VLOOKUP('Données projet'!$B$10,Paramètres!$A$1:$I$89,3,0)*0.475*44/12</f>
        <v>0.28336193021870448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0.3703462724084669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5">
      <c r="A132" s="10">
        <f t="shared" si="85"/>
        <v>129</v>
      </c>
      <c r="B132" s="73">
        <f>'Scénario référence'!$B$16*5+'Scénario référence'!$B$17*0+'Scénario référence'!$B$18*5</f>
        <v>5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1">
        <f t="shared" si="86"/>
        <v>0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2" s="11">
        <f>IF(OR('Scénario référence'!$F$8&gt;0,'Scénario référence'!$F$9&gt;0),('Scénario référence'!$F$8+'Scénario référence'!$F$9)*10,0)</f>
        <v>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67">
        <f t="shared" ref="H132:H195" si="110">(B132+E132+F132)*44/12+(C132+D132)*0.475*44/12</f>
        <v>183.33333333333334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112.82287576550925</v>
      </c>
      <c r="T132" s="59">
        <f t="shared" si="88"/>
        <v>317.78570695363294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6.9446455069854824</v>
      </c>
      <c r="AA132" s="21">
        <f>EXP(-LN(2)/25)*AA131+(1-EXP(-LN(2)/25))/(LN(2)/25)*Calculateur!V132*Calculateur!X132*VLOOKUP('Données projet'!$B$9,Paramètres!$A$1:$I$89,3,0)*0.475*44/12</f>
        <v>0.62507564360440615</v>
      </c>
      <c r="AB132" s="21">
        <f>EXP(-LN(2)/2)*AB131+(1-EXP(-LN(2)/2))/(LN(2)/2)*V132*Y132*VLOOKUP('Données projet'!$B$9,Paramètres!$A$1:$I$89,3,0)*0.475*44/12</f>
        <v>7.1954487568702889E-16</v>
      </c>
      <c r="AC132" s="22">
        <f t="shared" ref="AC132:AC153" si="111">SUM(Z132:AB132)</f>
        <v>7.5697211505898894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247.00000000000017</v>
      </c>
      <c r="AJ132" s="13">
        <f>AI132*VLOOKUP('Données projet'!$B$10,Paramètres!$A$1:$I$89,3,0)*VLOOKUP('Données projet'!$B$10,Paramètres!$A$1:$I$89,5,0)</f>
        <v>223.48560000000012</v>
      </c>
      <c r="AK132" s="13">
        <f t="shared" si="89"/>
        <v>54.87176918107798</v>
      </c>
      <c r="AL132" s="20">
        <f t="shared" ref="AL132:AL153" si="112">(AJ132+AK132)*0.475*44/12</f>
        <v>484.80575132371092</v>
      </c>
      <c r="AM132" s="59">
        <f t="shared" ref="AM132:AM195" si="113">AL132+(AD132+AE132)*44/12</f>
        <v>768.54967998477628</v>
      </c>
      <c r="AN132" s="59">
        <f ca="1">AVERAGE(OFFSET($AM$3,0,0,'Données projet'!$E$10+1,1))-AVERAGE(OFFSET($H$3,0,0,'Données projet'!$E$10+1,1))</f>
        <v>312.51355033343896</v>
      </c>
      <c r="AO132" s="59">
        <f t="shared" si="90"/>
        <v>442.54749157177571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8.527863229463116E-2</v>
      </c>
      <c r="AV132" s="21">
        <f>EXP(-LN(2)/25)*AV131+(1-EXP(-LN(2)/25))/(LN(2)/25)*Calculateur!AQ132*Calculateur!AS132*VLOOKUP('Données projet'!$B$10,Paramètres!$A$1:$I$89,3,0)*0.475*44/12</f>
        <v>0.27561338333551771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0.36089201563014889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5">
      <c r="A133" s="10">
        <f t="shared" ref="A133:A152" si="139">A132+1</f>
        <v>130</v>
      </c>
      <c r="B133" s="73">
        <f>'Scénario référence'!$B$16*5+'Scénario référence'!$B$17*0+'Scénario référence'!$B$18*5</f>
        <v>5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1">
        <f t="shared" ref="D133:D196" si="140">IFERROR(EXP(-1.0587+0.8836*LN(C133)+0.284),0)</f>
        <v>0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3" s="11">
        <f>IF(OR('Scénario référence'!$F$8&gt;0,'Scénario référence'!$F$9&gt;0),('Scénario référence'!$F$8+'Scénario référence'!$F$9)*10,0)</f>
        <v>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67">
        <f t="shared" si="110"/>
        <v>183.33333333333334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112.82287576550925</v>
      </c>
      <c r="T133" s="59">
        <f t="shared" ref="T133:T196" si="142">$T$3</f>
        <v>317.78570695363294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6.8084652444090041</v>
      </c>
      <c r="AA133" s="21">
        <f>EXP(-LN(2)/25)*AA132+(1-EXP(-LN(2)/25))/(LN(2)/25)*Calculateur!V133*Calculateur!X133*VLOOKUP('Données projet'!$B$9,Paramètres!$A$1:$I$89,3,0)*0.475*44/12</f>
        <v>0.6079829172587442</v>
      </c>
      <c r="AB133" s="21">
        <f>EXP(-LN(2)/2)*AB132+(1-EXP(-LN(2)/2))/(LN(2)/2)*V133*Y133*VLOOKUP('Données projet'!$B$9,Paramètres!$A$1:$I$89,3,0)*0.475*44/12</f>
        <v>5.0879506096632947E-16</v>
      </c>
      <c r="AC133" s="22">
        <f t="shared" si="111"/>
        <v>7.4164481616677493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247.00000000000017</v>
      </c>
      <c r="AJ133" s="13">
        <f>AI133*VLOOKUP('Données projet'!$B$10,Paramètres!$A$1:$I$89,3,0)*VLOOKUP('Données projet'!$B$10,Paramètres!$A$1:$I$89,5,0)</f>
        <v>223.48560000000012</v>
      </c>
      <c r="AK133" s="13">
        <f t="shared" ref="AK133:AK153" si="143">EXP(-1.0587+0.8836*LN(AJ133)+0.284)</f>
        <v>54.87176918107798</v>
      </c>
      <c r="AL133" s="20">
        <f t="shared" si="112"/>
        <v>484.80575132371092</v>
      </c>
      <c r="AM133" s="59">
        <f t="shared" si="113"/>
        <v>768.71603471714297</v>
      </c>
      <c r="AN133" s="59">
        <f ca="1">AVERAGE(OFFSET($AM$3,0,0,'Données projet'!$E$10+1,1))-AVERAGE(OFFSET($H$3,0,0,'Données projet'!$E$10+1,1))</f>
        <v>312.51355033343896</v>
      </c>
      <c r="AO133" s="59">
        <f t="shared" ref="AO133:AO196" si="144">$AO$3</f>
        <v>442.54749157177571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8.3606370330163104E-2</v>
      </c>
      <c r="AV133" s="21">
        <f>EXP(-LN(2)/25)*AV132+(1-EXP(-LN(2)/25))/(LN(2)/25)*Calculateur!AQ133*Calculateur!AS133*VLOOKUP('Données projet'!$B$10,Paramètres!$A$1:$I$89,3,0)*0.475*44/12</f>
        <v>0.2680767208743301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0.3516830912044932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5">
      <c r="A134" s="10">
        <f t="shared" si="139"/>
        <v>131</v>
      </c>
      <c r="B134" s="73">
        <f>'Scénario référence'!$B$16*5+'Scénario référence'!$B$17*0+'Scénario référence'!$B$18*5</f>
        <v>5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1">
        <f t="shared" si="140"/>
        <v>0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4" s="11">
        <f>IF(OR('Scénario référence'!$F$8&gt;0,'Scénario référence'!$F$9&gt;0),('Scénario référence'!$F$8+'Scénario référence'!$F$9)*10,0)</f>
        <v>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67">
        <f t="shared" si="110"/>
        <v>183.33333333333334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112.82287576550925</v>
      </c>
      <c r="T134" s="59">
        <f t="shared" si="142"/>
        <v>317.78570695363294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6.674955393719892</v>
      </c>
      <c r="AA134" s="21">
        <f>EXP(-LN(2)/25)*AA133+(1-EXP(-LN(2)/25))/(LN(2)/25)*Calculateur!V134*Calculateur!X134*VLOOKUP('Données projet'!$B$9,Paramètres!$A$1:$I$89,3,0)*0.475*44/12</f>
        <v>0.59135759241387176</v>
      </c>
      <c r="AB134" s="21">
        <f>EXP(-LN(2)/2)*AB133+(1-EXP(-LN(2)/2))/(LN(2)/2)*V134*Y134*VLOOKUP('Données projet'!$B$9,Paramètres!$A$1:$I$89,3,0)*0.475*44/12</f>
        <v>3.5977243784351444E-16</v>
      </c>
      <c r="AC134" s="22">
        <f t="shared" si="111"/>
        <v>7.2663129861337641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247.00000000000017</v>
      </c>
      <c r="AJ134" s="13">
        <f>AI134*VLOOKUP('Données projet'!$B$10,Paramètres!$A$1:$I$89,3,0)*VLOOKUP('Données projet'!$B$10,Paramètres!$A$1:$I$89,5,0)</f>
        <v>223.48560000000012</v>
      </c>
      <c r="AK134" s="13">
        <f t="shared" si="143"/>
        <v>54.87176918107798</v>
      </c>
      <c r="AL134" s="20">
        <f t="shared" si="112"/>
        <v>484.80575132371092</v>
      </c>
      <c r="AM134" s="59">
        <f t="shared" si="113"/>
        <v>768.87950356681665</v>
      </c>
      <c r="AN134" s="59">
        <f ca="1">AVERAGE(OFFSET($AM$3,0,0,'Données projet'!$E$10+1,1))-AVERAGE(OFFSET($H$3,0,0,'Données projet'!$E$10+1,1))</f>
        <v>312.51355033343896</v>
      </c>
      <c r="AO134" s="59">
        <f t="shared" si="144"/>
        <v>442.54749157177571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8.1966900402839188E-2</v>
      </c>
      <c r="AV134" s="21">
        <f>EXP(-LN(2)/25)*AV133+(1-EXP(-LN(2)/25))/(LN(2)/25)*Calculateur!AQ134*Calculateur!AS134*VLOOKUP('Données projet'!$B$10,Paramètres!$A$1:$I$89,3,0)*0.475*44/12</f>
        <v>0.2607461488444795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0.34271304924731871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5">
      <c r="A135" s="10">
        <f t="shared" si="139"/>
        <v>132</v>
      </c>
      <c r="B135" s="73">
        <f>'Scénario référence'!$B$16*5+'Scénario référence'!$B$17*0+'Scénario référence'!$B$18*5</f>
        <v>5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1">
        <f t="shared" si="140"/>
        <v>0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5" s="11">
        <f>IF(OR('Scénario référence'!$F$8&gt;0,'Scénario référence'!$F$9&gt;0),('Scénario référence'!$F$8+'Scénario référence'!$F$9)*10,0)</f>
        <v>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67">
        <f t="shared" si="110"/>
        <v>183.33333333333334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112.82287576550925</v>
      </c>
      <c r="T135" s="59">
        <f t="shared" si="142"/>
        <v>317.78570695363294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6.5440635897698254</v>
      </c>
      <c r="AA135" s="21">
        <f>EXP(-LN(2)/25)*AA134+(1-EXP(-LN(2)/25))/(LN(2)/25)*Calculateur!V135*Calculateur!X135*VLOOKUP('Données projet'!$B$9,Paramètres!$A$1:$I$89,3,0)*0.475*44/12</f>
        <v>0.57518688795117023</v>
      </c>
      <c r="AB135" s="21">
        <f>EXP(-LN(2)/2)*AB134+(1-EXP(-LN(2)/2))/(LN(2)/2)*V135*Y135*VLOOKUP('Données projet'!$B$9,Paramètres!$A$1:$I$89,3,0)*0.475*44/12</f>
        <v>2.5439753048316474E-16</v>
      </c>
      <c r="AC135" s="22">
        <f t="shared" si="111"/>
        <v>7.1192504777209953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247.00000000000017</v>
      </c>
      <c r="AJ135" s="13">
        <f>AI135*VLOOKUP('Données projet'!$B$10,Paramètres!$A$1:$I$89,3,0)*VLOOKUP('Données projet'!$B$10,Paramètres!$A$1:$I$89,5,0)</f>
        <v>223.48560000000012</v>
      </c>
      <c r="AK135" s="13">
        <f t="shared" si="143"/>
        <v>54.87176918107798</v>
      </c>
      <c r="AL135" s="20">
        <f t="shared" si="112"/>
        <v>484.80575132371092</v>
      </c>
      <c r="AM135" s="59">
        <f t="shared" si="113"/>
        <v>769.04013659741008</v>
      </c>
      <c r="AN135" s="59">
        <f ca="1">AVERAGE(OFFSET($AM$3,0,0,'Données projet'!$E$10+1,1))-AVERAGE(OFFSET($H$3,0,0,'Données projet'!$E$10+1,1))</f>
        <v>312.51355033343896</v>
      </c>
      <c r="AO135" s="59">
        <f t="shared" si="144"/>
        <v>442.54749157177571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8.0359579480812168E-2</v>
      </c>
      <c r="AV135" s="21">
        <f>EXP(-LN(2)/25)*AV134+(1-EXP(-LN(2)/25))/(LN(2)/25)*Calculateur!AQ135*Calculateur!AS135*VLOOKUP('Données projet'!$B$10,Paramètres!$A$1:$I$89,3,0)*0.475*44/12</f>
        <v>0.25361603169228319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0.33397561117309538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5">
      <c r="A136" s="10">
        <f t="shared" si="139"/>
        <v>133</v>
      </c>
      <c r="B136" s="73">
        <f>'Scénario référence'!$B$16*5+'Scénario référence'!$B$17*0+'Scénario référence'!$B$18*5</f>
        <v>5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1">
        <f t="shared" si="140"/>
        <v>0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6" s="11">
        <f>IF(OR('Scénario référence'!$F$8&gt;0,'Scénario référence'!$F$9&gt;0),('Scénario référence'!$F$8+'Scénario référence'!$F$9)*10,0)</f>
        <v>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67">
        <f t="shared" si="110"/>
        <v>183.33333333333334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112.82287576550925</v>
      </c>
      <c r="T136" s="59">
        <f t="shared" si="142"/>
        <v>317.78570695363294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6.4157384942591023</v>
      </c>
      <c r="AA136" s="21">
        <f>EXP(-LN(2)/25)*AA135+(1-EXP(-LN(2)/25))/(LN(2)/25)*Calculateur!V136*Calculateur!X136*VLOOKUP('Données projet'!$B$9,Paramètres!$A$1:$I$89,3,0)*0.475*44/12</f>
        <v>0.55945837225238171</v>
      </c>
      <c r="AB136" s="21">
        <f>EXP(-LN(2)/2)*AB135+(1-EXP(-LN(2)/2))/(LN(2)/2)*V136*Y136*VLOOKUP('Données projet'!$B$9,Paramètres!$A$1:$I$89,3,0)*0.475*44/12</f>
        <v>1.7988621892175722E-16</v>
      </c>
      <c r="AC136" s="22">
        <f t="shared" si="111"/>
        <v>6.9751968665114843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247.00000000000017</v>
      </c>
      <c r="AJ136" s="13">
        <f>AI136*VLOOKUP('Données projet'!$B$10,Paramètres!$A$1:$I$89,3,0)*VLOOKUP('Données projet'!$B$10,Paramètres!$A$1:$I$89,5,0)</f>
        <v>223.48560000000012</v>
      </c>
      <c r="AK136" s="13">
        <f t="shared" si="143"/>
        <v>54.87176918107798</v>
      </c>
      <c r="AL136" s="20">
        <f t="shared" si="112"/>
        <v>484.80575132371092</v>
      </c>
      <c r="AM136" s="59">
        <f t="shared" si="113"/>
        <v>769.19798300404432</v>
      </c>
      <c r="AN136" s="59">
        <f ca="1">AVERAGE(OFFSET($AM$3,0,0,'Données projet'!$E$10+1,1))-AVERAGE(OFFSET($H$3,0,0,'Données projet'!$E$10+1,1))</f>
        <v>312.51355033343896</v>
      </c>
      <c r="AO136" s="59">
        <f t="shared" si="144"/>
        <v>442.54749157177571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7.8783777141697139E-2</v>
      </c>
      <c r="AV136" s="21">
        <f>EXP(-LN(2)/25)*AV135+(1-EXP(-LN(2)/25))/(LN(2)/25)*Calculateur!AQ136*Calculateur!AS136*VLOOKUP('Données projet'!$B$10,Paramètres!$A$1:$I$89,3,0)*0.475*44/12</f>
        <v>0.24668088796857024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0.32546466511026739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5">
      <c r="A137" s="10">
        <f t="shared" si="139"/>
        <v>134</v>
      </c>
      <c r="B137" s="73">
        <f>'Scénario référence'!$B$16*5+'Scénario référence'!$B$17*0+'Scénario référence'!$B$18*5</f>
        <v>5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1">
        <f t="shared" si="140"/>
        <v>0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7" s="11">
        <f>IF(OR('Scénario référence'!$F$8&gt;0,'Scénario référence'!$F$9&gt;0),('Scénario référence'!$F$8+'Scénario référence'!$F$9)*10,0)</f>
        <v>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67">
        <f t="shared" si="110"/>
        <v>183.33333333333334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112.82287576550925</v>
      </c>
      <c r="T137" s="59">
        <f t="shared" si="142"/>
        <v>317.78570695363294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6.2899297756007648</v>
      </c>
      <c r="AA137" s="21">
        <f>EXP(-LN(2)/25)*AA136+(1-EXP(-LN(2)/25))/(LN(2)/25)*Calculateur!V137*Calculateur!X137*VLOOKUP('Données projet'!$B$9,Paramètres!$A$1:$I$89,3,0)*0.475*44/12</f>
        <v>0.54415995364250325</v>
      </c>
      <c r="AB137" s="21">
        <f>EXP(-LN(2)/2)*AB136+(1-EXP(-LN(2)/2))/(LN(2)/2)*V137*Y137*VLOOKUP('Données projet'!$B$9,Paramètres!$A$1:$I$89,3,0)*0.475*44/12</f>
        <v>1.2719876524158237E-16</v>
      </c>
      <c r="AC137" s="22">
        <f t="shared" si="111"/>
        <v>6.8340897292432681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247.00000000000017</v>
      </c>
      <c r="AJ137" s="13">
        <f>AI137*VLOOKUP('Données projet'!$B$10,Paramètres!$A$1:$I$89,3,0)*VLOOKUP('Données projet'!$B$10,Paramètres!$A$1:$I$89,5,0)</f>
        <v>223.48560000000012</v>
      </c>
      <c r="AK137" s="13">
        <f t="shared" si="143"/>
        <v>54.87176918107798</v>
      </c>
      <c r="AL137" s="20">
        <f t="shared" si="112"/>
        <v>484.80575132371092</v>
      </c>
      <c r="AM137" s="59">
        <f t="shared" si="113"/>
        <v>769.35309112841514</v>
      </c>
      <c r="AN137" s="59">
        <f ca="1">AVERAGE(OFFSET($AM$3,0,0,'Données projet'!$E$10+1,1))-AVERAGE(OFFSET($H$3,0,0,'Données projet'!$E$10+1,1))</f>
        <v>312.51355033343896</v>
      </c>
      <c r="AO137" s="59">
        <f t="shared" si="144"/>
        <v>442.54749157177571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7.723887532530764E-2</v>
      </c>
      <c r="AV137" s="21">
        <f>EXP(-LN(2)/25)*AV136+(1-EXP(-LN(2)/25))/(LN(2)/25)*Calculateur!AQ137*Calculateur!AS137*VLOOKUP('Données projet'!$B$10,Paramètres!$A$1:$I$89,3,0)*0.475*44/12</f>
        <v>0.23993538611468559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0.31717426143999322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5">
      <c r="A138" s="10">
        <f t="shared" si="139"/>
        <v>135</v>
      </c>
      <c r="B138" s="73">
        <f>'Scénario référence'!$B$16*5+'Scénario référence'!$B$17*0+'Scénario référence'!$B$18*5</f>
        <v>5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1">
        <f t="shared" si="140"/>
        <v>0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8" s="11">
        <f>IF(OR('Scénario référence'!$F$8&gt;0,'Scénario référence'!$F$9&gt;0),('Scénario référence'!$F$8+'Scénario référence'!$F$9)*10,0)</f>
        <v>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67">
        <f t="shared" si="110"/>
        <v>183.33333333333334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112.82287576550925</v>
      </c>
      <c r="T138" s="59">
        <f t="shared" si="142"/>
        <v>317.78570695363294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6.1665880891795766</v>
      </c>
      <c r="AA138" s="21">
        <f>EXP(-LN(2)/25)*AA137+(1-EXP(-LN(2)/25))/(LN(2)/25)*Calculateur!V138*Calculateur!X138*VLOOKUP('Données projet'!$B$9,Paramètres!$A$1:$I$89,3,0)*0.475*44/12</f>
        <v>0.52927987109402075</v>
      </c>
      <c r="AB138" s="21">
        <f>EXP(-LN(2)/2)*AB137+(1-EXP(-LN(2)/2))/(LN(2)/2)*V138*Y138*VLOOKUP('Données projet'!$B$9,Paramètres!$A$1:$I$89,3,0)*0.475*44/12</f>
        <v>8.9943109460878611E-17</v>
      </c>
      <c r="AC138" s="22">
        <f t="shared" si="111"/>
        <v>6.6958679602735973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247.00000000000017</v>
      </c>
      <c r="AJ138" s="13">
        <f>AI138*VLOOKUP('Données projet'!$B$10,Paramètres!$A$1:$I$89,3,0)*VLOOKUP('Données projet'!$B$10,Paramètres!$A$1:$I$89,5,0)</f>
        <v>223.48560000000012</v>
      </c>
      <c r="AK138" s="13">
        <f t="shared" si="143"/>
        <v>54.87176918107798</v>
      </c>
      <c r="AL138" s="20">
        <f t="shared" si="112"/>
        <v>484.80575132371092</v>
      </c>
      <c r="AM138" s="59">
        <f t="shared" si="113"/>
        <v>769.50550847359807</v>
      </c>
      <c r="AN138" s="59">
        <f ca="1">AVERAGE(OFFSET($AM$3,0,0,'Données projet'!$E$10+1,1))-AVERAGE(OFFSET($H$3,0,0,'Données projet'!$E$10+1,1))</f>
        <v>312.51355033343896</v>
      </c>
      <c r="AO138" s="59">
        <f t="shared" si="144"/>
        <v>442.54749157177571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7.5724268091240471E-2</v>
      </c>
      <c r="AV138" s="21">
        <f>EXP(-LN(2)/25)*AV137+(1-EXP(-LN(2)/25))/(LN(2)/25)*Calculateur!AQ138*Calculateur!AS138*VLOOKUP('Données projet'!$B$10,Paramètres!$A$1:$I$89,3,0)*0.475*44/12</f>
        <v>0.23337434036372595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0.30909860845496639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5">
      <c r="A139" s="10">
        <f t="shared" si="139"/>
        <v>136</v>
      </c>
      <c r="B139" s="73">
        <f>'Scénario référence'!$B$16*5+'Scénario référence'!$B$17*0+'Scénario référence'!$B$18*5</f>
        <v>5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1">
        <f t="shared" si="140"/>
        <v>0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9" s="11">
        <f>IF(OR('Scénario référence'!$F$8&gt;0,'Scénario référence'!$F$9&gt;0),('Scénario référence'!$F$8+'Scénario référence'!$F$9)*10,0)</f>
        <v>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67">
        <f t="shared" si="110"/>
        <v>183.33333333333334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112.82287576550925</v>
      </c>
      <c r="T139" s="59">
        <f t="shared" si="142"/>
        <v>317.78570695363294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6.0456650579981073</v>
      </c>
      <c r="AA139" s="21">
        <f>EXP(-LN(2)/25)*AA138+(1-EXP(-LN(2)/25))/(LN(2)/25)*Calculateur!V139*Calculateur!X139*VLOOKUP('Données projet'!$B$9,Paramètres!$A$1:$I$89,3,0)*0.475*44/12</f>
        <v>0.51480668518533601</v>
      </c>
      <c r="AB139" s="21">
        <f>EXP(-LN(2)/2)*AB138+(1-EXP(-LN(2)/2))/(LN(2)/2)*V139*Y139*VLOOKUP('Données projet'!$B$9,Paramètres!$A$1:$I$89,3,0)*0.475*44/12</f>
        <v>6.3599382620791184E-17</v>
      </c>
      <c r="AC139" s="22">
        <f t="shared" si="111"/>
        <v>6.5604717431834434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247.00000000000017</v>
      </c>
      <c r="AJ139" s="13">
        <f>AI139*VLOOKUP('Données projet'!$B$10,Paramètres!$A$1:$I$89,3,0)*VLOOKUP('Données projet'!$B$10,Paramètres!$A$1:$I$89,5,0)</f>
        <v>223.48560000000012</v>
      </c>
      <c r="AK139" s="13">
        <f t="shared" si="143"/>
        <v>54.87176918107798</v>
      </c>
      <c r="AL139" s="20">
        <f t="shared" si="112"/>
        <v>484.80575132371092</v>
      </c>
      <c r="AM139" s="59">
        <f t="shared" si="113"/>
        <v>769.65528171859614</v>
      </c>
      <c r="AN139" s="59">
        <f ca="1">AVERAGE(OFFSET($AM$3,0,0,'Données projet'!$E$10+1,1))-AVERAGE(OFFSET($H$3,0,0,'Données projet'!$E$10+1,1))</f>
        <v>312.51355033343896</v>
      </c>
      <c r="AO139" s="59">
        <f t="shared" si="144"/>
        <v>442.54749157177571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7.4239361381214175E-2</v>
      </c>
      <c r="AV139" s="21">
        <f>EXP(-LN(2)/25)*AV138+(1-EXP(-LN(2)/25))/(LN(2)/25)*Calculateur!AQ139*Calculateur!AS139*VLOOKUP('Données projet'!$B$10,Paramètres!$A$1:$I$89,3,0)*0.475*44/12</f>
        <v>0.22699270675385669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0.30123206813507086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5">
      <c r="A140" s="10">
        <f t="shared" si="139"/>
        <v>137</v>
      </c>
      <c r="B140" s="73">
        <f>'Scénario référence'!$B$16*5+'Scénario référence'!$B$17*0+'Scénario référence'!$B$18*5</f>
        <v>5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1">
        <f t="shared" si="140"/>
        <v>0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0" s="11">
        <f>IF(OR('Scénario référence'!$F$8&gt;0,'Scénario référence'!$F$9&gt;0),('Scénario référence'!$F$8+'Scénario référence'!$F$9)*10,0)</f>
        <v>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67">
        <f t="shared" si="110"/>
        <v>183.33333333333334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112.82287576550925</v>
      </c>
      <c r="T140" s="59">
        <f t="shared" si="142"/>
        <v>317.78570695363294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5.9271132537023403</v>
      </c>
      <c r="AA140" s="21">
        <f>EXP(-LN(2)/25)*AA139+(1-EXP(-LN(2)/25))/(LN(2)/25)*Calculateur!V140*Calculateur!X140*VLOOKUP('Données projet'!$B$9,Paramètres!$A$1:$I$89,3,0)*0.475*44/12</f>
        <v>0.50072926930643602</v>
      </c>
      <c r="AB140" s="21">
        <f>EXP(-LN(2)/2)*AB139+(1-EXP(-LN(2)/2))/(LN(2)/2)*V140*Y140*VLOOKUP('Données projet'!$B$9,Paramètres!$A$1:$I$89,3,0)*0.475*44/12</f>
        <v>4.4971554730439305E-17</v>
      </c>
      <c r="AC140" s="22">
        <f t="shared" si="111"/>
        <v>6.4278425230087759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247.00000000000017</v>
      </c>
      <c r="AJ140" s="13">
        <f>AI140*VLOOKUP('Données projet'!$B$10,Paramètres!$A$1:$I$89,3,0)*VLOOKUP('Données projet'!$B$10,Paramètres!$A$1:$I$89,5,0)</f>
        <v>223.48560000000012</v>
      </c>
      <c r="AK140" s="13">
        <f t="shared" si="143"/>
        <v>54.87176918107798</v>
      </c>
      <c r="AL140" s="20">
        <f t="shared" si="112"/>
        <v>484.80575132371092</v>
      </c>
      <c r="AM140" s="59">
        <f t="shared" si="113"/>
        <v>769.8024567326363</v>
      </c>
      <c r="AN140" s="59">
        <f ca="1">AVERAGE(OFFSET($AM$3,0,0,'Données projet'!$E$10+1,1))-AVERAGE(OFFSET($H$3,0,0,'Données projet'!$E$10+1,1))</f>
        <v>312.51355033343896</v>
      </c>
      <c r="AO140" s="59">
        <f t="shared" si="144"/>
        <v>442.54749157177571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7.2783572786067827E-2</v>
      </c>
      <c r="AV140" s="21">
        <f>EXP(-LN(2)/25)*AV139+(1-EXP(-LN(2)/25))/(LN(2)/25)*Calculateur!AQ140*Calculateur!AS140*VLOOKUP('Données projet'!$B$10,Paramètres!$A$1:$I$89,3,0)*0.475*44/12</f>
        <v>0.22078557925064482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0.29356915203671263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5">
      <c r="A141" s="10">
        <f t="shared" si="139"/>
        <v>138</v>
      </c>
      <c r="B141" s="73">
        <f>'Scénario référence'!$B$16*5+'Scénario référence'!$B$17*0+'Scénario référence'!$B$18*5</f>
        <v>5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1">
        <f t="shared" si="140"/>
        <v>0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1" s="11">
        <f>IF(OR('Scénario référence'!$F$8&gt;0,'Scénario référence'!$F$9&gt;0),('Scénario référence'!$F$8+'Scénario référence'!$F$9)*10,0)</f>
        <v>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67">
        <f t="shared" si="110"/>
        <v>183.33333333333334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112.82287576550925</v>
      </c>
      <c r="T141" s="59">
        <f t="shared" si="142"/>
        <v>317.78570695363294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5.810886177979353</v>
      </c>
      <c r="AA141" s="21">
        <f>EXP(-LN(2)/25)*AA140+(1-EXP(-LN(2)/25))/(LN(2)/25)*Calculateur!V141*Calculateur!X141*VLOOKUP('Données projet'!$B$9,Paramètres!$A$1:$I$89,3,0)*0.475*44/12</f>
        <v>0.48703680110504366</v>
      </c>
      <c r="AB141" s="21">
        <f>EXP(-LN(2)/2)*AB140+(1-EXP(-LN(2)/2))/(LN(2)/2)*V141*Y141*VLOOKUP('Données projet'!$B$9,Paramètres!$A$1:$I$89,3,0)*0.475*44/12</f>
        <v>3.1799691310395592E-17</v>
      </c>
      <c r="AC141" s="22">
        <f t="shared" si="111"/>
        <v>6.2979229790843965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247.00000000000017</v>
      </c>
      <c r="AJ141" s="13">
        <f>AI141*VLOOKUP('Données projet'!$B$10,Paramètres!$A$1:$I$89,3,0)*VLOOKUP('Données projet'!$B$10,Paramètres!$A$1:$I$89,5,0)</f>
        <v>223.48560000000012</v>
      </c>
      <c r="AK141" s="13">
        <f t="shared" si="143"/>
        <v>54.87176918107798</v>
      </c>
      <c r="AL141" s="20">
        <f t="shared" si="112"/>
        <v>484.80575132371092</v>
      </c>
      <c r="AM141" s="59">
        <f t="shared" si="113"/>
        <v>769.94707858921686</v>
      </c>
      <c r="AN141" s="59">
        <f ca="1">AVERAGE(OFFSET($AM$3,0,0,'Données projet'!$E$10+1,1))-AVERAGE(OFFSET($H$3,0,0,'Données projet'!$E$10+1,1))</f>
        <v>312.51355033343896</v>
      </c>
      <c r="AO141" s="59">
        <f t="shared" si="144"/>
        <v>442.54749157177571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7.1356331317328936E-2</v>
      </c>
      <c r="AV141" s="21">
        <f>EXP(-LN(2)/25)*AV140+(1-EXP(-LN(2)/25))/(LN(2)/25)*Calculateur!AQ141*Calculateur!AS141*VLOOKUP('Données projet'!$B$10,Paramètres!$A$1:$I$89,3,0)*0.475*44/12</f>
        <v>0.21474818597542694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0.28610451729275588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5">
      <c r="A142" s="10">
        <f t="shared" si="139"/>
        <v>139</v>
      </c>
      <c r="B142" s="73">
        <f>'Scénario référence'!$B$16*5+'Scénario référence'!$B$17*0+'Scénario référence'!$B$18*5</f>
        <v>5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1">
        <f t="shared" si="140"/>
        <v>0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2" s="11">
        <f>IF(OR('Scénario référence'!$F$8&gt;0,'Scénario référence'!$F$9&gt;0),('Scénario référence'!$F$8+'Scénario référence'!$F$9)*10,0)</f>
        <v>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67">
        <f t="shared" si="110"/>
        <v>183.33333333333334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112.82287576550925</v>
      </c>
      <c r="T142" s="59">
        <f t="shared" si="142"/>
        <v>317.78570695363294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5.6969382443197771</v>
      </c>
      <c r="AA142" s="21">
        <f>EXP(-LN(2)/25)*AA141+(1-EXP(-LN(2)/25))/(LN(2)/25)*Calculateur!V142*Calculateur!X142*VLOOKUP('Données projet'!$B$9,Paramètres!$A$1:$I$89,3,0)*0.475*44/12</f>
        <v>0.47371875416667403</v>
      </c>
      <c r="AB142" s="21">
        <f>EXP(-LN(2)/2)*AB141+(1-EXP(-LN(2)/2))/(LN(2)/2)*V142*Y142*VLOOKUP('Données projet'!$B$9,Paramètres!$A$1:$I$89,3,0)*0.475*44/12</f>
        <v>2.2485777365219653E-17</v>
      </c>
      <c r="AC142" s="22">
        <f t="shared" si="111"/>
        <v>6.170656998486451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247.00000000000017</v>
      </c>
      <c r="AJ142" s="13">
        <f>AI142*VLOOKUP('Données projet'!$B$10,Paramètres!$A$1:$I$89,3,0)*VLOOKUP('Données projet'!$B$10,Paramètres!$A$1:$I$89,5,0)</f>
        <v>223.48560000000012</v>
      </c>
      <c r="AK142" s="13">
        <f t="shared" si="143"/>
        <v>54.87176918107798</v>
      </c>
      <c r="AL142" s="20">
        <f t="shared" si="112"/>
        <v>484.80575132371092</v>
      </c>
      <c r="AM142" s="59">
        <f t="shared" si="113"/>
        <v>770.08919157991181</v>
      </c>
      <c r="AN142" s="59">
        <f ca="1">AVERAGE(OFFSET($AM$3,0,0,'Données projet'!$E$10+1,1))-AVERAGE(OFFSET($H$3,0,0,'Données projet'!$E$10+1,1))</f>
        <v>312.51355033343896</v>
      </c>
      <c r="AO142" s="59">
        <f t="shared" si="144"/>
        <v>442.54749157177571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6.9957077183260677E-2</v>
      </c>
      <c r="AV142" s="21">
        <f>EXP(-LN(2)/25)*AV141+(1-EXP(-LN(2)/25))/(LN(2)/25)*Calculateur!AQ142*Calculateur!AS142*VLOOKUP('Données projet'!$B$10,Paramètres!$A$1:$I$89,3,0)*0.475*44/12</f>
        <v>0.20887588553681261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0.2788329627200733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5">
      <c r="A143" s="10">
        <f t="shared" si="139"/>
        <v>140</v>
      </c>
      <c r="B143" s="73">
        <f>'Scénario référence'!$B$16*5+'Scénario référence'!$B$17*0+'Scénario référence'!$B$18*5</f>
        <v>5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1">
        <f t="shared" si="140"/>
        <v>0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3" s="11">
        <f>IF(OR('Scénario référence'!$F$8&gt;0,'Scénario référence'!$F$9&gt;0),('Scénario référence'!$F$8+'Scénario référence'!$F$9)*10,0)</f>
        <v>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67">
        <f t="shared" si="110"/>
        <v>183.33333333333334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112.82287576550925</v>
      </c>
      <c r="T143" s="59">
        <f t="shared" si="142"/>
        <v>317.78570695363294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5.5852247601378888</v>
      </c>
      <c r="AA143" s="21">
        <f>EXP(-LN(2)/25)*AA142+(1-EXP(-LN(2)/25))/(LN(2)/25)*Calculateur!V143*Calculateur!X143*VLOOKUP('Données projet'!$B$9,Paramètres!$A$1:$I$89,3,0)*0.475*44/12</f>
        <v>0.46076488992219972</v>
      </c>
      <c r="AB143" s="21">
        <f>EXP(-LN(2)/2)*AB142+(1-EXP(-LN(2)/2))/(LN(2)/2)*V143*Y143*VLOOKUP('Données projet'!$B$9,Paramètres!$A$1:$I$89,3,0)*0.475*44/12</f>
        <v>1.5899845655197796E-17</v>
      </c>
      <c r="AC143" s="22">
        <f t="shared" si="111"/>
        <v>6.0459896500600889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247.00000000000017</v>
      </c>
      <c r="AJ143" s="13">
        <f>AI143*VLOOKUP('Données projet'!$B$10,Paramètres!$A$1:$I$89,3,0)*VLOOKUP('Données projet'!$B$10,Paramètres!$A$1:$I$89,5,0)</f>
        <v>223.48560000000012</v>
      </c>
      <c r="AK143" s="13">
        <f t="shared" si="143"/>
        <v>54.87176918107798</v>
      </c>
      <c r="AL143" s="20">
        <f t="shared" si="112"/>
        <v>484.80575132371092</v>
      </c>
      <c r="AM143" s="59">
        <f t="shared" si="113"/>
        <v>770.22883922793528</v>
      </c>
      <c r="AN143" s="59">
        <f ca="1">AVERAGE(OFFSET($AM$3,0,0,'Données projet'!$E$10+1,1))-AVERAGE(OFFSET($H$3,0,0,'Données projet'!$E$10+1,1))</f>
        <v>312.51355033343896</v>
      </c>
      <c r="AO143" s="59">
        <f t="shared" si="144"/>
        <v>442.54749157177571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6.858526156930074E-2</v>
      </c>
      <c r="AV143" s="21">
        <f>EXP(-LN(2)/25)*AV142+(1-EXP(-LN(2)/25))/(LN(2)/25)*Calculateur!AQ143*Calculateur!AS143*VLOOKUP('Données projet'!$B$10,Paramètres!$A$1:$I$89,3,0)*0.475*44/12</f>
        <v>0.20316416346250304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0.27174942503180377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5">
      <c r="A144" s="10">
        <f t="shared" si="139"/>
        <v>141</v>
      </c>
      <c r="B144" s="73">
        <f>'Scénario référence'!$B$16*5+'Scénario référence'!$B$17*0+'Scénario référence'!$B$18*5</f>
        <v>5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1">
        <f t="shared" si="140"/>
        <v>0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4" s="11">
        <f>IF(OR('Scénario référence'!$F$8&gt;0,'Scénario référence'!$F$9&gt;0),('Scénario référence'!$F$8+'Scénario référence'!$F$9)*10,0)</f>
        <v>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67">
        <f t="shared" si="110"/>
        <v>183.33333333333334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112.82287576550925</v>
      </c>
      <c r="T144" s="59">
        <f t="shared" si="142"/>
        <v>317.78570695363294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5.4757019092423098</v>
      </c>
      <c r="AA144" s="21">
        <f>EXP(-LN(2)/25)*AA143+(1-EXP(-LN(2)/25))/(LN(2)/25)*Calculateur!V144*Calculateur!X144*VLOOKUP('Données projet'!$B$9,Paramètres!$A$1:$I$89,3,0)*0.475*44/12</f>
        <v>0.44816524977670469</v>
      </c>
      <c r="AB144" s="21">
        <f>EXP(-LN(2)/2)*AB143+(1-EXP(-LN(2)/2))/(LN(2)/2)*V144*Y144*VLOOKUP('Données projet'!$B$9,Paramètres!$A$1:$I$89,3,0)*0.475*44/12</f>
        <v>1.1242888682609826E-17</v>
      </c>
      <c r="AC144" s="22">
        <f t="shared" si="111"/>
        <v>5.9238671590190144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247.00000000000017</v>
      </c>
      <c r="AJ144" s="13">
        <f>AI144*VLOOKUP('Données projet'!$B$10,Paramètres!$A$1:$I$89,3,0)*VLOOKUP('Données projet'!$B$10,Paramètres!$A$1:$I$89,5,0)</f>
        <v>223.48560000000012</v>
      </c>
      <c r="AK144" s="13">
        <f t="shared" si="143"/>
        <v>54.87176918107798</v>
      </c>
      <c r="AL144" s="20">
        <f t="shared" si="112"/>
        <v>484.80575132371092</v>
      </c>
      <c r="AM144" s="59">
        <f t="shared" si="113"/>
        <v>770.36606430147094</v>
      </c>
      <c r="AN144" s="59">
        <f ca="1">AVERAGE(OFFSET($AM$3,0,0,'Données projet'!$E$10+1,1))-AVERAGE(OFFSET($H$3,0,0,'Données projet'!$E$10+1,1))</f>
        <v>312.51355033343896</v>
      </c>
      <c r="AO144" s="59">
        <f t="shared" si="144"/>
        <v>442.54749157177571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6.7240346422805658E-2</v>
      </c>
      <c r="AV144" s="21">
        <f>EXP(-LN(2)/25)*AV143+(1-EXP(-LN(2)/25))/(LN(2)/25)*Calculateur!AQ144*Calculateur!AS144*VLOOKUP('Données projet'!$B$10,Paramètres!$A$1:$I$89,3,0)*0.475*44/12</f>
        <v>0.19760862872868187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0.26484897515148753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5">
      <c r="A145" s="10">
        <f t="shared" si="139"/>
        <v>142</v>
      </c>
      <c r="B145" s="73">
        <f>'Scénario référence'!$B$16*5+'Scénario référence'!$B$17*0+'Scénario référence'!$B$18*5</f>
        <v>5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1">
        <f t="shared" si="140"/>
        <v>0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5" s="11">
        <f>IF(OR('Scénario référence'!$F$8&gt;0,'Scénario référence'!$F$9&gt;0),('Scénario référence'!$F$8+'Scénario référence'!$F$9)*10,0)</f>
        <v>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67">
        <f t="shared" si="110"/>
        <v>183.33333333333334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112.82287576550925</v>
      </c>
      <c r="T145" s="59">
        <f t="shared" si="142"/>
        <v>317.78570695363294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5.3683267346504504</v>
      </c>
      <c r="AA145" s="21">
        <f>EXP(-LN(2)/25)*AA144+(1-EXP(-LN(2)/25))/(LN(2)/25)*Calculateur!V145*Calculateur!X145*VLOOKUP('Données projet'!$B$9,Paramètres!$A$1:$I$89,3,0)*0.475*44/12</f>
        <v>0.43591014745357448</v>
      </c>
      <c r="AB145" s="21">
        <f>EXP(-LN(2)/2)*AB144+(1-EXP(-LN(2)/2))/(LN(2)/2)*V145*Y145*VLOOKUP('Données projet'!$B$9,Paramètres!$A$1:$I$89,3,0)*0.475*44/12</f>
        <v>7.949922827598898E-18</v>
      </c>
      <c r="AC145" s="22">
        <f t="shared" si="111"/>
        <v>5.8042368821040249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247.00000000000017</v>
      </c>
      <c r="AJ145" s="13">
        <f>AI145*VLOOKUP('Données projet'!$B$10,Paramètres!$A$1:$I$89,3,0)*VLOOKUP('Données projet'!$B$10,Paramètres!$A$1:$I$89,5,0)</f>
        <v>223.48560000000012</v>
      </c>
      <c r="AK145" s="13">
        <f t="shared" si="143"/>
        <v>54.87176918107798</v>
      </c>
      <c r="AL145" s="20">
        <f t="shared" si="112"/>
        <v>484.80575132371092</v>
      </c>
      <c r="AM145" s="59">
        <f t="shared" si="113"/>
        <v>770.50090882677</v>
      </c>
      <c r="AN145" s="59">
        <f ca="1">AVERAGE(OFFSET($AM$3,0,0,'Données projet'!$E$10+1,1))-AVERAGE(OFFSET($H$3,0,0,'Données projet'!$E$10+1,1))</f>
        <v>312.51355033343896</v>
      </c>
      <c r="AO145" s="59">
        <f t="shared" si="144"/>
        <v>442.54749157177571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6.5921804242016102E-2</v>
      </c>
      <c r="AV145" s="21">
        <f>EXP(-LN(2)/25)*AV144+(1-EXP(-LN(2)/25))/(LN(2)/25)*Calculateur!AQ145*Calculateur!AS145*VLOOKUP('Données projet'!$B$10,Paramètres!$A$1:$I$89,3,0)*0.475*44/12</f>
        <v>0.19220501038430993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0.25812681462632603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5">
      <c r="A146" s="10">
        <f t="shared" si="139"/>
        <v>143</v>
      </c>
      <c r="B146" s="73">
        <f>'Scénario référence'!$B$16*5+'Scénario référence'!$B$17*0+'Scénario référence'!$B$18*5</f>
        <v>5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1">
        <f t="shared" si="140"/>
        <v>0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6" s="11">
        <f>IF(OR('Scénario référence'!$F$8&gt;0,'Scénario référence'!$F$9&gt;0),('Scénario référence'!$F$8+'Scénario référence'!$F$9)*10,0)</f>
        <v>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67">
        <f t="shared" si="110"/>
        <v>183.33333333333334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112.82287576550925</v>
      </c>
      <c r="T146" s="59">
        <f t="shared" si="142"/>
        <v>317.78570695363294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5.2630571217399478</v>
      </c>
      <c r="AA146" s="21">
        <f>EXP(-LN(2)/25)*AA145+(1-EXP(-LN(2)/25))/(LN(2)/25)*Calculateur!V146*Calculateur!X146*VLOOKUP('Données projet'!$B$9,Paramètres!$A$1:$I$89,3,0)*0.475*44/12</f>
        <v>0.42399016154793812</v>
      </c>
      <c r="AB146" s="21">
        <f>EXP(-LN(2)/2)*AB145+(1-EXP(-LN(2)/2))/(LN(2)/2)*V146*Y146*VLOOKUP('Données projet'!$B$9,Paramètres!$A$1:$I$89,3,0)*0.475*44/12</f>
        <v>5.6214443413049132E-18</v>
      </c>
      <c r="AC146" s="22">
        <f t="shared" si="111"/>
        <v>5.6870472832878862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247.00000000000017</v>
      </c>
      <c r="AJ146" s="13">
        <f>AI146*VLOOKUP('Données projet'!$B$10,Paramètres!$A$1:$I$89,3,0)*VLOOKUP('Données projet'!$B$10,Paramètres!$A$1:$I$89,5,0)</f>
        <v>223.48560000000012</v>
      </c>
      <c r="AK146" s="13">
        <f t="shared" si="143"/>
        <v>54.87176918107798</v>
      </c>
      <c r="AL146" s="20">
        <f t="shared" si="112"/>
        <v>484.80575132371092</v>
      </c>
      <c r="AM146" s="59">
        <f t="shared" si="113"/>
        <v>770.63341410102237</v>
      </c>
      <c r="AN146" s="59">
        <f ca="1">AVERAGE(OFFSET($AM$3,0,0,'Données projet'!$E$10+1,1))-AVERAGE(OFFSET($H$3,0,0,'Données projet'!$E$10+1,1))</f>
        <v>312.51355033343896</v>
      </c>
      <c r="AO146" s="59">
        <f t="shared" si="144"/>
        <v>442.54749157177571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6.4629117869160507E-2</v>
      </c>
      <c r="AV146" s="21">
        <f>EXP(-LN(2)/25)*AV145+(1-EXP(-LN(2)/25))/(LN(2)/25)*Calculateur!AQ146*Calculateur!AS146*VLOOKUP('Données projet'!$B$10,Paramètres!$A$1:$I$89,3,0)*0.475*44/12</f>
        <v>0.18694915426772876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0.25157827213688927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5">
      <c r="A147" s="10">
        <f t="shared" si="139"/>
        <v>144</v>
      </c>
      <c r="B147" s="73">
        <f>'Scénario référence'!$B$16*5+'Scénario référence'!$B$17*0+'Scénario référence'!$B$18*5</f>
        <v>5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1">
        <f t="shared" si="140"/>
        <v>0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7" s="11">
        <f>IF(OR('Scénario référence'!$F$8&gt;0,'Scénario référence'!$F$9&gt;0),('Scénario référence'!$F$8+'Scénario référence'!$F$9)*10,0)</f>
        <v>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67">
        <f t="shared" si="110"/>
        <v>183.33333333333334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112.82287576550925</v>
      </c>
      <c r="T147" s="59">
        <f t="shared" si="142"/>
        <v>317.78570695363294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5.1598517817304961</v>
      </c>
      <c r="AA147" s="21">
        <f>EXP(-LN(2)/25)*AA146+(1-EXP(-LN(2)/25))/(LN(2)/25)*Calculateur!V147*Calculateur!X147*VLOOKUP('Données projet'!$B$9,Paramètres!$A$1:$I$89,3,0)*0.475*44/12</f>
        <v>0.41239612828373617</v>
      </c>
      <c r="AB147" s="21">
        <f>EXP(-LN(2)/2)*AB146+(1-EXP(-LN(2)/2))/(LN(2)/2)*V147*Y147*VLOOKUP('Données projet'!$B$9,Paramètres!$A$1:$I$89,3,0)*0.475*44/12</f>
        <v>3.974961413799449E-18</v>
      </c>
      <c r="AC147" s="22">
        <f t="shared" si="111"/>
        <v>5.5722479100142319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247.00000000000017</v>
      </c>
      <c r="AJ147" s="13">
        <f>AI147*VLOOKUP('Données projet'!$B$10,Paramètres!$A$1:$I$89,3,0)*VLOOKUP('Données projet'!$B$10,Paramètres!$A$1:$I$89,5,0)</f>
        <v>223.48560000000012</v>
      </c>
      <c r="AK147" s="13">
        <f t="shared" si="143"/>
        <v>54.87176918107798</v>
      </c>
      <c r="AL147" s="20">
        <f t="shared" si="112"/>
        <v>484.80575132371092</v>
      </c>
      <c r="AM147" s="59">
        <f t="shared" si="113"/>
        <v>770.76362070500386</v>
      </c>
      <c r="AN147" s="59">
        <f ca="1">AVERAGE(OFFSET($AM$3,0,0,'Données projet'!$E$10+1,1))-AVERAGE(OFFSET($H$3,0,0,'Données projet'!$E$10+1,1))</f>
        <v>312.51355033343896</v>
      </c>
      <c r="AO147" s="59">
        <f t="shared" si="144"/>
        <v>442.54749157177571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6.3361780287615785E-2</v>
      </c>
      <c r="AV147" s="21">
        <f>EXP(-LN(2)/25)*AV146+(1-EXP(-LN(2)/25))/(LN(2)/25)*Calculateur!AQ147*Calculateur!AS147*VLOOKUP('Données projet'!$B$10,Paramètres!$A$1:$I$89,3,0)*0.475*44/12</f>
        <v>0.18183701981304898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0.24519880010066475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5">
      <c r="A148" s="10">
        <f t="shared" si="139"/>
        <v>145</v>
      </c>
      <c r="B148" s="73">
        <f>'Scénario référence'!$B$16*5+'Scénario référence'!$B$17*0+'Scénario référence'!$B$18*5</f>
        <v>5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1">
        <f t="shared" si="140"/>
        <v>0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8" s="11">
        <f>IF(OR('Scénario référence'!$F$8&gt;0,'Scénario référence'!$F$9&gt;0),('Scénario référence'!$F$8+'Scénario référence'!$F$9)*10,0)</f>
        <v>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67">
        <f t="shared" si="110"/>
        <v>183.33333333333334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112.82287576550925</v>
      </c>
      <c r="T148" s="59">
        <f t="shared" si="142"/>
        <v>317.78570695363294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5.0586702354895881</v>
      </c>
      <c r="AA148" s="21">
        <f>EXP(-LN(2)/25)*AA147+(1-EXP(-LN(2)/25))/(LN(2)/25)*Calculateur!V148*Calculateur!X148*VLOOKUP('Données projet'!$B$9,Paramètres!$A$1:$I$89,3,0)*0.475*44/12</f>
        <v>0.40111913446884756</v>
      </c>
      <c r="AB148" s="21">
        <f>EXP(-LN(2)/2)*AB147+(1-EXP(-LN(2)/2))/(LN(2)/2)*V148*Y148*VLOOKUP('Données projet'!$B$9,Paramètres!$A$1:$I$89,3,0)*0.475*44/12</f>
        <v>2.8107221706524566E-18</v>
      </c>
      <c r="AC148" s="22">
        <f t="shared" si="111"/>
        <v>5.4597893699584352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247.00000000000017</v>
      </c>
      <c r="AJ148" s="13">
        <f>AI148*VLOOKUP('Données projet'!$B$10,Paramètres!$A$1:$I$89,3,0)*VLOOKUP('Données projet'!$B$10,Paramètres!$A$1:$I$89,5,0)</f>
        <v>223.48560000000012</v>
      </c>
      <c r="AK148" s="13">
        <f t="shared" si="143"/>
        <v>54.87176918107798</v>
      </c>
      <c r="AL148" s="20">
        <f t="shared" si="112"/>
        <v>484.80575132371092</v>
      </c>
      <c r="AM148" s="59">
        <f t="shared" si="113"/>
        <v>770.89156851550456</v>
      </c>
      <c r="AN148" s="59">
        <f ca="1">AVERAGE(OFFSET($AM$3,0,0,'Données projet'!$E$10+1,1))-AVERAGE(OFFSET($H$3,0,0,'Données projet'!$E$10+1,1))</f>
        <v>312.51355033343896</v>
      </c>
      <c r="AO148" s="59">
        <f t="shared" si="144"/>
        <v>442.54749157177571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6.2119294423045555E-2</v>
      </c>
      <c r="AV148" s="21">
        <f>EXP(-LN(2)/25)*AV147+(1-EXP(-LN(2)/25))/(LN(2)/25)*Calculateur!AQ148*Calculateur!AS148*VLOOKUP('Données projet'!$B$10,Paramètres!$A$1:$I$89,3,0)*0.475*44/12</f>
        <v>0.17686467694386787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0.23898397136691343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5">
      <c r="A149" s="10">
        <f t="shared" si="139"/>
        <v>146</v>
      </c>
      <c r="B149" s="73">
        <f>'Scénario référence'!$B$16*5+'Scénario référence'!$B$17*0+'Scénario référence'!$B$18*5</f>
        <v>5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1">
        <f t="shared" si="140"/>
        <v>0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9" s="11">
        <f>IF(OR('Scénario référence'!$F$8&gt;0,'Scénario référence'!$F$9&gt;0),('Scénario référence'!$F$8+'Scénario référence'!$F$9)*10,0)</f>
        <v>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67">
        <f t="shared" si="110"/>
        <v>183.33333333333334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112.82287576550925</v>
      </c>
      <c r="T149" s="59">
        <f t="shared" si="142"/>
        <v>317.78570695363294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4.9594727976558151</v>
      </c>
      <c r="AA149" s="21">
        <f>EXP(-LN(2)/25)*AA148+(1-EXP(-LN(2)/25))/(LN(2)/25)*Calculateur!V149*Calculateur!X149*VLOOKUP('Données projet'!$B$9,Paramètres!$A$1:$I$89,3,0)*0.475*44/12</f>
        <v>0.39015051064285844</v>
      </c>
      <c r="AB149" s="21">
        <f>EXP(-LN(2)/2)*AB148+(1-EXP(-LN(2)/2))/(LN(2)/2)*V149*Y149*VLOOKUP('Données projet'!$B$9,Paramètres!$A$1:$I$89,3,0)*0.475*44/12</f>
        <v>1.9874807068997245E-18</v>
      </c>
      <c r="AC149" s="22">
        <f t="shared" si="111"/>
        <v>5.3496233082986731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247.00000000000017</v>
      </c>
      <c r="AJ149" s="13">
        <f>AI149*VLOOKUP('Données projet'!$B$10,Paramètres!$A$1:$I$89,3,0)*VLOOKUP('Données projet'!$B$10,Paramètres!$A$1:$I$89,5,0)</f>
        <v>223.48560000000012</v>
      </c>
      <c r="AK149" s="13">
        <f t="shared" si="143"/>
        <v>54.87176918107798</v>
      </c>
      <c r="AL149" s="20">
        <f t="shared" si="112"/>
        <v>484.80575132371092</v>
      </c>
      <c r="AM149" s="59">
        <f t="shared" si="113"/>
        <v>771.01729671754151</v>
      </c>
      <c r="AN149" s="59">
        <f ca="1">AVERAGE(OFFSET($AM$3,0,0,'Données projet'!$E$10+1,1))-AVERAGE(OFFSET($H$3,0,0,'Données projet'!$E$10+1,1))</f>
        <v>312.51355033343896</v>
      </c>
      <c r="AO149" s="59">
        <f t="shared" si="144"/>
        <v>442.54749157177571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6.0901172948437998E-2</v>
      </c>
      <c r="AV149" s="21">
        <f>EXP(-LN(2)/25)*AV148+(1-EXP(-LN(2)/25))/(LN(2)/25)*Calculateur!AQ149*Calculateur!AS149*VLOOKUP('Données projet'!$B$10,Paramètres!$A$1:$I$89,3,0)*0.475*44/12</f>
        <v>0.17202830305192868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0.23292947600036668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5">
      <c r="A150" s="10">
        <f t="shared" si="139"/>
        <v>147</v>
      </c>
      <c r="B150" s="73">
        <f>'Scénario référence'!$B$16*5+'Scénario référence'!$B$17*0+'Scénario référence'!$B$18*5</f>
        <v>5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1">
        <f t="shared" si="140"/>
        <v>0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0" s="11">
        <f>IF(OR('Scénario référence'!$F$8&gt;0,'Scénario référence'!$F$9&gt;0),('Scénario référence'!$F$8+'Scénario référence'!$F$9)*10,0)</f>
        <v>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67">
        <f t="shared" si="110"/>
        <v>183.33333333333334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112.82287576550925</v>
      </c>
      <c r="T150" s="59">
        <f t="shared" si="142"/>
        <v>317.78570695363294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4.8622205610734994</v>
      </c>
      <c r="AA150" s="21">
        <f>EXP(-LN(2)/25)*AA149+(1-EXP(-LN(2)/25))/(LN(2)/25)*Calculateur!V150*Calculateur!X150*VLOOKUP('Données projet'!$B$9,Paramètres!$A$1:$I$89,3,0)*0.475*44/12</f>
        <v>0.37948182441220585</v>
      </c>
      <c r="AB150" s="21">
        <f>EXP(-LN(2)/2)*AB149+(1-EXP(-LN(2)/2))/(LN(2)/2)*V150*Y150*VLOOKUP('Données projet'!$B$9,Paramètres!$A$1:$I$89,3,0)*0.475*44/12</f>
        <v>1.4053610853262283E-18</v>
      </c>
      <c r="AC150" s="22">
        <f t="shared" si="111"/>
        <v>5.2417023854857057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247.00000000000017</v>
      </c>
      <c r="AJ150" s="13">
        <f>AI150*VLOOKUP('Données projet'!$B$10,Paramètres!$A$1:$I$89,3,0)*VLOOKUP('Données projet'!$B$10,Paramètres!$A$1:$I$89,5,0)</f>
        <v>223.48560000000012</v>
      </c>
      <c r="AK150" s="13">
        <f t="shared" si="143"/>
        <v>54.87176918107798</v>
      </c>
      <c r="AL150" s="20">
        <f t="shared" si="112"/>
        <v>484.80575132371092</v>
      </c>
      <c r="AM150" s="59">
        <f t="shared" si="113"/>
        <v>771.14084381635939</v>
      </c>
      <c r="AN150" s="59">
        <f ca="1">AVERAGE(OFFSET($AM$3,0,0,'Données projet'!$E$10+1,1))-AVERAGE(OFFSET($H$3,0,0,'Données projet'!$E$10+1,1))</f>
        <v>312.51355033343896</v>
      </c>
      <c r="AO150" s="59">
        <f t="shared" si="144"/>
        <v>442.54749157177571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5.970693809296676E-2</v>
      </c>
      <c r="AV150" s="21">
        <f>EXP(-LN(2)/25)*AV149+(1-EXP(-LN(2)/25))/(LN(2)/25)*Calculateur!AQ150*Calculateur!AS150*VLOOKUP('Données projet'!$B$10,Paramètres!$A$1:$I$89,3,0)*0.475*44/12</f>
        <v>0.16732418005839841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0.22703111815136517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5">
      <c r="A151" s="10">
        <f t="shared" si="139"/>
        <v>148</v>
      </c>
      <c r="B151" s="73">
        <f>'Scénario référence'!$B$16*5+'Scénario référence'!$B$17*0+'Scénario référence'!$B$18*5</f>
        <v>5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1">
        <f t="shared" si="140"/>
        <v>0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1" s="11">
        <f>IF(OR('Scénario référence'!$F$8&gt;0,'Scénario référence'!$F$9&gt;0),('Scénario référence'!$F$8+'Scénario référence'!$F$9)*10,0)</f>
        <v>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67">
        <f t="shared" si="110"/>
        <v>183.33333333333334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112.82287576550925</v>
      </c>
      <c r="T151" s="59">
        <f t="shared" si="142"/>
        <v>317.78570695363294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4.7668753815325555</v>
      </c>
      <c r="AA151" s="21">
        <f>EXP(-LN(2)/25)*AA150+(1-EXP(-LN(2)/25))/(LN(2)/25)*Calculateur!V151*Calculateur!X151*VLOOKUP('Données projet'!$B$9,Paramètres!$A$1:$I$89,3,0)*0.475*44/12</f>
        <v>0.36910487396757224</v>
      </c>
      <c r="AB151" s="21">
        <f>EXP(-LN(2)/2)*AB150+(1-EXP(-LN(2)/2))/(LN(2)/2)*V151*Y151*VLOOKUP('Données projet'!$B$9,Paramètres!$A$1:$I$89,3,0)*0.475*44/12</f>
        <v>9.9374035344986225E-19</v>
      </c>
      <c r="AC151" s="22">
        <f t="shared" si="111"/>
        <v>5.1359802555001277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247.00000000000017</v>
      </c>
      <c r="AJ151" s="13">
        <f>AI151*VLOOKUP('Données projet'!$B$10,Paramètres!$A$1:$I$89,3,0)*VLOOKUP('Données projet'!$B$10,Paramètres!$A$1:$I$89,5,0)</f>
        <v>223.48560000000012</v>
      </c>
      <c r="AK151" s="13">
        <f t="shared" si="143"/>
        <v>54.87176918107798</v>
      </c>
      <c r="AL151" s="20">
        <f t="shared" si="112"/>
        <v>484.80575132371092</v>
      </c>
      <c r="AM151" s="59">
        <f t="shared" si="113"/>
        <v>771.26224764922267</v>
      </c>
      <c r="AN151" s="59">
        <f ca="1">AVERAGE(OFFSET($AM$3,0,0,'Données projet'!$E$10+1,1))-AVERAGE(OFFSET($H$3,0,0,'Données projet'!$E$10+1,1))</f>
        <v>312.51355033343896</v>
      </c>
      <c r="AO151" s="59">
        <f t="shared" si="144"/>
        <v>442.54749157177571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5.8536121454599979E-2</v>
      </c>
      <c r="AV151" s="21">
        <f>EXP(-LN(2)/25)*AV150+(1-EXP(-LN(2)/25))/(LN(2)/25)*Calculateur!AQ151*Calculateur!AS151*VLOOKUP('Données projet'!$B$10,Paramètres!$A$1:$I$89,3,0)*0.475*44/12</f>
        <v>0.16274869155550531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0.22128481301010527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5">
      <c r="A152" s="10">
        <f t="shared" si="139"/>
        <v>149</v>
      </c>
      <c r="B152" s="73">
        <f>'Scénario référence'!$B$16*5+'Scénario référence'!$B$17*0+'Scénario référence'!$B$18*5</f>
        <v>5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1">
        <f t="shared" si="140"/>
        <v>0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2" s="11">
        <f>IF(OR('Scénario référence'!$F$8&gt;0,'Scénario référence'!$F$9&gt;0),('Scénario référence'!$F$8+'Scénario référence'!$F$9)*10,0)</f>
        <v>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67">
        <f t="shared" si="110"/>
        <v>183.33333333333334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112.82287576550925</v>
      </c>
      <c r="T152" s="59">
        <f t="shared" si="142"/>
        <v>317.78570695363294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4.6733998628075923</v>
      </c>
      <c r="AA152" s="21">
        <f>EXP(-LN(2)/25)*AA151+(1-EXP(-LN(2)/25))/(LN(2)/25)*Calculateur!V152*Calculateur!X152*VLOOKUP('Données projet'!$B$9,Paramètres!$A$1:$I$89,3,0)*0.475*44/12</f>
        <v>0.35901168177854725</v>
      </c>
      <c r="AB152" s="21">
        <f>EXP(-LN(2)/2)*AB151+(1-EXP(-LN(2)/2))/(LN(2)/2)*V152*Y152*VLOOKUP('Données projet'!$B$9,Paramètres!$A$1:$I$89,3,0)*0.475*44/12</f>
        <v>7.0268054266311415E-19</v>
      </c>
      <c r="AC152" s="22">
        <f t="shared" si="111"/>
        <v>5.0324115445861395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247.00000000000017</v>
      </c>
      <c r="AJ152" s="13">
        <f>AI152*VLOOKUP('Données projet'!$B$10,Paramètres!$A$1:$I$89,3,0)*VLOOKUP('Données projet'!$B$10,Paramètres!$A$1:$I$89,5,0)</f>
        <v>223.48560000000012</v>
      </c>
      <c r="AK152" s="13">
        <f t="shared" si="143"/>
        <v>54.87176918107798</v>
      </c>
      <c r="AL152" s="20">
        <f t="shared" si="112"/>
        <v>484.80575132371092</v>
      </c>
      <c r="AM152" s="59">
        <f t="shared" si="113"/>
        <v>771.38154539700395</v>
      </c>
      <c r="AN152" s="59">
        <f ca="1">AVERAGE(OFFSET($AM$3,0,0,'Données projet'!$E$10+1,1))-AVERAGE(OFFSET($H$3,0,0,'Données projet'!$E$10+1,1))</f>
        <v>312.51355033343896</v>
      </c>
      <c r="AO152" s="59">
        <f t="shared" si="144"/>
        <v>442.54749157177571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5.7388263816383935E-2</v>
      </c>
      <c r="AV152" s="21">
        <f>EXP(-LN(2)/25)*AV151+(1-EXP(-LN(2)/25))/(LN(2)/25)*Calculateur!AQ152*Calculateur!AS152*VLOOKUP('Données projet'!$B$10,Paramètres!$A$1:$I$89,3,0)*0.475*44/12</f>
        <v>0.15829832002633829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0.21568658384272221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5">
      <c r="A153" s="10">
        <f>A152+1</f>
        <v>150</v>
      </c>
      <c r="B153" s="73">
        <f>'Scénario référence'!$B$16*5+'Scénario référence'!$B$17*0+'Scénario référence'!$B$18*5</f>
        <v>5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1">
        <f t="shared" si="140"/>
        <v>0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3" s="11">
        <f>IF(OR('Scénario référence'!$F$8&gt;0,'Scénario référence'!$F$9&gt;0),('Scénario référence'!$F$8+'Scénario référence'!$F$9)*10,0)</f>
        <v>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67">
        <f t="shared" si="110"/>
        <v>183.33333333333334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112.82287576550925</v>
      </c>
      <c r="T153" s="59">
        <f t="shared" si="142"/>
        <v>317.78570695363294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4.5817573419903894</v>
      </c>
      <c r="AA153" s="21">
        <f>EXP(-LN(2)/25)*AA152+(1-EXP(-LN(2)/25))/(LN(2)/25)*Calculateur!V153*Calculateur!X153*VLOOKUP('Données projet'!$B$9,Paramètres!$A$1:$I$89,3,0)*0.475*44/12</f>
        <v>0.34919448846070905</v>
      </c>
      <c r="AB153" s="21">
        <f>EXP(-LN(2)/2)*AB152+(1-EXP(-LN(2)/2))/(LN(2)/2)*V153*Y153*VLOOKUP('Données projet'!$B$9,Paramètres!$A$1:$I$89,3,0)*0.475*44/12</f>
        <v>4.9687017672493112E-19</v>
      </c>
      <c r="AC153" s="22">
        <f t="shared" si="111"/>
        <v>4.9309518304510984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247.00000000000017</v>
      </c>
      <c r="AJ153" s="13">
        <f>AI153*VLOOKUP('Données projet'!$B$10,Paramètres!$A$1:$I$89,3,0)*VLOOKUP('Données projet'!$B$10,Paramètres!$A$1:$I$89,5,0)</f>
        <v>223.48560000000012</v>
      </c>
      <c r="AK153" s="13">
        <f t="shared" si="143"/>
        <v>54.87176918107798</v>
      </c>
      <c r="AL153" s="20">
        <f t="shared" si="112"/>
        <v>484.80575132371092</v>
      </c>
      <c r="AM153" s="59">
        <f t="shared" si="113"/>
        <v>771.49877359557127</v>
      </c>
      <c r="AN153" s="59">
        <f ca="1">AVERAGE(OFFSET($AM$3,0,0,'Données projet'!$E$10+1,1))-AVERAGE(OFFSET($H$3,0,0,'Données projet'!$E$10+1,1))</f>
        <v>312.51355033343896</v>
      </c>
      <c r="AO153" s="59">
        <f t="shared" si="144"/>
        <v>442.54749157177571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5.6262914966329278E-2</v>
      </c>
      <c r="AV153" s="21">
        <f>EXP(-LN(2)/25)*AV152+(1-EXP(-LN(2)/25))/(LN(2)/25)*Calculateur!AQ153*Calculateur!AS153*VLOOKUP('Données projet'!$B$10,Paramètres!$A$1:$I$89,3,0)*0.475*44/12</f>
        <v>0.15396964414067121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0.21023255910700051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5">
      <c r="A154" s="10">
        <f t="shared" ref="A154:A202" si="161">A153+1</f>
        <v>151</v>
      </c>
      <c r="B154" s="73">
        <f>'Scénario référence'!$B$16*5+'Scénario référence'!$B$17*0+'Scénario référence'!$B$18*5</f>
        <v>5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1">
        <f t="shared" si="140"/>
        <v>0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4" s="11">
        <f>IF(OR('Scénario référence'!$F$8&gt;0,'Scénario référence'!$F$9&gt;0),('Scénario référence'!$F$8+'Scénario référence'!$F$9)*10,0)</f>
        <v>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67">
        <f t="shared" si="110"/>
        <v>183.33333333333334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112.82287576550925</v>
      </c>
      <c r="T154" s="59">
        <f t="shared" si="142"/>
        <v>317.78570695363294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4.4919118751099933</v>
      </c>
      <c r="AA154" s="21">
        <f>EXP(-LN(2)/25)*AA153+(1-EXP(-LN(2)/25))/(LN(2)/25)*Calculateur!V154*Calculateur!X154*VLOOKUP('Données projet'!$B$9,Paramètres!$A$1:$I$89,3,0)*0.475*44/12</f>
        <v>0.33964574681041093</v>
      </c>
      <c r="AB154" s="21">
        <f>EXP(-LN(2)/2)*AB153+(1-EXP(-LN(2)/2))/(LN(2)/2)*V154*Y154*VLOOKUP('Données projet'!$B$9,Paramètres!$A$1:$I$89,3,0)*0.475*44/12</f>
        <v>3.5134027133155707E-19</v>
      </c>
      <c r="AC154" s="22">
        <f t="shared" ref="AC154:AC203" si="163">SUM(Z154:AB154)</f>
        <v>4.8315576219204042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247.00000000000017</v>
      </c>
      <c r="AJ154" s="13">
        <f>AI154*VLOOKUP('Données projet'!$B$10,Paramètres!$A$1:$I$89,3,0)*VLOOKUP('Données projet'!$B$10,Paramètres!$A$1:$I$89,5,0)</f>
        <v>223.48560000000012</v>
      </c>
      <c r="AK154" s="13">
        <f t="shared" ref="AK154:AK203" si="164">EXP(-1.0587+0.8836*LN(AJ154)+0.284)</f>
        <v>54.87176918107798</v>
      </c>
      <c r="AL154" s="20">
        <f t="shared" ref="AL154:AL203" si="165">(AJ154+AK154)*0.475*44/12</f>
        <v>484.80575132371092</v>
      </c>
      <c r="AM154" s="59">
        <f t="shared" si="113"/>
        <v>771.61396814697628</v>
      </c>
      <c r="AN154" s="59">
        <f ca="1">AVERAGE(OFFSET($AM$3,0,0,'Données projet'!$E$10+1,1))-AVERAGE(OFFSET($H$3,0,0,'Données projet'!$E$10+1,1))</f>
        <v>312.51355033343896</v>
      </c>
      <c r="AO154" s="59">
        <f t="shared" si="144"/>
        <v>442.54749157177571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5.5159633520829171E-2</v>
      </c>
      <c r="AV154" s="21">
        <f>EXP(-LN(2)/25)*AV153+(1-EXP(-LN(2)/25))/(LN(2)/25)*Calculateur!AQ154*Calculateur!AS154*VLOOKUP('Données projet'!$B$10,Paramètres!$A$1:$I$89,3,0)*0.475*44/12</f>
        <v>0.14975933612473288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0.20491896964556205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5">
      <c r="A155" s="10">
        <f t="shared" si="161"/>
        <v>152</v>
      </c>
      <c r="B155" s="73">
        <f>'Scénario référence'!$B$16*5+'Scénario référence'!$B$17*0+'Scénario référence'!$B$18*5</f>
        <v>5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1">
        <f t="shared" si="140"/>
        <v>0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5" s="11">
        <f>IF(OR('Scénario référence'!$F$8&gt;0,'Scénario référence'!$F$9&gt;0),('Scénario référence'!$F$8+'Scénario référence'!$F$9)*10,0)</f>
        <v>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67">
        <f t="shared" si="110"/>
        <v>183.33333333333334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112.82287576550925</v>
      </c>
      <c r="T155" s="59">
        <f t="shared" si="142"/>
        <v>317.78570695363294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4.4038282230347976</v>
      </c>
      <c r="AA155" s="21">
        <f>EXP(-LN(2)/25)*AA154+(1-EXP(-LN(2)/25))/(LN(2)/25)*Calculateur!V155*Calculateur!X155*VLOOKUP('Données projet'!$B$9,Paramètres!$A$1:$I$89,3,0)*0.475*44/12</f>
        <v>0.33035811600268666</v>
      </c>
      <c r="AB155" s="21">
        <f>EXP(-LN(2)/2)*AB154+(1-EXP(-LN(2)/2))/(LN(2)/2)*V155*Y155*VLOOKUP('Données projet'!$B$9,Paramètres!$A$1:$I$89,3,0)*0.475*44/12</f>
        <v>2.4843508836246556E-19</v>
      </c>
      <c r="AC155" s="22">
        <f t="shared" si="163"/>
        <v>4.7341863390374845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247.00000000000017</v>
      </c>
      <c r="AJ155" s="13">
        <f>AI155*VLOOKUP('Données projet'!$B$10,Paramètres!$A$1:$I$89,3,0)*VLOOKUP('Données projet'!$B$10,Paramètres!$A$1:$I$89,5,0)</f>
        <v>223.48560000000012</v>
      </c>
      <c r="AK155" s="13">
        <f t="shared" si="164"/>
        <v>54.87176918107798</v>
      </c>
      <c r="AL155" s="20">
        <f t="shared" si="165"/>
        <v>484.80575132371092</v>
      </c>
      <c r="AM155" s="59">
        <f t="shared" si="113"/>
        <v>771.72716433045082</v>
      </c>
      <c r="AN155" s="59">
        <f ca="1">AVERAGE(OFFSET($AM$3,0,0,'Données projet'!$E$10+1,1))-AVERAGE(OFFSET($H$3,0,0,'Données projet'!$E$10+1,1))</f>
        <v>312.51355033343896</v>
      </c>
      <c r="AO155" s="59">
        <f t="shared" si="144"/>
        <v>442.54749157177571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5.4077986751540082E-2</v>
      </c>
      <c r="AV155" s="21">
        <f>EXP(-LN(2)/25)*AV154+(1-EXP(-LN(2)/25))/(LN(2)/25)*Calculateur!AQ155*Calculateur!AS155*VLOOKUP('Données projet'!$B$10,Paramètres!$A$1:$I$89,3,0)*0.475*44/12</f>
        <v>0.14566415920290085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0.19974214595444093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5">
      <c r="A156" s="10">
        <f t="shared" si="161"/>
        <v>153</v>
      </c>
      <c r="B156" s="73">
        <f>'Scénario référence'!$B$16*5+'Scénario référence'!$B$17*0+'Scénario référence'!$B$18*5</f>
        <v>5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1">
        <f t="shared" si="140"/>
        <v>0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6" s="11">
        <f>IF(OR('Scénario référence'!$F$8&gt;0,'Scénario référence'!$F$9&gt;0),('Scénario référence'!$F$8+'Scénario référence'!$F$9)*10,0)</f>
        <v>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67">
        <f t="shared" si="110"/>
        <v>183.33333333333334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112.82287576550925</v>
      </c>
      <c r="T156" s="59">
        <f t="shared" si="142"/>
        <v>317.78570695363294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4.3174718376510741</v>
      </c>
      <c r="AA156" s="21">
        <f>EXP(-LN(2)/25)*AA155+(1-EXP(-LN(2)/25))/(LN(2)/25)*Calculateur!V156*Calculateur!X156*VLOOKUP('Données projet'!$B$9,Paramètres!$A$1:$I$89,3,0)*0.475*44/12</f>
        <v>0.32132445594781495</v>
      </c>
      <c r="AB156" s="21">
        <f>EXP(-LN(2)/2)*AB155+(1-EXP(-LN(2)/2))/(LN(2)/2)*V156*Y156*VLOOKUP('Données projet'!$B$9,Paramètres!$A$1:$I$89,3,0)*0.475*44/12</f>
        <v>1.7567013566577854E-19</v>
      </c>
      <c r="AC156" s="22">
        <f t="shared" si="163"/>
        <v>4.6387962935988893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247.00000000000017</v>
      </c>
      <c r="AJ156" s="13">
        <f>AI156*VLOOKUP('Données projet'!$B$10,Paramètres!$A$1:$I$89,3,0)*VLOOKUP('Données projet'!$B$10,Paramètres!$A$1:$I$89,5,0)</f>
        <v>223.48560000000012</v>
      </c>
      <c r="AK156" s="13">
        <f t="shared" si="164"/>
        <v>54.87176918107798</v>
      </c>
      <c r="AL156" s="20">
        <f t="shared" si="165"/>
        <v>484.80575132371092</v>
      </c>
      <c r="AM156" s="59">
        <f t="shared" si="113"/>
        <v>771.83839681321092</v>
      </c>
      <c r="AN156" s="59">
        <f ca="1">AVERAGE(OFFSET($AM$3,0,0,'Données projet'!$E$10+1,1))-AVERAGE(OFFSET($H$3,0,0,'Données projet'!$E$10+1,1))</f>
        <v>312.51355033343896</v>
      </c>
      <c r="AO156" s="59">
        <f t="shared" si="144"/>
        <v>442.54749157177571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5.3017550415657366E-2</v>
      </c>
      <c r="AV156" s="21">
        <f>EXP(-LN(2)/25)*AV155+(1-EXP(-LN(2)/25))/(LN(2)/25)*Calculateur!AQ156*Calculateur!AS156*VLOOKUP('Données projet'!$B$10,Paramètres!$A$1:$I$89,3,0)*0.475*44/12</f>
        <v>0.14168096510935232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0.19469851552500969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5">
      <c r="A157" s="10">
        <f t="shared" si="161"/>
        <v>154</v>
      </c>
      <c r="B157" s="73">
        <f>'Scénario référence'!$B$16*5+'Scénario référence'!$B$17*0+'Scénario référence'!$B$18*5</f>
        <v>5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1">
        <f t="shared" si="140"/>
        <v>0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7" s="11">
        <f>IF(OR('Scénario référence'!$F$8&gt;0,'Scénario référence'!$F$9&gt;0),('Scénario référence'!$F$8+'Scénario référence'!$F$9)*10,0)</f>
        <v>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67">
        <f t="shared" si="110"/>
        <v>183.33333333333334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112.82287576550925</v>
      </c>
      <c r="T157" s="59">
        <f t="shared" si="142"/>
        <v>317.78570695363294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4.2328088483125308</v>
      </c>
      <c r="AA157" s="21">
        <f>EXP(-LN(2)/25)*AA156+(1-EXP(-LN(2)/25))/(LN(2)/25)*Calculateur!V157*Calculateur!X157*VLOOKUP('Données projet'!$B$9,Paramètres!$A$1:$I$89,3,0)*0.475*44/12</f>
        <v>0.31253782180220319</v>
      </c>
      <c r="AB157" s="21">
        <f>EXP(-LN(2)/2)*AB156+(1-EXP(-LN(2)/2))/(LN(2)/2)*V157*Y157*VLOOKUP('Données projet'!$B$9,Paramètres!$A$1:$I$89,3,0)*0.475*44/12</f>
        <v>1.2421754418123278E-19</v>
      </c>
      <c r="AC157" s="22">
        <f t="shared" si="163"/>
        <v>4.5453466701147338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247.00000000000017</v>
      </c>
      <c r="AJ157" s="13">
        <f>AI157*VLOOKUP('Données projet'!$B$10,Paramètres!$A$1:$I$89,3,0)*VLOOKUP('Données projet'!$B$10,Paramètres!$A$1:$I$89,5,0)</f>
        <v>223.48560000000012</v>
      </c>
      <c r="AK157" s="13">
        <f t="shared" si="164"/>
        <v>54.87176918107798</v>
      </c>
      <c r="AL157" s="20">
        <f t="shared" si="165"/>
        <v>484.80575132371092</v>
      </c>
      <c r="AM157" s="59">
        <f t="shared" si="113"/>
        <v>771.94769966107367</v>
      </c>
      <c r="AN157" s="59">
        <f ca="1">AVERAGE(OFFSET($AM$3,0,0,'Données projet'!$E$10+1,1))-AVERAGE(OFFSET($H$3,0,0,'Données projet'!$E$10+1,1))</f>
        <v>312.51355033343896</v>
      </c>
      <c r="AO157" s="59">
        <f t="shared" si="144"/>
        <v>442.54749157177571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5.1977908589519013E-2</v>
      </c>
      <c r="AV157" s="21">
        <f>EXP(-LN(2)/25)*AV156+(1-EXP(-LN(2)/25))/(LN(2)/25)*Calculateur!AQ157*Calculateur!AS157*VLOOKUP('Données projet'!$B$10,Paramètres!$A$1:$I$89,3,0)*0.475*44/12</f>
        <v>0.13780669166775894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0.18978460025727795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5">
      <c r="A158" s="10">
        <f t="shared" si="161"/>
        <v>155</v>
      </c>
      <c r="B158" s="73">
        <f>'Scénario référence'!$B$16*5+'Scénario référence'!$B$17*0+'Scénario référence'!$B$18*5</f>
        <v>5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1">
        <f t="shared" si="140"/>
        <v>0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8" s="11">
        <f>IF(OR('Scénario référence'!$F$8&gt;0,'Scénario référence'!$F$9&gt;0),('Scénario référence'!$F$8+'Scénario référence'!$F$9)*10,0)</f>
        <v>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67">
        <f t="shared" si="110"/>
        <v>183.33333333333334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112.82287576550925</v>
      </c>
      <c r="T158" s="59">
        <f t="shared" si="142"/>
        <v>317.78570695363294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4.1498060485555923</v>
      </c>
      <c r="AA158" s="21">
        <f>EXP(-LN(2)/25)*AA157+(1-EXP(-LN(2)/25))/(LN(2)/25)*Calculateur!V158*Calculateur!X158*VLOOKUP('Données projet'!$B$9,Paramètres!$A$1:$I$89,3,0)*0.475*44/12</f>
        <v>0.30399145862937221</v>
      </c>
      <c r="AB158" s="21">
        <f>EXP(-LN(2)/2)*AB157+(1-EXP(-LN(2)/2))/(LN(2)/2)*V158*Y158*VLOOKUP('Données projet'!$B$9,Paramètres!$A$1:$I$89,3,0)*0.475*44/12</f>
        <v>8.7835067832889268E-20</v>
      </c>
      <c r="AC158" s="22">
        <f t="shared" si="163"/>
        <v>4.4537975071849649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247.00000000000017</v>
      </c>
      <c r="AJ158" s="13">
        <f>AI158*VLOOKUP('Données projet'!$B$10,Paramètres!$A$1:$I$89,3,0)*VLOOKUP('Données projet'!$B$10,Paramètres!$A$1:$I$89,5,0)</f>
        <v>223.48560000000012</v>
      </c>
      <c r="AK158" s="13">
        <f t="shared" si="164"/>
        <v>54.87176918107798</v>
      </c>
      <c r="AL158" s="20">
        <f t="shared" si="165"/>
        <v>484.80575132371092</v>
      </c>
      <c r="AM158" s="59">
        <f t="shared" si="113"/>
        <v>772.0551063488906</v>
      </c>
      <c r="AN158" s="59">
        <f ca="1">AVERAGE(OFFSET($AM$3,0,0,'Données projet'!$E$10+1,1))-AVERAGE(OFFSET($H$3,0,0,'Données projet'!$E$10+1,1))</f>
        <v>312.51355033343896</v>
      </c>
      <c r="AO158" s="59">
        <f t="shared" si="144"/>
        <v>442.54749157177571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5.0958653505472337E-2</v>
      </c>
      <c r="AV158" s="21">
        <f>EXP(-LN(2)/25)*AV157+(1-EXP(-LN(2)/25))/(LN(2)/25)*Calculateur!AQ158*Calculateur!AS158*VLOOKUP('Données projet'!$B$10,Paramètres!$A$1:$I$89,3,0)*0.475*44/12</f>
        <v>0.13403836043716513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0.18499701394263746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5">
      <c r="A159" s="10">
        <f t="shared" si="161"/>
        <v>156</v>
      </c>
      <c r="B159" s="73">
        <f>'Scénario référence'!$B$16*5+'Scénario référence'!$B$17*0+'Scénario référence'!$B$18*5</f>
        <v>5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1">
        <f t="shared" si="140"/>
        <v>0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9" s="11">
        <f>IF(OR('Scénario référence'!$F$8&gt;0,'Scénario référence'!$F$9&gt;0),('Scénario référence'!$F$8+'Scénario référence'!$F$9)*10,0)</f>
        <v>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67">
        <f t="shared" si="110"/>
        <v>183.33333333333334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112.82287576550925</v>
      </c>
      <c r="T159" s="59">
        <f t="shared" si="142"/>
        <v>317.78570695363294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4.0684308830751785</v>
      </c>
      <c r="AA159" s="21">
        <f>EXP(-LN(2)/25)*AA158+(1-EXP(-LN(2)/25))/(LN(2)/25)*Calculateur!V159*Calculateur!X159*VLOOKUP('Données projet'!$B$9,Paramètres!$A$1:$I$89,3,0)*0.475*44/12</f>
        <v>0.29567879620693599</v>
      </c>
      <c r="AB159" s="21">
        <f>EXP(-LN(2)/2)*AB158+(1-EXP(-LN(2)/2))/(LN(2)/2)*V159*Y159*VLOOKUP('Données projet'!$B$9,Paramètres!$A$1:$I$89,3,0)*0.475*44/12</f>
        <v>6.210877209061639E-20</v>
      </c>
      <c r="AC159" s="22">
        <f t="shared" si="163"/>
        <v>4.3641096792821141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247.00000000000017</v>
      </c>
      <c r="AJ159" s="13">
        <f>AI159*VLOOKUP('Données projet'!$B$10,Paramètres!$A$1:$I$89,3,0)*VLOOKUP('Données projet'!$B$10,Paramètres!$A$1:$I$89,5,0)</f>
        <v>223.48560000000012</v>
      </c>
      <c r="AK159" s="13">
        <f t="shared" si="164"/>
        <v>54.87176918107798</v>
      </c>
      <c r="AL159" s="20">
        <f t="shared" si="165"/>
        <v>484.80575132371092</v>
      </c>
      <c r="AM159" s="59">
        <f t="shared" si="113"/>
        <v>772.16064977079918</v>
      </c>
      <c r="AN159" s="59">
        <f ca="1">AVERAGE(OFFSET($AM$3,0,0,'Données projet'!$E$10+1,1))-AVERAGE(OFFSET($H$3,0,0,'Données projet'!$E$10+1,1))</f>
        <v>312.51355033343896</v>
      </c>
      <c r="AO159" s="59">
        <f t="shared" si="144"/>
        <v>442.54749157177571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4.9959385391939601E-2</v>
      </c>
      <c r="AV159" s="21">
        <f>EXP(-LN(2)/25)*AV158+(1-EXP(-LN(2)/25))/(LN(2)/25)*Calculateur!AQ159*Calculateur!AS159*VLOOKUP('Données projet'!$B$10,Paramètres!$A$1:$I$89,3,0)*0.475*44/12</f>
        <v>0.13037307442223983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0.18033245981417945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5">
      <c r="A160" s="10">
        <f t="shared" si="161"/>
        <v>157</v>
      </c>
      <c r="B160" s="73">
        <f>'Scénario référence'!$B$16*5+'Scénario référence'!$B$17*0+'Scénario référence'!$B$18*5</f>
        <v>5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1">
        <f t="shared" si="140"/>
        <v>0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0" s="11">
        <f>IF(OR('Scénario référence'!$F$8&gt;0,'Scénario référence'!$F$9&gt;0),('Scénario référence'!$F$8+'Scénario référence'!$F$9)*10,0)</f>
        <v>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67">
        <f t="shared" si="110"/>
        <v>183.33333333333334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112.82287576550925</v>
      </c>
      <c r="T160" s="59">
        <f t="shared" si="142"/>
        <v>317.78570695363294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3.9886514349558855</v>
      </c>
      <c r="AA160" s="21">
        <f>EXP(-LN(2)/25)*AA159+(1-EXP(-LN(2)/25))/(LN(2)/25)*Calculateur!V160*Calculateur!X160*VLOOKUP('Données projet'!$B$9,Paramètres!$A$1:$I$89,3,0)*0.475*44/12</f>
        <v>0.28759344397558523</v>
      </c>
      <c r="AB160" s="21">
        <f>EXP(-LN(2)/2)*AB159+(1-EXP(-LN(2)/2))/(LN(2)/2)*V160*Y160*VLOOKUP('Données projet'!$B$9,Paramètres!$A$1:$I$89,3,0)*0.475*44/12</f>
        <v>4.3917533916444634E-20</v>
      </c>
      <c r="AC160" s="22">
        <f t="shared" si="163"/>
        <v>4.2762448789314709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247.00000000000017</v>
      </c>
      <c r="AJ160" s="13">
        <f>AI160*VLOOKUP('Données projet'!$B$10,Paramètres!$A$1:$I$89,3,0)*VLOOKUP('Données projet'!$B$10,Paramètres!$A$1:$I$89,5,0)</f>
        <v>223.48560000000012</v>
      </c>
      <c r="AK160" s="13">
        <f t="shared" si="164"/>
        <v>54.87176918107798</v>
      </c>
      <c r="AL160" s="20">
        <f t="shared" si="165"/>
        <v>484.80575132371092</v>
      </c>
      <c r="AM160" s="59">
        <f t="shared" si="113"/>
        <v>772.26436225029749</v>
      </c>
      <c r="AN160" s="59">
        <f ca="1">AVERAGE(OFFSET($AM$3,0,0,'Données projet'!$E$10+1,1))-AVERAGE(OFFSET($H$3,0,0,'Données projet'!$E$10+1,1))</f>
        <v>312.51355033343896</v>
      </c>
      <c r="AO160" s="59">
        <f t="shared" si="144"/>
        <v>442.54749157177571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4.8979712316619871E-2</v>
      </c>
      <c r="AV160" s="21">
        <f>EXP(-LN(2)/25)*AV159+(1-EXP(-LN(2)/25))/(LN(2)/25)*Calculateur!AQ160*Calculateur!AS160*VLOOKUP('Données projet'!$B$10,Paramètres!$A$1:$I$89,3,0)*0.475*44/12</f>
        <v>0.12680801584614168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0.17578772816276156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5">
      <c r="A161" s="10">
        <f t="shared" si="161"/>
        <v>158</v>
      </c>
      <c r="B161" s="73">
        <f>'Scénario référence'!$B$16*5+'Scénario référence'!$B$17*0+'Scénario référence'!$B$18*5</f>
        <v>5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1">
        <f t="shared" si="140"/>
        <v>0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1" s="11">
        <f>IF(OR('Scénario référence'!$F$8&gt;0,'Scénario référence'!$F$9&gt;0),('Scénario référence'!$F$8+'Scénario référence'!$F$9)*10,0)</f>
        <v>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67">
        <f t="shared" si="110"/>
        <v>183.33333333333334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112.82287576550925</v>
      </c>
      <c r="T161" s="59">
        <f t="shared" si="142"/>
        <v>317.78570695363294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3.9104364131535529</v>
      </c>
      <c r="AA161" s="21">
        <f>EXP(-LN(2)/25)*AA160+(1-EXP(-LN(2)/25))/(LN(2)/25)*Calculateur!V161*Calculateur!X161*VLOOKUP('Données projet'!$B$9,Paramètres!$A$1:$I$89,3,0)*0.475*44/12</f>
        <v>0.27972918612619091</v>
      </c>
      <c r="AB161" s="21">
        <f>EXP(-LN(2)/2)*AB160+(1-EXP(-LN(2)/2))/(LN(2)/2)*V161*Y161*VLOOKUP('Données projet'!$B$9,Paramètres!$A$1:$I$89,3,0)*0.475*44/12</f>
        <v>3.1054386045308195E-20</v>
      </c>
      <c r="AC161" s="22">
        <f t="shared" si="163"/>
        <v>4.1901655992797435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247.00000000000017</v>
      </c>
      <c r="AJ161" s="13">
        <f>AI161*VLOOKUP('Données projet'!$B$10,Paramètres!$A$1:$I$89,3,0)*VLOOKUP('Données projet'!$B$10,Paramètres!$A$1:$I$89,5,0)</f>
        <v>223.48560000000012</v>
      </c>
      <c r="AK161" s="13">
        <f t="shared" si="164"/>
        <v>54.87176918107798</v>
      </c>
      <c r="AL161" s="20">
        <f t="shared" si="165"/>
        <v>484.80575132371092</v>
      </c>
      <c r="AM161" s="59">
        <f t="shared" si="113"/>
        <v>772.36627555014297</v>
      </c>
      <c r="AN161" s="59">
        <f ca="1">AVERAGE(OFFSET($AM$3,0,0,'Données projet'!$E$10+1,1))-AVERAGE(OFFSET($H$3,0,0,'Données projet'!$E$10+1,1))</f>
        <v>312.51355033343896</v>
      </c>
      <c r="AO161" s="59">
        <f t="shared" si="144"/>
        <v>442.54749157177571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4.8019250032765588E-2</v>
      </c>
      <c r="AV161" s="21">
        <f>EXP(-LN(2)/25)*AV160+(1-EXP(-LN(2)/25))/(LN(2)/25)*Calculateur!AQ161*Calculateur!AS161*VLOOKUP('Données projet'!$B$10,Paramètres!$A$1:$I$89,3,0)*0.475*44/12</f>
        <v>0.1233404439842852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0.17135969401705078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5">
      <c r="A162" s="10">
        <f t="shared" si="161"/>
        <v>159</v>
      </c>
      <c r="B162" s="73">
        <f>'Scénario référence'!$B$16*5+'Scénario référence'!$B$17*0+'Scénario référence'!$B$18*5</f>
        <v>5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1">
        <f t="shared" si="140"/>
        <v>0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2" s="11">
        <f>IF(OR('Scénario référence'!$F$8&gt;0,'Scénario référence'!$F$9&gt;0),('Scénario référence'!$F$8+'Scénario référence'!$F$9)*10,0)</f>
        <v>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67">
        <f t="shared" si="110"/>
        <v>183.33333333333334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112.82287576550925</v>
      </c>
      <c r="T162" s="59">
        <f t="shared" si="142"/>
        <v>317.78570695363294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3.8337551402223116</v>
      </c>
      <c r="AA162" s="21">
        <f>EXP(-LN(2)/25)*AA161+(1-EXP(-LN(2)/25))/(LN(2)/25)*Calculateur!V162*Calculateur!X162*VLOOKUP('Données projet'!$B$9,Paramètres!$A$1:$I$89,3,0)*0.475*44/12</f>
        <v>0.27207997682125162</v>
      </c>
      <c r="AB162" s="21">
        <f>EXP(-LN(2)/2)*AB161+(1-EXP(-LN(2)/2))/(LN(2)/2)*V162*Y162*VLOOKUP('Données projet'!$B$9,Paramètres!$A$1:$I$89,3,0)*0.475*44/12</f>
        <v>2.1958766958222317E-20</v>
      </c>
      <c r="AC162" s="22">
        <f t="shared" si="163"/>
        <v>4.1058351170435632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247.00000000000017</v>
      </c>
      <c r="AJ162" s="13">
        <f>AI162*VLOOKUP('Données projet'!$B$10,Paramètres!$A$1:$I$89,3,0)*VLOOKUP('Données projet'!$B$10,Paramètres!$A$1:$I$89,5,0)</f>
        <v>223.48560000000012</v>
      </c>
      <c r="AK162" s="13">
        <f t="shared" si="164"/>
        <v>54.87176918107798</v>
      </c>
      <c r="AL162" s="20">
        <f t="shared" si="165"/>
        <v>484.80575132371092</v>
      </c>
      <c r="AM162" s="59">
        <f t="shared" si="113"/>
        <v>772.46642088207989</v>
      </c>
      <c r="AN162" s="59">
        <f ca="1">AVERAGE(OFFSET($AM$3,0,0,'Données projet'!$E$10+1,1))-AVERAGE(OFFSET($H$3,0,0,'Données projet'!$E$10+1,1))</f>
        <v>312.51355033343896</v>
      </c>
      <c r="AO162" s="59">
        <f t="shared" si="144"/>
        <v>442.54749157177571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4.707762182847354E-2</v>
      </c>
      <c r="AV162" s="21">
        <f>EXP(-LN(2)/25)*AV161+(1-EXP(-LN(2)/25))/(LN(2)/25)*Calculateur!AQ162*Calculateur!AS162*VLOOKUP('Données projet'!$B$10,Paramètres!$A$1:$I$89,3,0)*0.475*44/12</f>
        <v>0.11996769305734287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0.16704531488581642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5">
      <c r="A163" s="10">
        <f t="shared" si="161"/>
        <v>160</v>
      </c>
      <c r="B163" s="73">
        <f>'Scénario référence'!$B$16*5+'Scénario référence'!$B$17*0+'Scénario référence'!$B$18*5</f>
        <v>5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1">
        <f t="shared" si="140"/>
        <v>0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3" s="11">
        <f>IF(OR('Scénario référence'!$F$8&gt;0,'Scénario référence'!$F$9&gt;0),('Scénario référence'!$F$8+'Scénario référence'!$F$9)*10,0)</f>
        <v>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67">
        <f t="shared" si="110"/>
        <v>183.33333333333334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112.82287576550925</v>
      </c>
      <c r="T163" s="59">
        <f t="shared" si="142"/>
        <v>317.78570695363294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3.7585775402822938</v>
      </c>
      <c r="AA163" s="21">
        <f>EXP(-LN(2)/25)*AA162+(1-EXP(-LN(2)/25))/(LN(2)/25)*Calculateur!V163*Calculateur!X163*VLOOKUP('Données projet'!$B$9,Paramètres!$A$1:$I$89,3,0)*0.475*44/12</f>
        <v>0.26463993554701037</v>
      </c>
      <c r="AB163" s="21">
        <f>EXP(-LN(2)/2)*AB162+(1-EXP(-LN(2)/2))/(LN(2)/2)*V163*Y163*VLOOKUP('Données projet'!$B$9,Paramètres!$A$1:$I$89,3,0)*0.475*44/12</f>
        <v>1.5527193022654098E-20</v>
      </c>
      <c r="AC163" s="22">
        <f t="shared" si="163"/>
        <v>4.0232174758293038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247.00000000000017</v>
      </c>
      <c r="AJ163" s="13">
        <f>AI163*VLOOKUP('Données projet'!$B$10,Paramètres!$A$1:$I$89,3,0)*VLOOKUP('Données projet'!$B$10,Paramètres!$A$1:$I$89,5,0)</f>
        <v>223.48560000000012</v>
      </c>
      <c r="AK163" s="13">
        <f t="shared" si="164"/>
        <v>54.87176918107798</v>
      </c>
      <c r="AL163" s="20">
        <f t="shared" si="165"/>
        <v>484.80575132371092</v>
      </c>
      <c r="AM163" s="59">
        <f t="shared" si="113"/>
        <v>772.56482891639928</v>
      </c>
      <c r="AN163" s="59">
        <f ca="1">AVERAGE(OFFSET($AM$3,0,0,'Données projet'!$E$10+1,1))-AVERAGE(OFFSET($H$3,0,0,'Données projet'!$E$10+1,1))</f>
        <v>312.51355033343896</v>
      </c>
      <c r="AO163" s="59">
        <f t="shared" si="144"/>
        <v>442.54749157177571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4.6154458378931167E-2</v>
      </c>
      <c r="AV163" s="21">
        <f>EXP(-LN(2)/25)*AV162+(1-EXP(-LN(2)/25))/(LN(2)/25)*Calculateur!AQ163*Calculateur!AS163*VLOOKUP('Données projet'!$B$10,Paramètres!$A$1:$I$89,3,0)*0.475*44/12</f>
        <v>0.11668717018186303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0.1628416285607942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5">
      <c r="A164" s="10">
        <f t="shared" si="161"/>
        <v>161</v>
      </c>
      <c r="B164" s="73">
        <f>'Scénario référence'!$B$16*5+'Scénario référence'!$B$17*0+'Scénario référence'!$B$18*5</f>
        <v>5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1">
        <f t="shared" si="140"/>
        <v>0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4" s="11">
        <f>IF(OR('Scénario référence'!$F$8&gt;0,'Scénario référence'!$F$9&gt;0),('Scénario référence'!$F$8+'Scénario référence'!$F$9)*10,0)</f>
        <v>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67">
        <f t="shared" si="110"/>
        <v>183.33333333333334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112.82287576550925</v>
      </c>
      <c r="T164" s="59">
        <f t="shared" si="142"/>
        <v>317.78570695363294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3.6848741272232917</v>
      </c>
      <c r="AA164" s="21">
        <f>EXP(-LN(2)/25)*AA163+(1-EXP(-LN(2)/25))/(LN(2)/25)*Calculateur!V164*Calculateur!X164*VLOOKUP('Données projet'!$B$9,Paramètres!$A$1:$I$89,3,0)*0.475*44/12</f>
        <v>0.25740334259266801</v>
      </c>
      <c r="AB164" s="21">
        <f>EXP(-LN(2)/2)*AB163+(1-EXP(-LN(2)/2))/(LN(2)/2)*V164*Y164*VLOOKUP('Données projet'!$B$9,Paramètres!$A$1:$I$89,3,0)*0.475*44/12</f>
        <v>1.0979383479111159E-20</v>
      </c>
      <c r="AC164" s="22">
        <f t="shared" si="163"/>
        <v>3.9422774698159597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247.00000000000017</v>
      </c>
      <c r="AJ164" s="13">
        <f>AI164*VLOOKUP('Données projet'!$B$10,Paramètres!$A$1:$I$89,3,0)*VLOOKUP('Données projet'!$B$10,Paramètres!$A$1:$I$89,5,0)</f>
        <v>223.48560000000012</v>
      </c>
      <c r="AK164" s="13">
        <f t="shared" si="164"/>
        <v>54.87176918107798</v>
      </c>
      <c r="AL164" s="20">
        <f t="shared" si="165"/>
        <v>484.80575132371092</v>
      </c>
      <c r="AM164" s="59">
        <f t="shared" si="113"/>
        <v>772.66152979133062</v>
      </c>
      <c r="AN164" s="59">
        <f ca="1">AVERAGE(OFFSET($AM$3,0,0,'Données projet'!$E$10+1,1))-AVERAGE(OFFSET($H$3,0,0,'Données projet'!$E$10+1,1))</f>
        <v>312.51355033343896</v>
      </c>
      <c r="AO164" s="59">
        <f t="shared" si="144"/>
        <v>442.54749157177571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4.5249397601560215E-2</v>
      </c>
      <c r="AV164" s="21">
        <f>EXP(-LN(2)/25)*AV163+(1-EXP(-LN(2)/25))/(LN(2)/25)*Calculateur!AQ164*Calculateur!AS164*VLOOKUP('Données projet'!$B$10,Paramètres!$A$1:$I$89,3,0)*0.475*44/12</f>
        <v>0.1134963533769284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0.15874575097848861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5">
      <c r="A165" s="10">
        <f t="shared" si="161"/>
        <v>162</v>
      </c>
      <c r="B165" s="73">
        <f>'Scénario référence'!$B$16*5+'Scénario référence'!$B$17*0+'Scénario référence'!$B$18*5</f>
        <v>5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1">
        <f t="shared" si="140"/>
        <v>0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5" s="11">
        <f>IF(OR('Scénario référence'!$F$8&gt;0,'Scénario référence'!$F$9&gt;0),('Scénario référence'!$F$8+'Scénario référence'!$F$9)*10,0)</f>
        <v>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67">
        <f t="shared" si="110"/>
        <v>183.33333333333334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112.82287576550925</v>
      </c>
      <c r="T165" s="59">
        <f t="shared" si="142"/>
        <v>317.78570695363294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3.6126159931397335</v>
      </c>
      <c r="AA165" s="21">
        <f>EXP(-LN(2)/25)*AA164+(1-EXP(-LN(2)/25))/(LN(2)/25)*Calculateur!V165*Calculateur!X165*VLOOKUP('Données projet'!$B$9,Paramètres!$A$1:$I$89,3,0)*0.475*44/12</f>
        <v>0.25036463465321801</v>
      </c>
      <c r="AB165" s="21">
        <f>EXP(-LN(2)/2)*AB164+(1-EXP(-LN(2)/2))/(LN(2)/2)*V165*Y165*VLOOKUP('Données projet'!$B$9,Paramètres!$A$1:$I$89,3,0)*0.475*44/12</f>
        <v>7.7635965113270488E-21</v>
      </c>
      <c r="AC165" s="22">
        <f t="shared" si="163"/>
        <v>3.8629806277929513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247.00000000000017</v>
      </c>
      <c r="AJ165" s="13">
        <f>AI165*VLOOKUP('Données projet'!$B$10,Paramètres!$A$1:$I$89,3,0)*VLOOKUP('Données projet'!$B$10,Paramètres!$A$1:$I$89,5,0)</f>
        <v>223.48560000000012</v>
      </c>
      <c r="AK165" s="13">
        <f t="shared" si="164"/>
        <v>54.87176918107798</v>
      </c>
      <c r="AL165" s="20">
        <f t="shared" si="165"/>
        <v>484.80575132371092</v>
      </c>
      <c r="AM165" s="59">
        <f t="shared" si="113"/>
        <v>772.75655312227263</v>
      </c>
      <c r="AN165" s="59">
        <f ca="1">AVERAGE(OFFSET($AM$3,0,0,'Données projet'!$E$10+1,1))-AVERAGE(OFFSET($H$3,0,0,'Données projet'!$E$10+1,1))</f>
        <v>312.51355033343896</v>
      </c>
      <c r="AO165" s="59">
        <f t="shared" si="144"/>
        <v>442.54749157177571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4.4362084514000942E-2</v>
      </c>
      <c r="AV165" s="21">
        <f>EXP(-LN(2)/25)*AV164+(1-EXP(-LN(2)/25))/(LN(2)/25)*Calculateur!AQ165*Calculateur!AS165*VLOOKUP('Données projet'!$B$10,Paramètres!$A$1:$I$89,3,0)*0.475*44/12</f>
        <v>0.11039278962532247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0.1547548741393234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5">
      <c r="A166" s="10">
        <f t="shared" si="161"/>
        <v>163</v>
      </c>
      <c r="B166" s="73">
        <f>'Scénario référence'!$B$16*5+'Scénario référence'!$B$17*0+'Scénario référence'!$B$18*5</f>
        <v>5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1">
        <f t="shared" si="140"/>
        <v>0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6" s="11">
        <f>IF(OR('Scénario référence'!$F$8&gt;0,'Scénario référence'!$F$9&gt;0),('Scénario référence'!$F$8+'Scénario référence'!$F$9)*10,0)</f>
        <v>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67">
        <f t="shared" si="110"/>
        <v>183.33333333333334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112.82287576550925</v>
      </c>
      <c r="T166" s="59">
        <f t="shared" si="142"/>
        <v>317.78570695363294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3.5417747969924438</v>
      </c>
      <c r="AA166" s="21">
        <f>EXP(-LN(2)/25)*AA165+(1-EXP(-LN(2)/25))/(LN(2)/25)*Calculateur!V166*Calculateur!X166*VLOOKUP('Données projet'!$B$9,Paramètres!$A$1:$I$89,3,0)*0.475*44/12</f>
        <v>0.24351840055252183</v>
      </c>
      <c r="AB166" s="21">
        <f>EXP(-LN(2)/2)*AB165+(1-EXP(-LN(2)/2))/(LN(2)/2)*V166*Y166*VLOOKUP('Données projet'!$B$9,Paramètres!$A$1:$I$89,3,0)*0.475*44/12</f>
        <v>5.4896917395555793E-21</v>
      </c>
      <c r="AC166" s="22">
        <f t="shared" si="163"/>
        <v>3.7852931975449655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247.00000000000017</v>
      </c>
      <c r="AJ166" s="13">
        <f>AI166*VLOOKUP('Données projet'!$B$10,Paramètres!$A$1:$I$89,3,0)*VLOOKUP('Données projet'!$B$10,Paramètres!$A$1:$I$89,5,0)</f>
        <v>223.48560000000012</v>
      </c>
      <c r="AK166" s="13">
        <f t="shared" si="164"/>
        <v>54.87176918107798</v>
      </c>
      <c r="AL166" s="20">
        <f t="shared" si="165"/>
        <v>484.80575132371092</v>
      </c>
      <c r="AM166" s="59">
        <f t="shared" si="113"/>
        <v>772.8499280108631</v>
      </c>
      <c r="AN166" s="59">
        <f ca="1">AVERAGE(OFFSET($AM$3,0,0,'Données projet'!$E$10+1,1))-AVERAGE(OFFSET($H$3,0,0,'Données projet'!$E$10+1,1))</f>
        <v>312.51355033343896</v>
      </c>
      <c r="AO166" s="59">
        <f t="shared" si="144"/>
        <v>442.54749157177571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4.3492171094881162E-2</v>
      </c>
      <c r="AV166" s="21">
        <f>EXP(-LN(2)/25)*AV165+(1-EXP(-LN(2)/25))/(LN(2)/25)*Calculateur!AQ166*Calculateur!AS166*VLOOKUP('Données projet'!$B$10,Paramètres!$A$1:$I$89,3,0)*0.475*44/12</f>
        <v>0.10737409298771353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0.15086626408259468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5">
      <c r="A167" s="10">
        <f t="shared" si="161"/>
        <v>164</v>
      </c>
      <c r="B167" s="73">
        <f>'Scénario référence'!$B$16*5+'Scénario référence'!$B$17*0+'Scénario référence'!$B$18*5</f>
        <v>5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1">
        <f t="shared" si="140"/>
        <v>0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7" s="11">
        <f>IF(OR('Scénario référence'!$F$8&gt;0,'Scénario référence'!$F$9&gt;0),('Scénario référence'!$F$8+'Scénario référence'!$F$9)*10,0)</f>
        <v>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67">
        <f t="shared" si="110"/>
        <v>183.33333333333334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112.82287576550925</v>
      </c>
      <c r="T167" s="59">
        <f t="shared" si="142"/>
        <v>317.78570695363294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3.4723227534927394</v>
      </c>
      <c r="AA167" s="21">
        <f>EXP(-LN(2)/25)*AA166+(1-EXP(-LN(2)/25))/(LN(2)/25)*Calculateur!V167*Calculateur!X167*VLOOKUP('Données projet'!$B$9,Paramètres!$A$1:$I$89,3,0)*0.475*44/12</f>
        <v>0.23685937708333701</v>
      </c>
      <c r="AB167" s="21">
        <f>EXP(-LN(2)/2)*AB166+(1-EXP(-LN(2)/2))/(LN(2)/2)*V167*Y167*VLOOKUP('Données projet'!$B$9,Paramètres!$A$1:$I$89,3,0)*0.475*44/12</f>
        <v>3.8817982556635244E-21</v>
      </c>
      <c r="AC167" s="22">
        <f t="shared" si="163"/>
        <v>3.7091821305760764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247.00000000000017</v>
      </c>
      <c r="AJ167" s="13">
        <f>AI167*VLOOKUP('Données projet'!$B$10,Paramètres!$A$1:$I$89,3,0)*VLOOKUP('Données projet'!$B$10,Paramètres!$A$1:$I$89,5,0)</f>
        <v>223.48560000000012</v>
      </c>
      <c r="AK167" s="13">
        <f t="shared" si="164"/>
        <v>54.87176918107798</v>
      </c>
      <c r="AL167" s="20">
        <f t="shared" si="165"/>
        <v>484.80575132371092</v>
      </c>
      <c r="AM167" s="59">
        <f t="shared" si="113"/>
        <v>772.94168305389167</v>
      </c>
      <c r="AN167" s="59">
        <f ca="1">AVERAGE(OFFSET($AM$3,0,0,'Données projet'!$E$10+1,1))-AVERAGE(OFFSET($H$3,0,0,'Données projet'!$E$10+1,1))</f>
        <v>312.51355033343896</v>
      </c>
      <c r="AO167" s="59">
        <f t="shared" si="144"/>
        <v>442.54749157177571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4.2639316147315524E-2</v>
      </c>
      <c r="AV167" s="21">
        <f>EXP(-LN(2)/25)*AV166+(1-EXP(-LN(2)/25))/(LN(2)/25)*Calculateur!AQ167*Calculateur!AS167*VLOOKUP('Données projet'!$B$10,Paramètres!$A$1:$I$89,3,0)*0.475*44/12</f>
        <v>0.10443794276840636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0.14707725891572188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5">
      <c r="A168" s="10">
        <f t="shared" si="161"/>
        <v>165</v>
      </c>
      <c r="B168" s="73">
        <f>'Scénario référence'!$B$16*5+'Scénario référence'!$B$17*0+'Scénario référence'!$B$18*5</f>
        <v>5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1">
        <f t="shared" si="140"/>
        <v>0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8" s="11">
        <f>IF(OR('Scénario référence'!$F$8&gt;0,'Scénario référence'!$F$9&gt;0),('Scénario référence'!$F$8+'Scénario référence'!$F$9)*10,0)</f>
        <v>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67">
        <f t="shared" si="110"/>
        <v>183.33333333333334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112.82287576550925</v>
      </c>
      <c r="T168" s="59">
        <f t="shared" si="142"/>
        <v>317.78570695363294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3.4042326222045003</v>
      </c>
      <c r="AA168" s="21">
        <f>EXP(-LN(2)/25)*AA167+(1-EXP(-LN(2)/25))/(LN(2)/25)*Calculateur!V168*Calculateur!X168*VLOOKUP('Données projet'!$B$9,Paramètres!$A$1:$I$89,3,0)*0.475*44/12</f>
        <v>0.23038244496109986</v>
      </c>
      <c r="AB168" s="21">
        <f>EXP(-LN(2)/2)*AB167+(1-EXP(-LN(2)/2))/(LN(2)/2)*V168*Y168*VLOOKUP('Données projet'!$B$9,Paramètres!$A$1:$I$89,3,0)*0.475*44/12</f>
        <v>2.7448458697777896E-21</v>
      </c>
      <c r="AC168" s="22">
        <f t="shared" si="163"/>
        <v>3.6346150671656003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247.00000000000017</v>
      </c>
      <c r="AJ168" s="13">
        <f>AI168*VLOOKUP('Données projet'!$B$10,Paramètres!$A$1:$I$89,3,0)*VLOOKUP('Données projet'!$B$10,Paramètres!$A$1:$I$89,5,0)</f>
        <v>223.48560000000012</v>
      </c>
      <c r="AK168" s="13">
        <f t="shared" si="164"/>
        <v>54.87176918107798</v>
      </c>
      <c r="AL168" s="20">
        <f t="shared" si="165"/>
        <v>484.80575132371092</v>
      </c>
      <c r="AM168" s="59">
        <f t="shared" si="113"/>
        <v>773.03184635205707</v>
      </c>
      <c r="AN168" s="59">
        <f ca="1">AVERAGE(OFFSET($AM$3,0,0,'Données projet'!$E$10+1,1))-AVERAGE(OFFSET($H$3,0,0,'Données projet'!$E$10+1,1))</f>
        <v>312.51355033343896</v>
      </c>
      <c r="AO168" s="59">
        <f t="shared" si="144"/>
        <v>442.54749157177571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4.1803185165081497E-2</v>
      </c>
      <c r="AV168" s="21">
        <f>EXP(-LN(2)/25)*AV167+(1-EXP(-LN(2)/25))/(LN(2)/25)*Calculateur!AQ168*Calculateur!AS168*VLOOKUP('Données projet'!$B$10,Paramètres!$A$1:$I$89,3,0)*0.475*44/12</f>
        <v>0.10158208173125158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0.14338526689633307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5">
      <c r="A169" s="10">
        <f t="shared" si="161"/>
        <v>166</v>
      </c>
      <c r="B169" s="73">
        <f>'Scénario référence'!$B$16*5+'Scénario référence'!$B$17*0+'Scénario référence'!$B$18*5</f>
        <v>5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1">
        <f t="shared" si="140"/>
        <v>0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9" s="11">
        <f>IF(OR('Scénario référence'!$F$8&gt;0,'Scénario référence'!$F$9&gt;0),('Scénario référence'!$F$8+'Scénario référence'!$F$9)*10,0)</f>
        <v>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67">
        <f t="shared" si="110"/>
        <v>183.33333333333334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112.82287576550925</v>
      </c>
      <c r="T169" s="59">
        <f t="shared" si="142"/>
        <v>317.78570695363294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3.3374776968599442</v>
      </c>
      <c r="AA169" s="21">
        <f>EXP(-LN(2)/25)*AA168+(1-EXP(-LN(2)/25))/(LN(2)/25)*Calculateur!V169*Calculateur!X169*VLOOKUP('Données projet'!$B$9,Paramètres!$A$1:$I$89,3,0)*0.475*44/12</f>
        <v>0.22408262488835234</v>
      </c>
      <c r="AB169" s="21">
        <f>EXP(-LN(2)/2)*AB168+(1-EXP(-LN(2)/2))/(LN(2)/2)*V169*Y169*VLOOKUP('Données projet'!$B$9,Paramètres!$A$1:$I$89,3,0)*0.475*44/12</f>
        <v>1.9408991278317622E-21</v>
      </c>
      <c r="AC169" s="22">
        <f t="shared" si="163"/>
        <v>3.5615603217482965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247.00000000000017</v>
      </c>
      <c r="AJ169" s="13">
        <f>AI169*VLOOKUP('Données projet'!$B$10,Paramètres!$A$1:$I$89,3,0)*VLOOKUP('Données projet'!$B$10,Paramètres!$A$1:$I$89,5,0)</f>
        <v>223.48560000000012</v>
      </c>
      <c r="AK169" s="13">
        <f t="shared" si="164"/>
        <v>54.87176918107798</v>
      </c>
      <c r="AL169" s="20">
        <f t="shared" si="165"/>
        <v>484.80575132371092</v>
      </c>
      <c r="AM169" s="59">
        <f t="shared" si="113"/>
        <v>773.12044551857434</v>
      </c>
      <c r="AN169" s="59">
        <f ca="1">AVERAGE(OFFSET($AM$3,0,0,'Données projet'!$E$10+1,1))-AVERAGE(OFFSET($H$3,0,0,'Données projet'!$E$10+1,1))</f>
        <v>312.51355033343896</v>
      </c>
      <c r="AO169" s="59">
        <f t="shared" si="144"/>
        <v>442.54749157177571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4.0983450201419538E-2</v>
      </c>
      <c r="AV169" s="21">
        <f>EXP(-LN(2)/25)*AV168+(1-EXP(-LN(2)/25))/(LN(2)/25)*Calculateur!AQ169*Calculateur!AS169*VLOOKUP('Données projet'!$B$10,Paramètres!$A$1:$I$89,3,0)*0.475*44/12</f>
        <v>9.8804314364340992E-2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0.13978776456576053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5">
      <c r="A170" s="10">
        <f t="shared" si="161"/>
        <v>167</v>
      </c>
      <c r="B170" s="73">
        <f>'Scénario référence'!$B$16*5+'Scénario référence'!$B$17*0+'Scénario référence'!$B$18*5</f>
        <v>5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1">
        <f t="shared" si="140"/>
        <v>0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0" s="11">
        <f>IF(OR('Scénario référence'!$F$8&gt;0,'Scénario référence'!$F$9&gt;0),('Scénario référence'!$F$8+'Scénario référence'!$F$9)*10,0)</f>
        <v>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67">
        <f t="shared" si="110"/>
        <v>183.33333333333334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112.82287576550925</v>
      </c>
      <c r="T170" s="59">
        <f t="shared" si="142"/>
        <v>317.78570695363294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3.2720317948849109</v>
      </c>
      <c r="AA170" s="21">
        <f>EXP(-LN(2)/25)*AA169+(1-EXP(-LN(2)/25))/(LN(2)/25)*Calculateur!V170*Calculateur!X170*VLOOKUP('Données projet'!$B$9,Paramètres!$A$1:$I$89,3,0)*0.475*44/12</f>
        <v>0.21795507372678724</v>
      </c>
      <c r="AB170" s="21">
        <f>EXP(-LN(2)/2)*AB169+(1-EXP(-LN(2)/2))/(LN(2)/2)*V170*Y170*VLOOKUP('Données projet'!$B$9,Paramètres!$A$1:$I$89,3,0)*0.475*44/12</f>
        <v>1.3724229348888948E-21</v>
      </c>
      <c r="AC170" s="22">
        <f t="shared" si="163"/>
        <v>3.4899868686116982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247.00000000000017</v>
      </c>
      <c r="AJ170" s="13">
        <f>AI170*VLOOKUP('Données projet'!$B$10,Paramètres!$A$1:$I$89,3,0)*VLOOKUP('Données projet'!$B$10,Paramètres!$A$1:$I$89,5,0)</f>
        <v>223.48560000000012</v>
      </c>
      <c r="AK170" s="13">
        <f t="shared" si="164"/>
        <v>54.87176918107798</v>
      </c>
      <c r="AL170" s="20">
        <f t="shared" si="165"/>
        <v>484.80575132371092</v>
      </c>
      <c r="AM170" s="59">
        <f t="shared" si="113"/>
        <v>773.2075076876306</v>
      </c>
      <c r="AN170" s="59">
        <f ca="1">AVERAGE(OFFSET($AM$3,0,0,'Données projet'!$E$10+1,1))-AVERAGE(OFFSET($H$3,0,0,'Données projet'!$E$10+1,1))</f>
        <v>312.51355033343896</v>
      </c>
      <c r="AO170" s="59">
        <f t="shared" si="144"/>
        <v>442.54749157177571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4.0179789740406036E-2</v>
      </c>
      <c r="AV170" s="21">
        <f>EXP(-LN(2)/25)*AV169+(1-EXP(-LN(2)/25))/(LN(2)/25)*Calculateur!AQ170*Calculateur!AS170*VLOOKUP('Données projet'!$B$10,Paramètres!$A$1:$I$89,3,0)*0.475*44/12</f>
        <v>9.6102505192155019E-2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0.13628229493256105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5">
      <c r="A171" s="10">
        <f t="shared" si="161"/>
        <v>168</v>
      </c>
      <c r="B171" s="73">
        <f>'Scénario référence'!$B$16*5+'Scénario référence'!$B$17*0+'Scénario référence'!$B$18*5</f>
        <v>5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1">
        <f t="shared" si="140"/>
        <v>0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1" s="11">
        <f>IF(OR('Scénario référence'!$F$8&gt;0,'Scénario référence'!$F$9&gt;0),('Scénario référence'!$F$8+'Scénario référence'!$F$9)*10,0)</f>
        <v>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67">
        <f t="shared" si="110"/>
        <v>183.33333333333334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112.82287576550925</v>
      </c>
      <c r="T171" s="59">
        <f t="shared" si="142"/>
        <v>317.78570695363294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3.2078692471295494</v>
      </c>
      <c r="AA171" s="21">
        <f>EXP(-LN(2)/25)*AA170+(1-EXP(-LN(2)/25))/(LN(2)/25)*Calculateur!V171*Calculateur!X171*VLOOKUP('Données projet'!$B$9,Paramètres!$A$1:$I$89,3,0)*0.475*44/12</f>
        <v>0.21199508077396906</v>
      </c>
      <c r="AB171" s="21">
        <f>EXP(-LN(2)/2)*AB170+(1-EXP(-LN(2)/2))/(LN(2)/2)*V171*Y171*VLOOKUP('Données projet'!$B$9,Paramètres!$A$1:$I$89,3,0)*0.475*44/12</f>
        <v>9.704495639158811E-22</v>
      </c>
      <c r="AC171" s="22">
        <f t="shared" si="163"/>
        <v>3.4198643279035186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247.00000000000017</v>
      </c>
      <c r="AJ171" s="13">
        <f>AI171*VLOOKUP('Données projet'!$B$10,Paramètres!$A$1:$I$89,3,0)*VLOOKUP('Données projet'!$B$10,Paramètres!$A$1:$I$89,5,0)</f>
        <v>223.48560000000012</v>
      </c>
      <c r="AK171" s="13">
        <f t="shared" si="164"/>
        <v>54.87176918107798</v>
      </c>
      <c r="AL171" s="20">
        <f t="shared" si="165"/>
        <v>484.80575132371092</v>
      </c>
      <c r="AM171" s="59">
        <f t="shared" si="113"/>
        <v>773.29305952269544</v>
      </c>
      <c r="AN171" s="59">
        <f ca="1">AVERAGE(OFFSET($AM$3,0,0,'Données projet'!$E$10+1,1))-AVERAGE(OFFSET($H$3,0,0,'Données projet'!$E$10+1,1))</f>
        <v>312.51355033343896</v>
      </c>
      <c r="AO171" s="59">
        <f t="shared" si="144"/>
        <v>442.54749157177571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3.9391888570848528E-2</v>
      </c>
      <c r="AV171" s="21">
        <f>EXP(-LN(2)/25)*AV170+(1-EXP(-LN(2)/25))/(LN(2)/25)*Calculateur!AQ171*Calculateur!AS171*VLOOKUP('Données projet'!$B$10,Paramètres!$A$1:$I$89,3,0)*0.475*44/12</f>
        <v>9.3474577133864437E-2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0.13286646570471297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5">
      <c r="A172" s="10">
        <f t="shared" si="161"/>
        <v>169</v>
      </c>
      <c r="B172" s="73">
        <f>'Scénario référence'!$B$16*5+'Scénario référence'!$B$17*0+'Scénario référence'!$B$18*5</f>
        <v>5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1">
        <f t="shared" si="140"/>
        <v>0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2" s="11">
        <f>IF(OR('Scénario référence'!$F$8&gt;0,'Scénario référence'!$F$9&gt;0),('Scénario référence'!$F$8+'Scénario référence'!$F$9)*10,0)</f>
        <v>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67">
        <f t="shared" si="110"/>
        <v>183.33333333333334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112.82287576550925</v>
      </c>
      <c r="T172" s="59">
        <f t="shared" si="142"/>
        <v>317.78570695363294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3.1449648878003806</v>
      </c>
      <c r="AA172" s="21">
        <f>EXP(-LN(2)/25)*AA171+(1-EXP(-LN(2)/25))/(LN(2)/25)*Calculateur!V172*Calculateur!X172*VLOOKUP('Données projet'!$B$9,Paramètres!$A$1:$I$89,3,0)*0.475*44/12</f>
        <v>0.20619806414186809</v>
      </c>
      <c r="AB172" s="21">
        <f>EXP(-LN(2)/2)*AB171+(1-EXP(-LN(2)/2))/(LN(2)/2)*V172*Y172*VLOOKUP('Données projet'!$B$9,Paramètres!$A$1:$I$89,3,0)*0.475*44/12</f>
        <v>6.8621146744444741E-22</v>
      </c>
      <c r="AC172" s="22">
        <f t="shared" si="163"/>
        <v>3.3511629519422486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247.00000000000017</v>
      </c>
      <c r="AJ172" s="13">
        <f>AI172*VLOOKUP('Données projet'!$B$10,Paramètres!$A$1:$I$89,3,0)*VLOOKUP('Données projet'!$B$10,Paramètres!$A$1:$I$89,5,0)</f>
        <v>223.48560000000012</v>
      </c>
      <c r="AK172" s="13">
        <f t="shared" si="164"/>
        <v>54.87176918107798</v>
      </c>
      <c r="AL172" s="20">
        <f t="shared" si="165"/>
        <v>484.80575132371092</v>
      </c>
      <c r="AM172" s="59">
        <f t="shared" si="113"/>
        <v>773.37712722468734</v>
      </c>
      <c r="AN172" s="59">
        <f ca="1">AVERAGE(OFFSET($AM$3,0,0,'Données projet'!$E$10+1,1))-AVERAGE(OFFSET($H$3,0,0,'Données projet'!$E$10+1,1))</f>
        <v>312.51355033343896</v>
      </c>
      <c r="AO172" s="59">
        <f t="shared" si="144"/>
        <v>442.54749157177571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3.8619437662653779E-2</v>
      </c>
      <c r="AV172" s="21">
        <f>EXP(-LN(2)/25)*AV171+(1-EXP(-LN(2)/25))/(LN(2)/25)*Calculateur!AQ172*Calculateur!AS172*VLOOKUP('Données projet'!$B$10,Paramètres!$A$1:$I$89,3,0)*0.475*44/12</f>
        <v>9.0918509906524544E-2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0.12953794756917833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5">
      <c r="A173" s="10">
        <f t="shared" si="161"/>
        <v>170</v>
      </c>
      <c r="B173" s="73">
        <f>'Scénario référence'!$B$16*5+'Scénario référence'!$B$17*0+'Scénario référence'!$B$18*5</f>
        <v>5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1">
        <f t="shared" si="140"/>
        <v>0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3" s="11">
        <f>IF(OR('Scénario référence'!$F$8&gt;0,'Scénario référence'!$F$9&gt;0),('Scénario référence'!$F$8+'Scénario référence'!$F$9)*10,0)</f>
        <v>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67">
        <f t="shared" si="110"/>
        <v>183.33333333333334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112.82287576550925</v>
      </c>
      <c r="T173" s="59">
        <f t="shared" si="142"/>
        <v>317.78570695363294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3.0832940445897865</v>
      </c>
      <c r="AA173" s="21">
        <f>EXP(-LN(2)/25)*AA172+(1-EXP(-LN(2)/25))/(LN(2)/25)*Calculateur!V173*Calculateur!X173*VLOOKUP('Données projet'!$B$9,Paramètres!$A$1:$I$89,3,0)*0.475*44/12</f>
        <v>0.20055956723442378</v>
      </c>
      <c r="AB173" s="21">
        <f>EXP(-LN(2)/2)*AB172+(1-EXP(-LN(2)/2))/(LN(2)/2)*V173*Y173*VLOOKUP('Données projet'!$B$9,Paramètres!$A$1:$I$89,3,0)*0.475*44/12</f>
        <v>4.8522478195794055E-22</v>
      </c>
      <c r="AC173" s="22">
        <f t="shared" si="163"/>
        <v>3.2838536118242101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247.00000000000017</v>
      </c>
      <c r="AJ173" s="13">
        <f>AI173*VLOOKUP('Données projet'!$B$10,Paramètres!$A$1:$I$89,3,0)*VLOOKUP('Données projet'!$B$10,Paramètres!$A$1:$I$89,5,0)</f>
        <v>223.48560000000012</v>
      </c>
      <c r="AK173" s="13">
        <f t="shared" si="164"/>
        <v>54.87176918107798</v>
      </c>
      <c r="AL173" s="20">
        <f t="shared" si="165"/>
        <v>484.80575132371092</v>
      </c>
      <c r="AM173" s="59">
        <f t="shared" si="113"/>
        <v>773.45973653999681</v>
      </c>
      <c r="AN173" s="59">
        <f ca="1">AVERAGE(OFFSET($AM$3,0,0,'Données projet'!$E$10+1,1))-AVERAGE(OFFSET($H$3,0,0,'Données projet'!$E$10+1,1))</f>
        <v>312.51355033343896</v>
      </c>
      <c r="AO173" s="59">
        <f t="shared" si="144"/>
        <v>442.54749157177571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3.7862134045620194E-2</v>
      </c>
      <c r="AV173" s="21">
        <f>EXP(-LN(2)/25)*AV172+(1-EXP(-LN(2)/25))/(LN(2)/25)*Calculateur!AQ173*Calculateur!AS173*VLOOKUP('Données projet'!$B$10,Paramètres!$A$1:$I$89,3,0)*0.475*44/12</f>
        <v>8.8432338471933991E-2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0.12629447251755418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5">
      <c r="A174" s="10">
        <f t="shared" si="161"/>
        <v>171</v>
      </c>
      <c r="B174" s="73">
        <f>'Scénario référence'!$B$16*5+'Scénario référence'!$B$17*0+'Scénario référence'!$B$18*5</f>
        <v>5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1">
        <f t="shared" si="140"/>
        <v>0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4" s="11">
        <f>IF(OR('Scénario référence'!$F$8&gt;0,'Scénario référence'!$F$9&gt;0),('Scénario référence'!$F$8+'Scénario référence'!$F$9)*10,0)</f>
        <v>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67">
        <f t="shared" si="110"/>
        <v>183.33333333333334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112.82287576550925</v>
      </c>
      <c r="T174" s="59">
        <f t="shared" si="142"/>
        <v>317.78570695363294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3.0228325289990519</v>
      </c>
      <c r="AA174" s="21">
        <f>EXP(-LN(2)/25)*AA173+(1-EXP(-LN(2)/25))/(LN(2)/25)*Calculateur!V174*Calculateur!X174*VLOOKUP('Données projet'!$B$9,Paramètres!$A$1:$I$89,3,0)*0.475*44/12</f>
        <v>0.19507525532142922</v>
      </c>
      <c r="AB174" s="21">
        <f>EXP(-LN(2)/2)*AB173+(1-EXP(-LN(2)/2))/(LN(2)/2)*V174*Y174*VLOOKUP('Données projet'!$B$9,Paramètres!$A$1:$I$89,3,0)*0.475*44/12</f>
        <v>3.431057337222237E-22</v>
      </c>
      <c r="AC174" s="22">
        <f t="shared" si="163"/>
        <v>3.2179077843204809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247.00000000000017</v>
      </c>
      <c r="AJ174" s="13">
        <f>AI174*VLOOKUP('Données projet'!$B$10,Paramètres!$A$1:$I$89,3,0)*VLOOKUP('Données projet'!$B$10,Paramètres!$A$1:$I$89,5,0)</f>
        <v>223.48560000000012</v>
      </c>
      <c r="AK174" s="13">
        <f t="shared" si="164"/>
        <v>54.87176918107798</v>
      </c>
      <c r="AL174" s="20">
        <f t="shared" si="165"/>
        <v>484.80575132371092</v>
      </c>
      <c r="AM174" s="59">
        <f t="shared" si="113"/>
        <v>773.54091276837244</v>
      </c>
      <c r="AN174" s="59">
        <f ca="1">AVERAGE(OFFSET($AM$3,0,0,'Données projet'!$E$10+1,1))-AVERAGE(OFFSET($H$3,0,0,'Données projet'!$E$10+1,1))</f>
        <v>312.51355033343896</v>
      </c>
      <c r="AO174" s="59">
        <f t="shared" si="144"/>
        <v>442.54749157177571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3.7119680690607046E-2</v>
      </c>
      <c r="AV174" s="21">
        <f>EXP(-LN(2)/25)*AV173+(1-EXP(-LN(2)/25))/(LN(2)/25)*Calculateur!AQ174*Calculateur!AS174*VLOOKUP('Données projet'!$B$10,Paramètres!$A$1:$I$89,3,0)*0.475*44/12</f>
        <v>8.6014151525964394E-2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0.12313383221657144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5">
      <c r="A175" s="10">
        <f t="shared" si="161"/>
        <v>172</v>
      </c>
      <c r="B175" s="73">
        <f>'Scénario référence'!$B$16*5+'Scénario référence'!$B$17*0+'Scénario référence'!$B$18*5</f>
        <v>5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1">
        <f t="shared" si="140"/>
        <v>0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5" s="11">
        <f>IF(OR('Scénario référence'!$F$8&gt;0,'Scénario référence'!$F$9&gt;0),('Scénario référence'!$F$8+'Scénario référence'!$F$9)*10,0)</f>
        <v>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67">
        <f t="shared" si="110"/>
        <v>183.33333333333334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112.82287576550925</v>
      </c>
      <c r="T175" s="59">
        <f t="shared" si="142"/>
        <v>317.78570695363294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2.9635566268511684</v>
      </c>
      <c r="AA175" s="21">
        <f>EXP(-LN(2)/25)*AA174+(1-EXP(-LN(2)/25))/(LN(2)/25)*Calculateur!V175*Calculateur!X175*VLOOKUP('Données projet'!$B$9,Paramètres!$A$1:$I$89,3,0)*0.475*44/12</f>
        <v>0.18974091220610292</v>
      </c>
      <c r="AB175" s="21">
        <f>EXP(-LN(2)/2)*AB174+(1-EXP(-LN(2)/2))/(LN(2)/2)*V175*Y175*VLOOKUP('Données projet'!$B$9,Paramètres!$A$1:$I$89,3,0)*0.475*44/12</f>
        <v>2.4261239097897028E-22</v>
      </c>
      <c r="AC175" s="22">
        <f t="shared" si="163"/>
        <v>3.1532975390572715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247.00000000000017</v>
      </c>
      <c r="AJ175" s="13">
        <f>AI175*VLOOKUP('Données projet'!$B$10,Paramètres!$A$1:$I$89,3,0)*VLOOKUP('Données projet'!$B$10,Paramètres!$A$1:$I$89,5,0)</f>
        <v>223.48560000000012</v>
      </c>
      <c r="AK175" s="13">
        <f t="shared" si="164"/>
        <v>54.87176918107798</v>
      </c>
      <c r="AL175" s="20">
        <f t="shared" si="165"/>
        <v>484.80575132371092</v>
      </c>
      <c r="AM175" s="59">
        <f t="shared" si="113"/>
        <v>773.62068077066851</v>
      </c>
      <c r="AN175" s="59">
        <f ca="1">AVERAGE(OFFSET($AM$3,0,0,'Données projet'!$E$10+1,1))-AVERAGE(OFFSET($H$3,0,0,'Données projet'!$E$10+1,1))</f>
        <v>312.51355033343896</v>
      </c>
      <c r="AO175" s="59">
        <f t="shared" si="144"/>
        <v>442.54749157177571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3.6391786393033872E-2</v>
      </c>
      <c r="AV175" s="21">
        <f>EXP(-LN(2)/25)*AV174+(1-EXP(-LN(2)/25))/(LN(2)/25)*Calculateur!AQ175*Calculateur!AS175*VLOOKUP('Données projet'!$B$10,Paramètres!$A$1:$I$89,3,0)*0.475*44/12</f>
        <v>8.3662090029199263E-2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0.12005387642223314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5">
      <c r="A176" s="10">
        <f t="shared" si="161"/>
        <v>173</v>
      </c>
      <c r="B176" s="73">
        <f>'Scénario référence'!$B$16*5+'Scénario référence'!$B$17*0+'Scénario référence'!$B$18*5</f>
        <v>5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1">
        <f t="shared" si="140"/>
        <v>0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6" s="11">
        <f>IF(OR('Scénario référence'!$F$8&gt;0,'Scénario référence'!$F$9&gt;0),('Scénario référence'!$F$8+'Scénario référence'!$F$9)*10,0)</f>
        <v>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67">
        <f t="shared" si="110"/>
        <v>183.33333333333334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112.82287576550925</v>
      </c>
      <c r="T176" s="59">
        <f t="shared" si="142"/>
        <v>317.78570695363294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2.9054430889896747</v>
      </c>
      <c r="AA176" s="21">
        <f>EXP(-LN(2)/25)*AA175+(1-EXP(-LN(2)/25))/(LN(2)/25)*Calculateur!V176*Calculateur!X176*VLOOKUP('Données projet'!$B$9,Paramètres!$A$1:$I$89,3,0)*0.475*44/12</f>
        <v>0.18455243698378612</v>
      </c>
      <c r="AB176" s="21">
        <f>EXP(-LN(2)/2)*AB175+(1-EXP(-LN(2)/2))/(LN(2)/2)*V176*Y176*VLOOKUP('Données projet'!$B$9,Paramètres!$A$1:$I$89,3,0)*0.475*44/12</f>
        <v>1.7155286686111185E-22</v>
      </c>
      <c r="AC176" s="22">
        <f t="shared" si="163"/>
        <v>3.0899955259734608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247.00000000000017</v>
      </c>
      <c r="AJ176" s="13">
        <f>AI176*VLOOKUP('Données projet'!$B$10,Paramètres!$A$1:$I$89,3,0)*VLOOKUP('Données projet'!$B$10,Paramètres!$A$1:$I$89,5,0)</f>
        <v>223.48560000000012</v>
      </c>
      <c r="AK176" s="13">
        <f t="shared" si="164"/>
        <v>54.87176918107798</v>
      </c>
      <c r="AL176" s="20">
        <f t="shared" si="165"/>
        <v>484.80575132371092</v>
      </c>
      <c r="AM176" s="59">
        <f t="shared" si="113"/>
        <v>773.69906497645934</v>
      </c>
      <c r="AN176" s="59">
        <f ca="1">AVERAGE(OFFSET($AM$3,0,0,'Données projet'!$E$10+1,1))-AVERAGE(OFFSET($H$3,0,0,'Données projet'!$E$10+1,1))</f>
        <v>312.51355033343896</v>
      </c>
      <c r="AO176" s="59">
        <f t="shared" si="144"/>
        <v>442.54749157177571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3.5678165658664426E-2</v>
      </c>
      <c r="AV176" s="21">
        <f>EXP(-LN(2)/25)*AV175+(1-EXP(-LN(2)/25))/(LN(2)/25)*Calculateur!AQ176*Calculateur!AS176*VLOOKUP('Données projet'!$B$10,Paramètres!$A$1:$I$89,3,0)*0.475*44/12</f>
        <v>8.137434577775271E-2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0.11705251143641714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5">
      <c r="A177" s="10">
        <f t="shared" si="161"/>
        <v>174</v>
      </c>
      <c r="B177" s="73">
        <f>'Scénario référence'!$B$16*5+'Scénario référence'!$B$17*0+'Scénario référence'!$B$18*5</f>
        <v>5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1">
        <f t="shared" si="140"/>
        <v>0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7" s="11">
        <f>IF(OR('Scénario référence'!$F$8&gt;0,'Scénario référence'!$F$9&gt;0),('Scénario référence'!$F$8+'Scénario référence'!$F$9)*10,0)</f>
        <v>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67">
        <f t="shared" si="110"/>
        <v>183.33333333333334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112.82287576550925</v>
      </c>
      <c r="T177" s="59">
        <f t="shared" si="142"/>
        <v>317.78570695363294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2.8484691221598868</v>
      </c>
      <c r="AA177" s="21">
        <f>EXP(-LN(2)/25)*AA176+(1-EXP(-LN(2)/25))/(LN(2)/25)*Calculateur!V177*Calculateur!X177*VLOOKUP('Données projet'!$B$9,Paramètres!$A$1:$I$89,3,0)*0.475*44/12</f>
        <v>0.17950584088927363</v>
      </c>
      <c r="AB177" s="21">
        <f>EXP(-LN(2)/2)*AB176+(1-EXP(-LN(2)/2))/(LN(2)/2)*V177*Y177*VLOOKUP('Données projet'!$B$9,Paramètres!$A$1:$I$89,3,0)*0.475*44/12</f>
        <v>1.2130619548948514E-22</v>
      </c>
      <c r="AC177" s="22">
        <f t="shared" si="163"/>
        <v>3.0279749630491604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247.00000000000017</v>
      </c>
      <c r="AJ177" s="13">
        <f>AI177*VLOOKUP('Données projet'!$B$10,Paramètres!$A$1:$I$89,3,0)*VLOOKUP('Données projet'!$B$10,Paramètres!$A$1:$I$89,5,0)</f>
        <v>223.48560000000012</v>
      </c>
      <c r="AK177" s="13">
        <f t="shared" si="164"/>
        <v>54.87176918107798</v>
      </c>
      <c r="AL177" s="20">
        <f t="shared" si="165"/>
        <v>484.80575132371092</v>
      </c>
      <c r="AM177" s="59">
        <f t="shared" si="113"/>
        <v>773.7760893915206</v>
      </c>
      <c r="AN177" s="59">
        <f ca="1">AVERAGE(OFFSET($AM$3,0,0,'Données projet'!$E$10+1,1))-AVERAGE(OFFSET($H$3,0,0,'Données projet'!$E$10+1,1))</f>
        <v>312.51355033343896</v>
      </c>
      <c r="AO177" s="59">
        <f t="shared" si="144"/>
        <v>442.54749157177571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3.4978538591630297E-2</v>
      </c>
      <c r="AV177" s="21">
        <f>EXP(-LN(2)/25)*AV176+(1-EXP(-LN(2)/25))/(LN(2)/25)*Calculateur!AQ177*Calculateur!AS177*VLOOKUP('Données projet'!$B$10,Paramètres!$A$1:$I$89,3,0)*0.475*44/12</f>
        <v>7.9149160013169198E-2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0.11412769860479949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5">
      <c r="A178" s="10">
        <f t="shared" si="161"/>
        <v>175</v>
      </c>
      <c r="B178" s="73">
        <f>'Scénario référence'!$B$16*5+'Scénario référence'!$B$17*0+'Scénario référence'!$B$18*5</f>
        <v>5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1">
        <f t="shared" si="140"/>
        <v>0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8" s="11">
        <f>IF(OR('Scénario référence'!$F$8&gt;0,'Scénario référence'!$F$9&gt;0),('Scénario référence'!$F$8+'Scénario référence'!$F$9)*10,0)</f>
        <v>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67">
        <f t="shared" si="110"/>
        <v>183.33333333333334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112.82287576550925</v>
      </c>
      <c r="T178" s="59">
        <f t="shared" si="142"/>
        <v>317.78570695363294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2.7926123800689426</v>
      </c>
      <c r="AA178" s="21">
        <f>EXP(-LN(2)/25)*AA177+(1-EXP(-LN(2)/25))/(LN(2)/25)*Calculateur!V178*Calculateur!X178*VLOOKUP('Données projet'!$B$9,Paramètres!$A$1:$I$89,3,0)*0.475*44/12</f>
        <v>0.17459724423035453</v>
      </c>
      <c r="AB178" s="21">
        <f>EXP(-LN(2)/2)*AB177+(1-EXP(-LN(2)/2))/(LN(2)/2)*V178*Y178*VLOOKUP('Données projet'!$B$9,Paramètres!$A$1:$I$89,3,0)*0.475*44/12</f>
        <v>8.5776433430555926E-23</v>
      </c>
      <c r="AC178" s="22">
        <f t="shared" si="163"/>
        <v>2.9672096242992971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247.00000000000017</v>
      </c>
      <c r="AJ178" s="13">
        <f>AI178*VLOOKUP('Données projet'!$B$10,Paramètres!$A$1:$I$89,3,0)*VLOOKUP('Données projet'!$B$10,Paramètres!$A$1:$I$89,5,0)</f>
        <v>223.48560000000012</v>
      </c>
      <c r="AK178" s="13">
        <f t="shared" si="164"/>
        <v>54.87176918107798</v>
      </c>
      <c r="AL178" s="20">
        <f t="shared" si="165"/>
        <v>484.80575132371092</v>
      </c>
      <c r="AM178" s="59">
        <f t="shared" si="113"/>
        <v>773.85177760518127</v>
      </c>
      <c r="AN178" s="59">
        <f ca="1">AVERAGE(OFFSET($AM$3,0,0,'Données projet'!$E$10+1,1))-AVERAGE(OFFSET($H$3,0,0,'Données projet'!$E$10+1,1))</f>
        <v>312.51355033343896</v>
      </c>
      <c r="AO178" s="59">
        <f t="shared" si="144"/>
        <v>442.54749157177571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3.4292630784650328E-2</v>
      </c>
      <c r="AV178" s="21">
        <f>EXP(-LN(2)/25)*AV177+(1-EXP(-LN(2)/25))/(LN(2)/25)*Calculateur!AQ178*Calculateur!AS178*VLOOKUP('Données projet'!$B$10,Paramètres!$A$1:$I$89,3,0)*0.475*44/12</f>
        <v>7.6984822070335662E-2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0.111277452854986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5">
      <c r="A179" s="10">
        <f t="shared" si="161"/>
        <v>176</v>
      </c>
      <c r="B179" s="73">
        <f>'Scénario référence'!$B$16*5+'Scénario référence'!$B$17*0+'Scénario référence'!$B$18*5</f>
        <v>5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1">
        <f t="shared" si="140"/>
        <v>0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9" s="11">
        <f>IF(OR('Scénario référence'!$F$8&gt;0,'Scénario référence'!$F$9&gt;0),('Scénario référence'!$F$8+'Scénario référence'!$F$9)*10,0)</f>
        <v>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67">
        <f t="shared" si="110"/>
        <v>183.33333333333334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112.82287576550925</v>
      </c>
      <c r="T179" s="59">
        <f t="shared" si="142"/>
        <v>317.78570695363294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2.7378509546211531</v>
      </c>
      <c r="AA179" s="21">
        <f>EXP(-LN(2)/25)*AA178+(1-EXP(-LN(2)/25))/(LN(2)/25)*Calculateur!V179*Calculateur!X179*VLOOKUP('Données projet'!$B$9,Paramètres!$A$1:$I$89,3,0)*0.475*44/12</f>
        <v>0.16982287340520547</v>
      </c>
      <c r="AB179" s="21">
        <f>EXP(-LN(2)/2)*AB178+(1-EXP(-LN(2)/2))/(LN(2)/2)*V179*Y179*VLOOKUP('Données projet'!$B$9,Paramètres!$A$1:$I$89,3,0)*0.475*44/12</f>
        <v>6.0653097744742569E-23</v>
      </c>
      <c r="AC179" s="22">
        <f t="shared" si="163"/>
        <v>2.9076738280263585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247.00000000000017</v>
      </c>
      <c r="AJ179" s="13">
        <f>AI179*VLOOKUP('Données projet'!$B$10,Paramètres!$A$1:$I$89,3,0)*VLOOKUP('Données projet'!$B$10,Paramètres!$A$1:$I$89,5,0)</f>
        <v>223.48560000000012</v>
      </c>
      <c r="AK179" s="13">
        <f t="shared" si="164"/>
        <v>54.87176918107798</v>
      </c>
      <c r="AL179" s="20">
        <f t="shared" si="165"/>
        <v>484.80575132371092</v>
      </c>
      <c r="AM179" s="59">
        <f t="shared" si="113"/>
        <v>773.92615279754853</v>
      </c>
      <c r="AN179" s="59">
        <f ca="1">AVERAGE(OFFSET($AM$3,0,0,'Données projet'!$E$10+1,1))-AVERAGE(OFFSET($H$3,0,0,'Données projet'!$E$10+1,1))</f>
        <v>312.51355033343896</v>
      </c>
      <c r="AO179" s="59">
        <f t="shared" si="144"/>
        <v>442.54749157177571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3.3620173211402787E-2</v>
      </c>
      <c r="AV179" s="21">
        <f>EXP(-LN(2)/25)*AV178+(1-EXP(-LN(2)/25))/(LN(2)/25)*Calculateur!AQ179*Calculateur!AS179*VLOOKUP('Données projet'!$B$10,Paramètres!$A$1:$I$89,3,0)*0.475*44/12</f>
        <v>7.4879668062366497E-2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0.10849984127376928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5">
      <c r="A180" s="10">
        <f t="shared" si="161"/>
        <v>177</v>
      </c>
      <c r="B180" s="73">
        <f>'Scénario référence'!$B$16*5+'Scénario référence'!$B$17*0+'Scénario référence'!$B$18*5</f>
        <v>5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1">
        <f t="shared" si="140"/>
        <v>0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0" s="11">
        <f>IF(OR('Scénario référence'!$F$8&gt;0,'Scénario référence'!$F$9&gt;0),('Scénario référence'!$F$8+'Scénario référence'!$F$9)*10,0)</f>
        <v>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67">
        <f t="shared" si="110"/>
        <v>183.33333333333334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112.82287576550925</v>
      </c>
      <c r="T180" s="59">
        <f t="shared" si="142"/>
        <v>317.78570695363294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2.6841633673252234</v>
      </c>
      <c r="AA180" s="21">
        <f>EXP(-LN(2)/25)*AA179+(1-EXP(-LN(2)/25))/(LN(2)/25)*Calculateur!V180*Calculateur!X180*VLOOKUP('Données projet'!$B$9,Paramètres!$A$1:$I$89,3,0)*0.475*44/12</f>
        <v>0.16517905800134333</v>
      </c>
      <c r="AB180" s="21">
        <f>EXP(-LN(2)/2)*AB179+(1-EXP(-LN(2)/2))/(LN(2)/2)*V180*Y180*VLOOKUP('Données projet'!$B$9,Paramètres!$A$1:$I$89,3,0)*0.475*44/12</f>
        <v>4.2888216715277963E-23</v>
      </c>
      <c r="AC180" s="22">
        <f t="shared" si="163"/>
        <v>2.8493424253265669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247.00000000000017</v>
      </c>
      <c r="AJ180" s="13">
        <f>AI180*VLOOKUP('Données projet'!$B$10,Paramètres!$A$1:$I$89,3,0)*VLOOKUP('Données projet'!$B$10,Paramètres!$A$1:$I$89,5,0)</f>
        <v>223.48560000000012</v>
      </c>
      <c r="AK180" s="13">
        <f t="shared" si="164"/>
        <v>54.87176918107798</v>
      </c>
      <c r="AL180" s="20">
        <f t="shared" si="165"/>
        <v>484.80575132371092</v>
      </c>
      <c r="AM180" s="59">
        <f t="shared" si="113"/>
        <v>773.99923774660624</v>
      </c>
      <c r="AN180" s="59">
        <f ca="1">AVERAGE(OFFSET($AM$3,0,0,'Données projet'!$E$10+1,1))-AVERAGE(OFFSET($H$3,0,0,'Données projet'!$E$10+1,1))</f>
        <v>312.51355033343896</v>
      </c>
      <c r="AO180" s="59">
        <f t="shared" si="144"/>
        <v>442.54749157177571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3.2960902121008009E-2</v>
      </c>
      <c r="AV180" s="21">
        <f>EXP(-LN(2)/25)*AV179+(1-EXP(-LN(2)/25))/(LN(2)/25)*Calculateur!AQ180*Calculateur!AS180*VLOOKUP('Données projet'!$B$10,Paramètres!$A$1:$I$89,3,0)*0.475*44/12</f>
        <v>7.2832079601450481E-2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0.10579298172245849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5">
      <c r="A181" s="10">
        <f t="shared" si="161"/>
        <v>178</v>
      </c>
      <c r="B181" s="73">
        <f>'Scénario référence'!$B$16*5+'Scénario référence'!$B$17*0+'Scénario référence'!$B$18*5</f>
        <v>5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1">
        <f t="shared" si="140"/>
        <v>0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1" s="11">
        <f>IF(OR('Scénario référence'!$F$8&gt;0,'Scénario référence'!$F$9&gt;0),('Scénario référence'!$F$8+'Scénario référence'!$F$9)*10,0)</f>
        <v>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67">
        <f t="shared" si="110"/>
        <v>183.33333333333334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112.82287576550925</v>
      </c>
      <c r="T181" s="59">
        <f t="shared" si="142"/>
        <v>317.78570695363294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2.6315285608699721</v>
      </c>
      <c r="AA181" s="21">
        <f>EXP(-LN(2)/25)*AA180+(1-EXP(-LN(2)/25))/(LN(2)/25)*Calculateur!V181*Calculateur!X181*VLOOKUP('Données projet'!$B$9,Paramètres!$A$1:$I$89,3,0)*0.475*44/12</f>
        <v>0.16066222797390747</v>
      </c>
      <c r="AB181" s="21">
        <f>EXP(-LN(2)/2)*AB180+(1-EXP(-LN(2)/2))/(LN(2)/2)*V181*Y181*VLOOKUP('Données projet'!$B$9,Paramètres!$A$1:$I$89,3,0)*0.475*44/12</f>
        <v>3.0326548872371284E-23</v>
      </c>
      <c r="AC181" s="22">
        <f t="shared" si="163"/>
        <v>2.7921907888438797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247.00000000000017</v>
      </c>
      <c r="AJ181" s="13">
        <f>AI181*VLOOKUP('Données projet'!$B$10,Paramètres!$A$1:$I$89,3,0)*VLOOKUP('Données projet'!$B$10,Paramètres!$A$1:$I$89,5,0)</f>
        <v>223.48560000000012</v>
      </c>
      <c r="AK181" s="13">
        <f t="shared" si="164"/>
        <v>54.87176918107798</v>
      </c>
      <c r="AL181" s="20">
        <f t="shared" si="165"/>
        <v>484.80575132371092</v>
      </c>
      <c r="AM181" s="59">
        <f t="shared" si="113"/>
        <v>774.07105483519103</v>
      </c>
      <c r="AN181" s="59">
        <f ca="1">AVERAGE(OFFSET($AM$3,0,0,'Données projet'!$E$10+1,1))-AVERAGE(OFFSET($H$3,0,0,'Données projet'!$E$10+1,1))</f>
        <v>312.51355033343896</v>
      </c>
      <c r="AO181" s="59">
        <f t="shared" si="144"/>
        <v>442.54749157177571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3.2314558934580212E-2</v>
      </c>
      <c r="AV181" s="21">
        <f>EXP(-LN(2)/25)*AV180+(1-EXP(-LN(2)/25))/(LN(2)/25)*Calculateur!AQ181*Calculateur!AS181*VLOOKUP('Données projet'!$B$10,Paramètres!$A$1:$I$89,3,0)*0.475*44/12</f>
        <v>7.0840482554676218E-2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0.10315504148925643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5">
      <c r="A182" s="10">
        <f t="shared" si="161"/>
        <v>179</v>
      </c>
      <c r="B182" s="73">
        <f>'Scénario référence'!$B$16*5+'Scénario référence'!$B$17*0+'Scénario référence'!$B$18*5</f>
        <v>5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1">
        <f t="shared" si="140"/>
        <v>0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2" s="11">
        <f>IF(OR('Scénario référence'!$F$8&gt;0,'Scénario référence'!$F$9&gt;0),('Scénario référence'!$F$8+'Scénario référence'!$F$9)*10,0)</f>
        <v>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67">
        <f t="shared" si="110"/>
        <v>183.33333333333334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112.82287576550925</v>
      </c>
      <c r="T182" s="59">
        <f t="shared" si="142"/>
        <v>317.78570695363294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2.5799258908652463</v>
      </c>
      <c r="AA182" s="21">
        <f>EXP(-LN(2)/25)*AA181+(1-EXP(-LN(2)/25))/(LN(2)/25)*Calculateur!V182*Calculateur!X182*VLOOKUP('Données projet'!$B$9,Paramètres!$A$1:$I$89,3,0)*0.475*44/12</f>
        <v>0.15626891090110159</v>
      </c>
      <c r="AB182" s="21">
        <f>EXP(-LN(2)/2)*AB181+(1-EXP(-LN(2)/2))/(LN(2)/2)*V182*Y182*VLOOKUP('Données projet'!$B$9,Paramètres!$A$1:$I$89,3,0)*0.475*44/12</f>
        <v>2.1444108357638982E-23</v>
      </c>
      <c r="AC182" s="22">
        <f t="shared" si="163"/>
        <v>2.7361948017663478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247.00000000000017</v>
      </c>
      <c r="AJ182" s="13">
        <f>AI182*VLOOKUP('Données projet'!$B$10,Paramètres!$A$1:$I$89,3,0)*VLOOKUP('Données projet'!$B$10,Paramètres!$A$1:$I$89,5,0)</f>
        <v>223.48560000000012</v>
      </c>
      <c r="AK182" s="13">
        <f t="shared" si="164"/>
        <v>54.87176918107798</v>
      </c>
      <c r="AL182" s="20">
        <f t="shared" si="165"/>
        <v>484.80575132371092</v>
      </c>
      <c r="AM182" s="59">
        <f t="shared" si="113"/>
        <v>774.14162605784804</v>
      </c>
      <c r="AN182" s="59">
        <f ca="1">AVERAGE(OFFSET($AM$3,0,0,'Données projet'!$E$10+1,1))-AVERAGE(OFFSET($H$3,0,0,'Données projet'!$E$10+1,1))</f>
        <v>312.51355033343896</v>
      </c>
      <c r="AO182" s="59">
        <f t="shared" si="144"/>
        <v>442.54749157177571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3.1680890143807851E-2</v>
      </c>
      <c r="AV182" s="21">
        <f>EXP(-LN(2)/25)*AV181+(1-EXP(-LN(2)/25))/(LN(2)/25)*Calculateur!AQ182*Calculateur!AS182*VLOOKUP('Données projet'!$B$10,Paramètres!$A$1:$I$89,3,0)*0.475*44/12</f>
        <v>6.8903345833879526E-2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0.10058423597768737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5">
      <c r="A183" s="10">
        <f t="shared" si="161"/>
        <v>180</v>
      </c>
      <c r="B183" s="73">
        <f>'Scénario référence'!$B$16*5+'Scénario référence'!$B$17*0+'Scénario référence'!$B$18*5</f>
        <v>5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1">
        <f t="shared" si="140"/>
        <v>0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3" s="11">
        <f>IF(OR('Scénario référence'!$F$8&gt;0,'Scénario référence'!$F$9&gt;0),('Scénario référence'!$F$8+'Scénario référence'!$F$9)*10,0)</f>
        <v>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67">
        <f t="shared" si="110"/>
        <v>183.33333333333334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112.82287576550925</v>
      </c>
      <c r="T183" s="59">
        <f t="shared" si="142"/>
        <v>317.78570695363294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2.5293351177447922</v>
      </c>
      <c r="AA183" s="21">
        <f>EXP(-LN(2)/25)*AA182+(1-EXP(-LN(2)/25))/(LN(2)/25)*Calculateur!V183*Calculateur!X183*VLOOKUP('Données projet'!$B$9,Paramètres!$A$1:$I$89,3,0)*0.475*44/12</f>
        <v>0.15199572931468611</v>
      </c>
      <c r="AB183" s="21">
        <f>EXP(-LN(2)/2)*AB182+(1-EXP(-LN(2)/2))/(LN(2)/2)*V183*Y183*VLOOKUP('Données projet'!$B$9,Paramètres!$A$1:$I$89,3,0)*0.475*44/12</f>
        <v>1.5163274436185642E-23</v>
      </c>
      <c r="AC183" s="22">
        <f t="shared" si="163"/>
        <v>2.6813308470594786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247.00000000000017</v>
      </c>
      <c r="AJ183" s="13">
        <f>AI183*VLOOKUP('Données projet'!$B$10,Paramètres!$A$1:$I$89,3,0)*VLOOKUP('Données projet'!$B$10,Paramètres!$A$1:$I$89,5,0)</f>
        <v>223.48560000000012</v>
      </c>
      <c r="AK183" s="13">
        <f t="shared" si="164"/>
        <v>54.87176918107798</v>
      </c>
      <c r="AL183" s="20">
        <f t="shared" si="165"/>
        <v>484.80575132371092</v>
      </c>
      <c r="AM183" s="59">
        <f t="shared" si="113"/>
        <v>774.21097302756561</v>
      </c>
      <c r="AN183" s="59">
        <f ca="1">AVERAGE(OFFSET($AM$3,0,0,'Données projet'!$E$10+1,1))-AVERAGE(OFFSET($H$3,0,0,'Données projet'!$E$10+1,1))</f>
        <v>312.51355033343896</v>
      </c>
      <c r="AO183" s="59">
        <f t="shared" si="144"/>
        <v>442.54749157177571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3.1059647211522736E-2</v>
      </c>
      <c r="AV183" s="21">
        <f>EXP(-LN(2)/25)*AV182+(1-EXP(-LN(2)/25))/(LN(2)/25)*Calculateur!AQ183*Calculateur!AS183*VLOOKUP('Données projet'!$B$10,Paramètres!$A$1:$I$89,3,0)*0.475*44/12</f>
        <v>6.7019180218582608E-2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9.8078827430105348E-2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5">
      <c r="A184" s="10">
        <f t="shared" si="161"/>
        <v>181</v>
      </c>
      <c r="B184" s="73">
        <f>'Scénario référence'!$B$16*5+'Scénario référence'!$B$17*0+'Scénario référence'!$B$18*5</f>
        <v>5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1">
        <f t="shared" si="140"/>
        <v>0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4" s="11">
        <f>IF(OR('Scénario référence'!$F$8&gt;0,'Scénario référence'!$F$9&gt;0),('Scénario référence'!$F$8+'Scénario référence'!$F$9)*10,0)</f>
        <v>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67">
        <f t="shared" si="110"/>
        <v>183.33333333333334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112.82287576550925</v>
      </c>
      <c r="T184" s="59">
        <f t="shared" si="142"/>
        <v>317.78570695363294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2.4797363988279058</v>
      </c>
      <c r="AA184" s="21">
        <f>EXP(-LN(2)/25)*AA183+(1-EXP(-LN(2)/25))/(LN(2)/25)*Calculateur!V184*Calculateur!X184*VLOOKUP('Données projet'!$B$9,Paramètres!$A$1:$I$89,3,0)*0.475*44/12</f>
        <v>0.14783939810346799</v>
      </c>
      <c r="AB184" s="21">
        <f>EXP(-LN(2)/2)*AB183+(1-EXP(-LN(2)/2))/(LN(2)/2)*V184*Y184*VLOOKUP('Données projet'!$B$9,Paramètres!$A$1:$I$89,3,0)*0.475*44/12</f>
        <v>1.0722054178819491E-23</v>
      </c>
      <c r="AC184" s="22">
        <f t="shared" si="163"/>
        <v>2.6275757969313736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247.00000000000017</v>
      </c>
      <c r="AJ184" s="13">
        <f>AI184*VLOOKUP('Données projet'!$B$10,Paramètres!$A$1:$I$89,3,0)*VLOOKUP('Données projet'!$B$10,Paramètres!$A$1:$I$89,5,0)</f>
        <v>223.48560000000012</v>
      </c>
      <c r="AK184" s="13">
        <f t="shared" si="164"/>
        <v>54.87176918107798</v>
      </c>
      <c r="AL184" s="20">
        <f t="shared" si="165"/>
        <v>484.80575132371092</v>
      </c>
      <c r="AM184" s="59">
        <f t="shared" si="113"/>
        <v>774.27911698239495</v>
      </c>
      <c r="AN184" s="59">
        <f ca="1">AVERAGE(OFFSET($AM$3,0,0,'Données projet'!$E$10+1,1))-AVERAGE(OFFSET($H$3,0,0,'Données projet'!$E$10+1,1))</f>
        <v>312.51355033343896</v>
      </c>
      <c r="AO184" s="59">
        <f t="shared" si="144"/>
        <v>442.54749157177571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3.0450586474218957E-2</v>
      </c>
      <c r="AV184" s="21">
        <f>EXP(-LN(2)/25)*AV183+(1-EXP(-LN(2)/25))/(LN(2)/25)*Calculateur!AQ184*Calculateur!AS184*VLOOKUP('Données projet'!$B$10,Paramètres!$A$1:$I$89,3,0)*0.475*44/12</f>
        <v>6.5186537211119958E-2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9.5637123685338915E-2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5">
      <c r="A185" s="10">
        <f t="shared" si="161"/>
        <v>182</v>
      </c>
      <c r="B185" s="73">
        <f>'Scénario référence'!$B$16*5+'Scénario référence'!$B$17*0+'Scénario référence'!$B$18*5</f>
        <v>5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1">
        <f t="shared" si="140"/>
        <v>0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5" s="11">
        <f>IF(OR('Scénario référence'!$F$8&gt;0,'Scénario référence'!$F$9&gt;0),('Scénario référence'!$F$8+'Scénario référence'!$F$9)*10,0)</f>
        <v>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67">
        <f t="shared" si="110"/>
        <v>183.33333333333334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112.82287576550925</v>
      </c>
      <c r="T185" s="59">
        <f t="shared" si="142"/>
        <v>317.78570695363294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2.4311102805367479</v>
      </c>
      <c r="AA185" s="21">
        <f>EXP(-LN(2)/25)*AA184+(1-EXP(-LN(2)/25))/(LN(2)/25)*Calculateur!V185*Calculateur!X185*VLOOKUP('Données projet'!$B$9,Paramètres!$A$1:$I$89,3,0)*0.475*44/12</f>
        <v>0.14379672198779261</v>
      </c>
      <c r="AB185" s="21">
        <f>EXP(-LN(2)/2)*AB184+(1-EXP(-LN(2)/2))/(LN(2)/2)*V185*Y185*VLOOKUP('Données projet'!$B$9,Paramètres!$A$1:$I$89,3,0)*0.475*44/12</f>
        <v>7.5816372180928211E-24</v>
      </c>
      <c r="AC185" s="22">
        <f t="shared" si="163"/>
        <v>2.5749070025245406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247.00000000000017</v>
      </c>
      <c r="AJ185" s="13">
        <f>AI185*VLOOKUP('Données projet'!$B$10,Paramètres!$A$1:$I$89,3,0)*VLOOKUP('Données projet'!$B$10,Paramètres!$A$1:$I$89,5,0)</f>
        <v>223.48560000000012</v>
      </c>
      <c r="AK185" s="13">
        <f t="shared" si="164"/>
        <v>54.87176918107798</v>
      </c>
      <c r="AL185" s="20">
        <f t="shared" si="165"/>
        <v>484.80575132371092</v>
      </c>
      <c r="AM185" s="59">
        <f t="shared" si="113"/>
        <v>774.34607879195528</v>
      </c>
      <c r="AN185" s="59">
        <f ca="1">AVERAGE(OFFSET($AM$3,0,0,'Données projet'!$E$10+1,1))-AVERAGE(OFFSET($H$3,0,0,'Données projet'!$E$10+1,1))</f>
        <v>312.51355033343896</v>
      </c>
      <c r="AO185" s="59">
        <f t="shared" si="144"/>
        <v>442.54749157177571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2.9853469046483339E-2</v>
      </c>
      <c r="AV185" s="21">
        <f>EXP(-LN(2)/25)*AV184+(1-EXP(-LN(2)/25))/(LN(2)/25)*Calculateur!AQ185*Calculateur!AS185*VLOOKUP('Données projet'!$B$10,Paramètres!$A$1:$I$89,3,0)*0.475*44/12</f>
        <v>6.3404007923070882E-2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9.3257476969554221E-2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5">
      <c r="A186" s="10">
        <f t="shared" si="161"/>
        <v>183</v>
      </c>
      <c r="B186" s="73">
        <f>'Scénario référence'!$B$16*5+'Scénario référence'!$B$17*0+'Scénario référence'!$B$18*5</f>
        <v>5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1">
        <f t="shared" si="140"/>
        <v>0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6" s="11">
        <f>IF(OR('Scénario référence'!$F$8&gt;0,'Scénario référence'!$F$9&gt;0),('Scénario référence'!$F$8+'Scénario référence'!$F$9)*10,0)</f>
        <v>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67">
        <f t="shared" si="110"/>
        <v>183.33333333333334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112.82287576550925</v>
      </c>
      <c r="T186" s="59">
        <f t="shared" si="142"/>
        <v>317.78570695363294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2.383437690766276</v>
      </c>
      <c r="AA186" s="21">
        <f>EXP(-LN(2)/25)*AA185+(1-EXP(-LN(2)/25))/(LN(2)/25)*Calculateur!V186*Calculateur!X186*VLOOKUP('Données projet'!$B$9,Paramètres!$A$1:$I$89,3,0)*0.475*44/12</f>
        <v>0.13986459306309545</v>
      </c>
      <c r="AB186" s="21">
        <f>EXP(-LN(2)/2)*AB185+(1-EXP(-LN(2)/2))/(LN(2)/2)*V186*Y186*VLOOKUP('Données projet'!$B$9,Paramètres!$A$1:$I$89,3,0)*0.475*44/12</f>
        <v>5.3610270894097454E-24</v>
      </c>
      <c r="AC186" s="22">
        <f t="shared" si="163"/>
        <v>2.5233022838293713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247.00000000000017</v>
      </c>
      <c r="AJ186" s="13">
        <f>AI186*VLOOKUP('Données projet'!$B$10,Paramètres!$A$1:$I$89,3,0)*VLOOKUP('Données projet'!$B$10,Paramètres!$A$1:$I$89,5,0)</f>
        <v>223.48560000000012</v>
      </c>
      <c r="AK186" s="13">
        <f t="shared" si="164"/>
        <v>54.87176918107798</v>
      </c>
      <c r="AL186" s="20">
        <f t="shared" si="165"/>
        <v>484.80575132371092</v>
      </c>
      <c r="AM186" s="59">
        <f t="shared" si="113"/>
        <v>774.41187896382394</v>
      </c>
      <c r="AN186" s="59">
        <f ca="1">AVERAGE(OFFSET($AM$3,0,0,'Données projet'!$E$10+1,1))-AVERAGE(OFFSET($H$3,0,0,'Données projet'!$E$10+1,1))</f>
        <v>312.51355033343896</v>
      </c>
      <c r="AO186" s="59">
        <f t="shared" si="144"/>
        <v>442.54749157177571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2.9268060727299948E-2</v>
      </c>
      <c r="AV186" s="21">
        <f>EXP(-LN(2)/25)*AV185+(1-EXP(-LN(2)/25))/(LN(2)/25)*Calculateur!AQ186*Calculateur!AS186*VLOOKUP('Données projet'!$B$10,Paramètres!$A$1:$I$89,3,0)*0.475*44/12</f>
        <v>6.1670221992142643E-2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9.0938282719442598E-2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5">
      <c r="A187" s="10">
        <f t="shared" si="161"/>
        <v>184</v>
      </c>
      <c r="B187" s="73">
        <f>'Scénario référence'!$B$16*5+'Scénario référence'!$B$17*0+'Scénario référence'!$B$18*5</f>
        <v>5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1">
        <f t="shared" si="140"/>
        <v>0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7" s="11">
        <f>IF(OR('Scénario référence'!$F$8&gt;0,'Scénario référence'!$F$9&gt;0),('Scénario référence'!$F$8+'Scénario référence'!$F$9)*10,0)</f>
        <v>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67">
        <f t="shared" si="110"/>
        <v>183.33333333333334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112.82287576550925</v>
      </c>
      <c r="T187" s="59">
        <f t="shared" si="142"/>
        <v>317.78570695363294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2.3366999314037944</v>
      </c>
      <c r="AA187" s="21">
        <f>EXP(-LN(2)/25)*AA186+(1-EXP(-LN(2)/25))/(LN(2)/25)*Calculateur!V187*Calculateur!X187*VLOOKUP('Données projet'!$B$9,Paramètres!$A$1:$I$89,3,0)*0.475*44/12</f>
        <v>0.13603998841062581</v>
      </c>
      <c r="AB187" s="21">
        <f>EXP(-LN(2)/2)*AB186+(1-EXP(-LN(2)/2))/(LN(2)/2)*V187*Y187*VLOOKUP('Données projet'!$B$9,Paramètres!$A$1:$I$89,3,0)*0.475*44/12</f>
        <v>3.7908186090464105E-24</v>
      </c>
      <c r="AC187" s="22">
        <f t="shared" si="163"/>
        <v>2.47273991981442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247.00000000000017</v>
      </c>
      <c r="AJ187" s="13">
        <f>AI187*VLOOKUP('Données projet'!$B$10,Paramètres!$A$1:$I$89,3,0)*VLOOKUP('Données projet'!$B$10,Paramètres!$A$1:$I$89,5,0)</f>
        <v>223.48560000000012</v>
      </c>
      <c r="AK187" s="13">
        <f t="shared" si="164"/>
        <v>54.87176918107798</v>
      </c>
      <c r="AL187" s="20">
        <f t="shared" si="165"/>
        <v>484.80575132371092</v>
      </c>
      <c r="AM187" s="59">
        <f t="shared" si="113"/>
        <v>774.4765376498176</v>
      </c>
      <c r="AN187" s="59">
        <f ca="1">AVERAGE(OFFSET($AM$3,0,0,'Données projet'!$E$10+1,1))-AVERAGE(OFFSET($H$3,0,0,'Données projet'!$E$10+1,1))</f>
        <v>312.51355033343896</v>
      </c>
      <c r="AO187" s="59">
        <f t="shared" si="144"/>
        <v>442.54749157177571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2.8694131908191926E-2</v>
      </c>
      <c r="AV187" s="21">
        <f>EXP(-LN(2)/25)*AV186+(1-EXP(-LN(2)/25))/(LN(2)/25)*Calculateur!AQ187*Calculateur!AS187*VLOOKUP('Données projet'!$B$10,Paramètres!$A$1:$I$89,3,0)*0.475*44/12</f>
        <v>5.9983846528671475E-2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8.8677978436863397E-2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5">
      <c r="A188" s="10">
        <f t="shared" si="161"/>
        <v>185</v>
      </c>
      <c r="B188" s="73">
        <f>'Scénario référence'!$B$16*5+'Scénario référence'!$B$17*0+'Scénario référence'!$B$18*5</f>
        <v>5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1">
        <f t="shared" si="140"/>
        <v>0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8" s="11">
        <f>IF(OR('Scénario référence'!$F$8&gt;0,'Scénario référence'!$F$9&gt;0),('Scénario référence'!$F$8+'Scénario référence'!$F$9)*10,0)</f>
        <v>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67">
        <f t="shared" si="110"/>
        <v>183.33333333333334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112.82287576550925</v>
      </c>
      <c r="T188" s="59">
        <f t="shared" si="142"/>
        <v>317.78570695363294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2.2908786709951929</v>
      </c>
      <c r="AA188" s="21">
        <f>EXP(-LN(2)/25)*AA187+(1-EXP(-LN(2)/25))/(LN(2)/25)*Calculateur!V188*Calculateur!X188*VLOOKUP('Données projet'!$B$9,Paramètres!$A$1:$I$89,3,0)*0.475*44/12</f>
        <v>0.13231996777350519</v>
      </c>
      <c r="AB188" s="21">
        <f>EXP(-LN(2)/2)*AB187+(1-EXP(-LN(2)/2))/(LN(2)/2)*V188*Y188*VLOOKUP('Données projet'!$B$9,Paramètres!$A$1:$I$89,3,0)*0.475*44/12</f>
        <v>2.6805135447048727E-24</v>
      </c>
      <c r="AC188" s="22">
        <f t="shared" si="163"/>
        <v>2.4231986387686981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247.00000000000017</v>
      </c>
      <c r="AJ188" s="13">
        <f>AI188*VLOOKUP('Données projet'!$B$10,Paramètres!$A$1:$I$89,3,0)*VLOOKUP('Données projet'!$B$10,Paramètres!$A$1:$I$89,5,0)</f>
        <v>223.48560000000012</v>
      </c>
      <c r="AK188" s="13">
        <f t="shared" si="164"/>
        <v>54.87176918107798</v>
      </c>
      <c r="AL188" s="20">
        <f t="shared" si="165"/>
        <v>484.80575132371092</v>
      </c>
      <c r="AM188" s="59">
        <f t="shared" si="113"/>
        <v>774.54007465216466</v>
      </c>
      <c r="AN188" s="59">
        <f ca="1">AVERAGE(OFFSET($AM$3,0,0,'Données projet'!$E$10+1,1))-AVERAGE(OFFSET($H$3,0,0,'Données projet'!$E$10+1,1))</f>
        <v>312.51355033343896</v>
      </c>
      <c r="AO188" s="59">
        <f t="shared" si="144"/>
        <v>442.54749157177571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2.8131457483164597E-2</v>
      </c>
      <c r="AV188" s="21">
        <f>EXP(-LN(2)/25)*AV187+(1-EXP(-LN(2)/25))/(LN(2)/25)*Calculateur!AQ188*Calculateur!AS188*VLOOKUP('Données projet'!$B$10,Paramètres!$A$1:$I$89,3,0)*0.475*44/12</f>
        <v>5.8343585090931557E-2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8.6475042574096161E-2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5">
      <c r="A189" s="10">
        <f t="shared" si="161"/>
        <v>186</v>
      </c>
      <c r="B189" s="73">
        <f>'Scénario référence'!$B$16*5+'Scénario référence'!$B$17*0+'Scénario référence'!$B$18*5</f>
        <v>5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1">
        <f t="shared" si="140"/>
        <v>0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9" s="11">
        <f>IF(OR('Scénario référence'!$F$8&gt;0,'Scénario référence'!$F$9&gt;0),('Scénario référence'!$F$8+'Scénario référence'!$F$9)*10,0)</f>
        <v>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67">
        <f t="shared" si="110"/>
        <v>183.33333333333334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112.82287576550925</v>
      </c>
      <c r="T189" s="59">
        <f t="shared" si="142"/>
        <v>317.78570695363294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2.2459559375549949</v>
      </c>
      <c r="AA189" s="21">
        <f>EXP(-LN(2)/25)*AA188+(1-EXP(-LN(2)/25))/(LN(2)/25)*Calculateur!V189*Calculateur!X189*VLOOKUP('Données projet'!$B$9,Paramètres!$A$1:$I$89,3,0)*0.475*44/12</f>
        <v>0.128701671296334</v>
      </c>
      <c r="AB189" s="21">
        <f>EXP(-LN(2)/2)*AB188+(1-EXP(-LN(2)/2))/(LN(2)/2)*V189*Y189*VLOOKUP('Données projet'!$B$9,Paramètres!$A$1:$I$89,3,0)*0.475*44/12</f>
        <v>1.8954093045232053E-24</v>
      </c>
      <c r="AC189" s="22">
        <f t="shared" si="163"/>
        <v>2.3746576088513289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247.00000000000017</v>
      </c>
      <c r="AJ189" s="13">
        <f>AI189*VLOOKUP('Données projet'!$B$10,Paramètres!$A$1:$I$89,3,0)*VLOOKUP('Données projet'!$B$10,Paramètres!$A$1:$I$89,5,0)</f>
        <v>223.48560000000012</v>
      </c>
      <c r="AK189" s="13">
        <f t="shared" si="164"/>
        <v>54.87176918107798</v>
      </c>
      <c r="AL189" s="20">
        <f t="shared" si="165"/>
        <v>484.80575132371092</v>
      </c>
      <c r="AM189" s="59">
        <f t="shared" si="113"/>
        <v>774.60250942956827</v>
      </c>
      <c r="AN189" s="59">
        <f ca="1">AVERAGE(OFFSET($AM$3,0,0,'Données projet'!$E$10+1,1))-AVERAGE(OFFSET($H$3,0,0,'Données projet'!$E$10+1,1))</f>
        <v>312.51355033343896</v>
      </c>
      <c r="AO189" s="59">
        <f t="shared" si="144"/>
        <v>442.54749157177571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2.7579816760414544E-2</v>
      </c>
      <c r="AV189" s="21">
        <f>EXP(-LN(2)/25)*AV188+(1-EXP(-LN(2)/25))/(LN(2)/25)*Calculateur!AQ189*Calculateur!AS189*VLOOKUP('Données projet'!$B$10,Paramètres!$A$1:$I$89,3,0)*0.475*44/12</f>
        <v>5.6748176688464241E-2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8.4327993448878785E-2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5">
      <c r="A190" s="10">
        <f t="shared" si="161"/>
        <v>187</v>
      </c>
      <c r="B190" s="73">
        <f>'Scénario référence'!$B$16*5+'Scénario référence'!$B$17*0+'Scénario référence'!$B$18*5</f>
        <v>5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1">
        <f t="shared" si="140"/>
        <v>0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0" s="11">
        <f>IF(OR('Scénario référence'!$F$8&gt;0,'Scénario référence'!$F$9&gt;0),('Scénario référence'!$F$8+'Scénario référence'!$F$9)*10,0)</f>
        <v>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67">
        <f t="shared" si="110"/>
        <v>183.33333333333334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112.82287576550925</v>
      </c>
      <c r="T190" s="59">
        <f t="shared" si="142"/>
        <v>317.78570695363294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2.201914111517397</v>
      </c>
      <c r="AA190" s="21">
        <f>EXP(-LN(2)/25)*AA189+(1-EXP(-LN(2)/25))/(LN(2)/25)*Calculateur!V190*Calculateur!X190*VLOOKUP('Données projet'!$B$9,Paramètres!$A$1:$I$89,3,0)*0.475*44/12</f>
        <v>0.12518231732660901</v>
      </c>
      <c r="AB190" s="21">
        <f>EXP(-LN(2)/2)*AB189+(1-EXP(-LN(2)/2))/(LN(2)/2)*V190*Y190*VLOOKUP('Données projet'!$B$9,Paramètres!$A$1:$I$89,3,0)*0.475*44/12</f>
        <v>1.3402567723524363E-24</v>
      </c>
      <c r="AC190" s="22">
        <f t="shared" si="163"/>
        <v>2.3270964288440061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247.00000000000017</v>
      </c>
      <c r="AJ190" s="13">
        <f>AI190*VLOOKUP('Données projet'!$B$10,Paramètres!$A$1:$I$89,3,0)*VLOOKUP('Données projet'!$B$10,Paramètres!$A$1:$I$89,5,0)</f>
        <v>223.48560000000012</v>
      </c>
      <c r="AK190" s="13">
        <f t="shared" si="164"/>
        <v>54.87176918107798</v>
      </c>
      <c r="AL190" s="20">
        <f t="shared" si="165"/>
        <v>484.80575132371092</v>
      </c>
      <c r="AM190" s="59">
        <f t="shared" si="113"/>
        <v>774.66386110316739</v>
      </c>
      <c r="AN190" s="59">
        <f ca="1">AVERAGE(OFFSET($AM$3,0,0,'Données projet'!$E$10+1,1))-AVERAGE(OFFSET($H$3,0,0,'Données projet'!$E$10+1,1))</f>
        <v>312.51355033343896</v>
      </c>
      <c r="AO190" s="59">
        <f t="shared" si="144"/>
        <v>442.54749157177571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2.7038993375770003E-2</v>
      </c>
      <c r="AV190" s="21">
        <f>EXP(-LN(2)/25)*AV189+(1-EXP(-LN(2)/25))/(LN(2)/25)*Calculateur!AQ190*Calculateur!AS190*VLOOKUP('Données projet'!$B$10,Paramètres!$A$1:$I$89,3,0)*0.475*44/12</f>
        <v>5.5196394812661274E-2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8.2235388188431277E-2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5">
      <c r="A191" s="10">
        <f t="shared" si="161"/>
        <v>188</v>
      </c>
      <c r="B191" s="73">
        <f>'Scénario référence'!$B$16*5+'Scénario référence'!$B$17*0+'Scénario référence'!$B$18*5</f>
        <v>5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1">
        <f t="shared" si="140"/>
        <v>0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1" s="11">
        <f>IF(OR('Scénario référence'!$F$8&gt;0,'Scénario référence'!$F$9&gt;0),('Scénario référence'!$F$8+'Scénario référence'!$F$9)*10,0)</f>
        <v>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67">
        <f t="shared" si="110"/>
        <v>183.33333333333334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112.82287576550925</v>
      </c>
      <c r="T191" s="59">
        <f t="shared" si="142"/>
        <v>317.78570695363294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2.1587359188255353</v>
      </c>
      <c r="AA191" s="21">
        <f>EXP(-LN(2)/25)*AA190+(1-EXP(-LN(2)/25))/(LN(2)/25)*Calculateur!V191*Calculateur!X191*VLOOKUP('Données projet'!$B$9,Paramètres!$A$1:$I$89,3,0)*0.475*44/12</f>
        <v>0.12175920027626091</v>
      </c>
      <c r="AB191" s="21">
        <f>EXP(-LN(2)/2)*AB190+(1-EXP(-LN(2)/2))/(LN(2)/2)*V191*Y191*VLOOKUP('Données projet'!$B$9,Paramètres!$A$1:$I$89,3,0)*0.475*44/12</f>
        <v>9.4770465226160264E-25</v>
      </c>
      <c r="AC191" s="22">
        <f t="shared" si="163"/>
        <v>2.2804951191017961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247.00000000000017</v>
      </c>
      <c r="AJ191" s="13">
        <f>AI191*VLOOKUP('Données projet'!$B$10,Paramètres!$A$1:$I$89,3,0)*VLOOKUP('Données projet'!$B$10,Paramètres!$A$1:$I$89,5,0)</f>
        <v>223.48560000000012</v>
      </c>
      <c r="AK191" s="13">
        <f t="shared" si="164"/>
        <v>54.87176918107798</v>
      </c>
      <c r="AL191" s="20">
        <f t="shared" si="165"/>
        <v>484.80575132371092</v>
      </c>
      <c r="AM191" s="59">
        <f t="shared" si="113"/>
        <v>774.72414846239121</v>
      </c>
      <c r="AN191" s="59">
        <f ca="1">AVERAGE(OFFSET($AM$3,0,0,'Données projet'!$E$10+1,1))-AVERAGE(OFFSET($H$3,0,0,'Données projet'!$E$10+1,1))</f>
        <v>312.51355033343896</v>
      </c>
      <c r="AO191" s="59">
        <f t="shared" si="144"/>
        <v>442.54749157177571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2.6508775207828648E-2</v>
      </c>
      <c r="AV191" s="21">
        <f>EXP(-LN(2)/25)*AV190+(1-EXP(-LN(2)/25))/(LN(2)/25)*Calculateur!AQ191*Calculateur!AS191*VLOOKUP('Données projet'!$B$10,Paramètres!$A$1:$I$89,3,0)*0.475*44/12</f>
        <v>5.3687046493856805E-2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8.019582170168546E-2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5">
      <c r="A192" s="10">
        <f t="shared" si="161"/>
        <v>189</v>
      </c>
      <c r="B192" s="73">
        <f>'Scénario référence'!$B$16*5+'Scénario référence'!$B$17*0+'Scénario référence'!$B$18*5</f>
        <v>5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1">
        <f t="shared" si="140"/>
        <v>0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2" s="11">
        <f>IF(OR('Scénario référence'!$F$8&gt;0,'Scénario référence'!$F$9&gt;0),('Scénario référence'!$F$8+'Scénario référence'!$F$9)*10,0)</f>
        <v>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67">
        <f t="shared" si="110"/>
        <v>183.33333333333334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112.82287576550925</v>
      </c>
      <c r="T192" s="59">
        <f t="shared" si="142"/>
        <v>317.78570695363294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2.1164044241562636</v>
      </c>
      <c r="AA192" s="21">
        <f>EXP(-LN(2)/25)*AA191+(1-EXP(-LN(2)/25))/(LN(2)/25)*Calculateur!V192*Calculateur!X192*VLOOKUP('Données projet'!$B$9,Paramètres!$A$1:$I$89,3,0)*0.475*44/12</f>
        <v>0.11842968854166851</v>
      </c>
      <c r="AB192" s="21">
        <f>EXP(-LN(2)/2)*AB191+(1-EXP(-LN(2)/2))/(LN(2)/2)*V192*Y192*VLOOKUP('Données projet'!$B$9,Paramètres!$A$1:$I$89,3,0)*0.475*44/12</f>
        <v>6.7012838617621817E-25</v>
      </c>
      <c r="AC192" s="22">
        <f t="shared" si="163"/>
        <v>2.2348341126979321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247.00000000000017</v>
      </c>
      <c r="AJ192" s="13">
        <f>AI192*VLOOKUP('Données projet'!$B$10,Paramètres!$A$1:$I$89,3,0)*VLOOKUP('Données projet'!$B$10,Paramètres!$A$1:$I$89,5,0)</f>
        <v>223.48560000000012</v>
      </c>
      <c r="AK192" s="13">
        <f t="shared" si="164"/>
        <v>54.87176918107798</v>
      </c>
      <c r="AL192" s="20">
        <f t="shared" si="165"/>
        <v>484.80575132371092</v>
      </c>
      <c r="AM192" s="59">
        <f t="shared" si="113"/>
        <v>774.78338997071478</v>
      </c>
      <c r="AN192" s="59">
        <f ca="1">AVERAGE(OFFSET($AM$3,0,0,'Données projet'!$E$10+1,1))-AVERAGE(OFFSET($H$3,0,0,'Données projet'!$E$10+1,1))</f>
        <v>312.51355033343896</v>
      </c>
      <c r="AO192" s="59">
        <f t="shared" si="144"/>
        <v>442.54749157177571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2.5988954294759472E-2</v>
      </c>
      <c r="AV192" s="21">
        <f>EXP(-LN(2)/25)*AV191+(1-EXP(-LN(2)/25))/(LN(2)/25)*Calculateur!AQ192*Calculateur!AS192*VLOOKUP('Données projet'!$B$10,Paramètres!$A$1:$I$89,3,0)*0.475*44/12</f>
        <v>5.2218971384203221E-2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7.8207925678962689E-2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5">
      <c r="A193" s="10">
        <f t="shared" si="161"/>
        <v>190</v>
      </c>
      <c r="B193" s="73">
        <f>'Scénario référence'!$B$16*5+'Scénario référence'!$B$17*0+'Scénario référence'!$B$18*5</f>
        <v>5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1">
        <f t="shared" si="140"/>
        <v>0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3" s="11">
        <f>IF(OR('Scénario référence'!$F$8&gt;0,'Scénario référence'!$F$9&gt;0),('Scénario référence'!$F$8+'Scénario référence'!$F$9)*10,0)</f>
        <v>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67">
        <f t="shared" si="110"/>
        <v>183.33333333333334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112.82287576550925</v>
      </c>
      <c r="T193" s="59">
        <f t="shared" si="142"/>
        <v>317.78570695363294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2.0749030242777944</v>
      </c>
      <c r="AA193" s="21">
        <f>EXP(-LN(2)/25)*AA192+(1-EXP(-LN(2)/25))/(LN(2)/25)*Calculateur!V193*Calculateur!X193*VLOOKUP('Données projet'!$B$9,Paramètres!$A$1:$I$89,3,0)*0.475*44/12</f>
        <v>0.11519122248054993</v>
      </c>
      <c r="AB193" s="21">
        <f>EXP(-LN(2)/2)*AB192+(1-EXP(-LN(2)/2))/(LN(2)/2)*V193*Y193*VLOOKUP('Données projet'!$B$9,Paramètres!$A$1:$I$89,3,0)*0.475*44/12</f>
        <v>4.7385232613080132E-25</v>
      </c>
      <c r="AC193" s="22">
        <f t="shared" si="163"/>
        <v>2.1900942467583442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247.00000000000017</v>
      </c>
      <c r="AJ193" s="13">
        <f>AI193*VLOOKUP('Données projet'!$B$10,Paramètres!$A$1:$I$89,3,0)*VLOOKUP('Données projet'!$B$10,Paramètres!$A$1:$I$89,5,0)</f>
        <v>223.48560000000012</v>
      </c>
      <c r="AK193" s="13">
        <f t="shared" si="164"/>
        <v>54.87176918107798</v>
      </c>
      <c r="AL193" s="20">
        <f t="shared" si="165"/>
        <v>484.80575132371092</v>
      </c>
      <c r="AM193" s="59">
        <f t="shared" si="113"/>
        <v>774.8416037713132</v>
      </c>
      <c r="AN193" s="59">
        <f ca="1">AVERAGE(OFFSET($AM$3,0,0,'Données projet'!$E$10+1,1))-AVERAGE(OFFSET($H$3,0,0,'Données projet'!$E$10+1,1))</f>
        <v>312.51355033343896</v>
      </c>
      <c r="AO193" s="59">
        <f t="shared" si="144"/>
        <v>442.54749157177571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2.5479326752736134E-2</v>
      </c>
      <c r="AV193" s="21">
        <f>EXP(-LN(2)/25)*AV192+(1-EXP(-LN(2)/25))/(LN(2)/25)*Calculateur!AQ193*Calculateur!AS193*VLOOKUP('Données projet'!$B$10,Paramètres!$A$1:$I$89,3,0)*0.475*44/12</f>
        <v>5.0791040865625824E-2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7.6270367618361951E-2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5">
      <c r="A194" s="10">
        <f t="shared" si="161"/>
        <v>191</v>
      </c>
      <c r="B194" s="73">
        <f>'Scénario référence'!$B$16*5+'Scénario référence'!$B$17*0+'Scénario référence'!$B$18*5</f>
        <v>5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1">
        <f t="shared" si="140"/>
        <v>0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4" s="11">
        <f>IF(OR('Scénario référence'!$F$8&gt;0,'Scénario référence'!$F$9&gt;0),('Scénario référence'!$F$8+'Scénario référence'!$F$9)*10,0)</f>
        <v>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67">
        <f t="shared" si="110"/>
        <v>183.33333333333334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112.82287576550925</v>
      </c>
      <c r="T194" s="59">
        <f t="shared" si="142"/>
        <v>317.78570695363294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2.0342154415375875</v>
      </c>
      <c r="AA194" s="21">
        <f>EXP(-LN(2)/25)*AA193+(1-EXP(-LN(2)/25))/(LN(2)/25)*Calculateur!V194*Calculateur!X194*VLOOKUP('Données projet'!$B$9,Paramètres!$A$1:$I$89,3,0)*0.475*44/12</f>
        <v>0.11204131244417617</v>
      </c>
      <c r="AB194" s="21">
        <f>EXP(-LN(2)/2)*AB193+(1-EXP(-LN(2)/2))/(LN(2)/2)*V194*Y194*VLOOKUP('Données projet'!$B$9,Paramètres!$A$1:$I$89,3,0)*0.475*44/12</f>
        <v>3.3506419308810909E-25</v>
      </c>
      <c r="AC194" s="22">
        <f t="shared" si="163"/>
        <v>2.1462567539817639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247.00000000000017</v>
      </c>
      <c r="AJ194" s="13">
        <f>AI194*VLOOKUP('Données projet'!$B$10,Paramètres!$A$1:$I$89,3,0)*VLOOKUP('Données projet'!$B$10,Paramètres!$A$1:$I$89,5,0)</f>
        <v>223.48560000000012</v>
      </c>
      <c r="AK194" s="13">
        <f t="shared" si="164"/>
        <v>54.87176918107798</v>
      </c>
      <c r="AL194" s="20">
        <f t="shared" si="165"/>
        <v>484.80575132371092</v>
      </c>
      <c r="AM194" s="59">
        <f t="shared" si="113"/>
        <v>774.89880769261777</v>
      </c>
      <c r="AN194" s="59">
        <f ca="1">AVERAGE(OFFSET($AM$3,0,0,'Données projet'!$E$10+1,1))-AVERAGE(OFFSET($H$3,0,0,'Données projet'!$E$10+1,1))</f>
        <v>312.51355033343896</v>
      </c>
      <c r="AO194" s="59">
        <f t="shared" si="144"/>
        <v>442.54749157177571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2.4979692695969766E-2</v>
      </c>
      <c r="AV194" s="21">
        <f>EXP(-LN(2)/25)*AV193+(1-EXP(-LN(2)/25))/(LN(2)/25)*Calculateur!AQ194*Calculateur!AS194*VLOOKUP('Données projet'!$B$10,Paramètres!$A$1:$I$89,3,0)*0.475*44/12</f>
        <v>4.9402157182170531E-2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7.4381849878140296E-2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5">
      <c r="A195" s="10">
        <f t="shared" si="161"/>
        <v>192</v>
      </c>
      <c r="B195" s="73">
        <f>'Scénario référence'!$B$16*5+'Scénario référence'!$B$17*0+'Scénario référence'!$B$18*5</f>
        <v>5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1">
        <f t="shared" si="140"/>
        <v>0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5" s="11">
        <f>IF(OR('Scénario référence'!$F$8&gt;0,'Scénario référence'!$F$9&gt;0),('Scénario référence'!$F$8+'Scénario référence'!$F$9)*10,0)</f>
        <v>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67">
        <f t="shared" si="110"/>
        <v>183.33333333333334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112.82287576550925</v>
      </c>
      <c r="T195" s="59">
        <f t="shared" si="142"/>
        <v>317.78570695363294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1.994325717477941</v>
      </c>
      <c r="AA195" s="21">
        <f>EXP(-LN(2)/25)*AA194+(1-EXP(-LN(2)/25))/(LN(2)/25)*Calculateur!V195*Calculateur!X195*VLOOKUP('Données projet'!$B$9,Paramètres!$A$1:$I$89,3,0)*0.475*44/12</f>
        <v>0.10897753686339362</v>
      </c>
      <c r="AB195" s="21">
        <f>EXP(-LN(2)/2)*AB194+(1-EXP(-LN(2)/2))/(LN(2)/2)*V195*Y195*VLOOKUP('Données projet'!$B$9,Paramètres!$A$1:$I$89,3,0)*0.475*44/12</f>
        <v>2.3692616306540066E-25</v>
      </c>
      <c r="AC195" s="22">
        <f t="shared" si="163"/>
        <v>2.1033032543413346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247.00000000000017</v>
      </c>
      <c r="AJ195" s="13">
        <f>AI195*VLOOKUP('Données projet'!$B$10,Paramètres!$A$1:$I$89,3,0)*VLOOKUP('Données projet'!$B$10,Paramètres!$A$1:$I$89,5,0)</f>
        <v>223.48560000000012</v>
      </c>
      <c r="AK195" s="13">
        <f t="shared" si="164"/>
        <v>54.87176918107798</v>
      </c>
      <c r="AL195" s="20">
        <f t="shared" si="165"/>
        <v>484.80575132371092</v>
      </c>
      <c r="AM195" s="59">
        <f t="shared" si="113"/>
        <v>774.95501925377653</v>
      </c>
      <c r="AN195" s="59">
        <f ca="1">AVERAGE(OFFSET($AM$3,0,0,'Données projet'!$E$10+1,1))-AVERAGE(OFFSET($H$3,0,0,'Données projet'!$E$10+1,1))</f>
        <v>312.51355033343896</v>
      </c>
      <c r="AO195" s="59">
        <f t="shared" si="144"/>
        <v>442.54749157177571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2.4489856158309901E-2</v>
      </c>
      <c r="AV195" s="21">
        <f>EXP(-LN(2)/25)*AV194+(1-EXP(-LN(2)/25))/(LN(2)/25)*Calculateur!AQ195*Calculateur!AS195*VLOOKUP('Données projet'!$B$10,Paramètres!$A$1:$I$89,3,0)*0.475*44/12</f>
        <v>4.8051252596077544E-2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7.2541108754387448E-2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5">
      <c r="A196" s="10">
        <f t="shared" si="161"/>
        <v>193</v>
      </c>
      <c r="B196" s="73">
        <f>'Scénario référence'!$B$16*5+'Scénario référence'!$B$17*0+'Scénario référence'!$B$18*5</f>
        <v>5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1">
        <f t="shared" si="140"/>
        <v>0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6" s="11">
        <f>IF(OR('Scénario référence'!$F$8&gt;0,'Scénario référence'!$F$9&gt;0),('Scénario référence'!$F$8+'Scénario référence'!$F$9)*10,0)</f>
        <v>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67">
        <f t="shared" ref="H196:H203" si="192">(B196+E196+F196)*44/12+(C196+D196)*0.475*44/12</f>
        <v>183.33333333333334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112.82287576550925</v>
      </c>
      <c r="T196" s="59">
        <f t="shared" si="142"/>
        <v>317.78570695363294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1.9552182065767749</v>
      </c>
      <c r="AA196" s="21">
        <f>EXP(-LN(2)/25)*AA195+(1-EXP(-LN(2)/25))/(LN(2)/25)*Calculateur!V196*Calculateur!X196*VLOOKUP('Données projet'!$B$9,Paramètres!$A$1:$I$89,3,0)*0.475*44/12</f>
        <v>0.10599754038698453</v>
      </c>
      <c r="AB196" s="21">
        <f>EXP(-LN(2)/2)*AB195+(1-EXP(-LN(2)/2))/(LN(2)/2)*V196*Y196*VLOOKUP('Données projet'!$B$9,Paramètres!$A$1:$I$89,3,0)*0.475*44/12</f>
        <v>1.6753209654405454E-25</v>
      </c>
      <c r="AC196" s="22">
        <f t="shared" si="163"/>
        <v>2.0612157469637595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247.00000000000017</v>
      </c>
      <c r="AJ196" s="13">
        <f>AI196*VLOOKUP('Données projet'!$B$10,Paramètres!$A$1:$I$89,3,0)*VLOOKUP('Données projet'!$B$10,Paramètres!$A$1:$I$89,5,0)</f>
        <v>223.48560000000012</v>
      </c>
      <c r="AK196" s="13">
        <f t="shared" si="164"/>
        <v>54.87176918107798</v>
      </c>
      <c r="AL196" s="20">
        <f t="shared" si="165"/>
        <v>484.80575132371092</v>
      </c>
      <c r="AM196" s="59">
        <f t="shared" ref="AM196:AM203" si="193">AL196+(AD196+AE196)*44/12</f>
        <v>775.01025567001943</v>
      </c>
      <c r="AN196" s="59">
        <f ca="1">AVERAGE(OFFSET($AM$3,0,0,'Données projet'!$E$10+1,1))-AVERAGE(OFFSET($H$3,0,0,'Données projet'!$E$10+1,1))</f>
        <v>312.51355033343896</v>
      </c>
      <c r="AO196" s="59">
        <f t="shared" si="144"/>
        <v>442.54749157177571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2.4009625016382759E-2</v>
      </c>
      <c r="AV196" s="21">
        <f>EXP(-LN(2)/25)*AV195+(1-EXP(-LN(2)/25))/(LN(2)/25)*Calculateur!AQ196*Calculateur!AS196*VLOOKUP('Données projet'!$B$10,Paramètres!$A$1:$I$89,3,0)*0.475*44/12</f>
        <v>4.6737288566932253E-2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7.0746913583315016E-2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5">
      <c r="A197" s="10">
        <f t="shared" si="161"/>
        <v>194</v>
      </c>
      <c r="B197" s="73">
        <f>'Scénario référence'!$B$16*5+'Scénario référence'!$B$17*0+'Scénario référence'!$B$18*5</f>
        <v>5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1">
        <f t="shared" ref="D197:D203" si="202">IFERROR(EXP(-1.0587+0.8836*LN(C197)+0.284),0)</f>
        <v>0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7" s="11">
        <f>IF(OR('Scénario référence'!$F$8&gt;0,'Scénario référence'!$F$9&gt;0),('Scénario référence'!$F$8+'Scénario référence'!$F$9)*10,0)</f>
        <v>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67">
        <f t="shared" si="192"/>
        <v>183.33333333333334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112.82287576550925</v>
      </c>
      <c r="T197" s="59">
        <f t="shared" ref="T197:T203" si="204">$T$3</f>
        <v>317.78570695363294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1.9168775701111542</v>
      </c>
      <c r="AA197" s="21">
        <f>EXP(-LN(2)/25)*AA196+(1-EXP(-LN(2)/25))/(LN(2)/25)*Calculateur!V197*Calculateur!X197*VLOOKUP('Données projet'!$B$9,Paramètres!$A$1:$I$89,3,0)*0.475*44/12</f>
        <v>0.10309903207093404</v>
      </c>
      <c r="AB197" s="21">
        <f>EXP(-LN(2)/2)*AB196+(1-EXP(-LN(2)/2))/(LN(2)/2)*V197*Y197*VLOOKUP('Données projet'!$B$9,Paramètres!$A$1:$I$89,3,0)*0.475*44/12</f>
        <v>1.1846308153270033E-25</v>
      </c>
      <c r="AC197" s="22">
        <f t="shared" si="163"/>
        <v>2.0199766021820884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247.00000000000017</v>
      </c>
      <c r="AJ197" s="13">
        <f>AI197*VLOOKUP('Données projet'!$B$10,Paramètres!$A$1:$I$89,3,0)*VLOOKUP('Données projet'!$B$10,Paramètres!$A$1:$I$89,5,0)</f>
        <v>223.48560000000012</v>
      </c>
      <c r="AK197" s="13">
        <f t="shared" si="164"/>
        <v>54.87176918107798</v>
      </c>
      <c r="AL197" s="20">
        <f t="shared" si="165"/>
        <v>484.80575132371092</v>
      </c>
      <c r="AM197" s="59">
        <f t="shared" si="193"/>
        <v>775.06453385793066</v>
      </c>
      <c r="AN197" s="59">
        <f ca="1">AVERAGE(OFFSET($AM$3,0,0,'Données projet'!$E$10+1,1))-AVERAGE(OFFSET($H$3,0,0,'Données projet'!$E$10+1,1))</f>
        <v>312.51355033343896</v>
      </c>
      <c r="AO197" s="59">
        <f t="shared" ref="AO197:AO203" si="205">$AO$3</f>
        <v>442.54749157177571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2.3538810914236735E-2</v>
      </c>
      <c r="AV197" s="21">
        <f>EXP(-LN(2)/25)*AV196+(1-EXP(-LN(2)/25))/(LN(2)/25)*Calculateur!AQ197*Calculateur!AS197*VLOOKUP('Données projet'!$B$10,Paramètres!$A$1:$I$89,3,0)*0.475*44/12</f>
        <v>4.5459254953262307E-2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6.8998065867499042E-2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5">
      <c r="A198" s="10">
        <f t="shared" si="161"/>
        <v>195</v>
      </c>
      <c r="B198" s="73">
        <f>'Scénario référence'!$B$16*5+'Scénario référence'!$B$17*0+'Scénario référence'!$B$18*5</f>
        <v>5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1">
        <f t="shared" si="202"/>
        <v>0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8" s="11">
        <f>IF(OR('Scénario référence'!$F$8&gt;0,'Scénario référence'!$F$9&gt;0),('Scénario référence'!$F$8+'Scénario référence'!$F$9)*10,0)</f>
        <v>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67">
        <f t="shared" si="192"/>
        <v>183.33333333333334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112.82287576550925</v>
      </c>
      <c r="T198" s="59">
        <f t="shared" si="204"/>
        <v>317.78570695363294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1.8792887701411454</v>
      </c>
      <c r="AA198" s="21">
        <f>EXP(-LN(2)/25)*AA197+(1-EXP(-LN(2)/25))/(LN(2)/25)*Calculateur!V198*Calculateur!X198*VLOOKUP('Données projet'!$B$9,Paramètres!$A$1:$I$89,3,0)*0.475*44/12</f>
        <v>0.10027978361721189</v>
      </c>
      <c r="AB198" s="21">
        <f>EXP(-LN(2)/2)*AB197+(1-EXP(-LN(2)/2))/(LN(2)/2)*V198*Y198*VLOOKUP('Données projet'!$B$9,Paramètres!$A$1:$I$89,3,0)*0.475*44/12</f>
        <v>8.3766048272027271E-26</v>
      </c>
      <c r="AC198" s="22">
        <f t="shared" si="163"/>
        <v>1.9795685537583572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247.00000000000017</v>
      </c>
      <c r="AJ198" s="13">
        <f>AI198*VLOOKUP('Données projet'!$B$10,Paramètres!$A$1:$I$89,3,0)*VLOOKUP('Données projet'!$B$10,Paramètres!$A$1:$I$89,5,0)</f>
        <v>223.48560000000012</v>
      </c>
      <c r="AK198" s="13">
        <f t="shared" si="164"/>
        <v>54.87176918107798</v>
      </c>
      <c r="AL198" s="20">
        <f t="shared" si="165"/>
        <v>484.80575132371092</v>
      </c>
      <c r="AM198" s="59">
        <f t="shared" si="193"/>
        <v>775.11787044062942</v>
      </c>
      <c r="AN198" s="59">
        <f ca="1">AVERAGE(OFFSET($AM$3,0,0,'Données projet'!$E$10+1,1))-AVERAGE(OFFSET($H$3,0,0,'Données projet'!$E$10+1,1))</f>
        <v>312.51355033343896</v>
      </c>
      <c r="AO198" s="59">
        <f t="shared" si="205"/>
        <v>442.54749157177571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2.3077229189465549E-2</v>
      </c>
      <c r="AV198" s="21">
        <f>EXP(-LN(2)/25)*AV197+(1-EXP(-LN(2)/25))/(LN(2)/25)*Calculateur!AQ198*Calculateur!AS198*VLOOKUP('Données projet'!$B$10,Paramètres!$A$1:$I$89,3,0)*0.475*44/12</f>
        <v>4.421616923596703E-2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6.7293398425432582E-2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5">
      <c r="A199" s="10">
        <f t="shared" si="161"/>
        <v>196</v>
      </c>
      <c r="B199" s="73">
        <f>'Scénario référence'!$B$16*5+'Scénario référence'!$B$17*0+'Scénario référence'!$B$18*5</f>
        <v>5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1">
        <f t="shared" si="202"/>
        <v>0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9" s="11">
        <f>IF(OR('Scénario référence'!$F$8&gt;0,'Scénario référence'!$F$9&gt;0),('Scénario référence'!$F$8+'Scénario référence'!$F$9)*10,0)</f>
        <v>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67">
        <f t="shared" si="192"/>
        <v>183.33333333333334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112.82287576550925</v>
      </c>
      <c r="T199" s="59">
        <f t="shared" si="204"/>
        <v>317.78570695363294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1.8424370636116443</v>
      </c>
      <c r="AA199" s="21">
        <f>EXP(-LN(2)/25)*AA198+(1-EXP(-LN(2)/25))/(LN(2)/25)*Calculateur!V199*Calculateur!X199*VLOOKUP('Données projet'!$B$9,Paramètres!$A$1:$I$89,3,0)*0.475*44/12</f>
        <v>9.753762766071461E-2</v>
      </c>
      <c r="AB199" s="21">
        <f>EXP(-LN(2)/2)*AB198+(1-EXP(-LN(2)/2))/(LN(2)/2)*V199*Y199*VLOOKUP('Données projet'!$B$9,Paramètres!$A$1:$I$89,3,0)*0.475*44/12</f>
        <v>5.9231540766350165E-26</v>
      </c>
      <c r="AC199" s="22">
        <f t="shared" si="163"/>
        <v>1.9399746912723588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247.00000000000017</v>
      </c>
      <c r="AJ199" s="13">
        <f>AI199*VLOOKUP('Données projet'!$B$10,Paramètres!$A$1:$I$89,3,0)*VLOOKUP('Données projet'!$B$10,Paramètres!$A$1:$I$89,5,0)</f>
        <v>223.48560000000012</v>
      </c>
      <c r="AK199" s="13">
        <f t="shared" si="164"/>
        <v>54.87176918107798</v>
      </c>
      <c r="AL199" s="20">
        <f t="shared" si="165"/>
        <v>484.80575132371092</v>
      </c>
      <c r="AM199" s="59">
        <f t="shared" si="193"/>
        <v>775.17028175286111</v>
      </c>
      <c r="AN199" s="59">
        <f ca="1">AVERAGE(OFFSET($AM$3,0,0,'Données projet'!$E$10+1,1))-AVERAGE(OFFSET($H$3,0,0,'Données projet'!$E$10+1,1))</f>
        <v>312.51355033343896</v>
      </c>
      <c r="AO199" s="59">
        <f t="shared" si="205"/>
        <v>442.54749157177571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2.2624698800780073E-2</v>
      </c>
      <c r="AV199" s="21">
        <f>EXP(-LN(2)/25)*AV198+(1-EXP(-LN(2)/25))/(LN(2)/25)*Calculateur!AQ199*Calculateur!AS199*VLOOKUP('Données projet'!$B$10,Paramètres!$A$1:$I$89,3,0)*0.475*44/12</f>
        <v>4.3007075762982232E-2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6.5631774563762305E-2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5">
      <c r="A200" s="10">
        <f t="shared" si="161"/>
        <v>197</v>
      </c>
      <c r="B200" s="73">
        <f>'Scénario référence'!$B$16*5+'Scénario référence'!$B$17*0+'Scénario référence'!$B$18*5</f>
        <v>5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1">
        <f t="shared" si="202"/>
        <v>0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0" s="11">
        <f>IF(OR('Scénario référence'!$F$8&gt;0,'Scénario référence'!$F$9&gt;0),('Scénario référence'!$F$8+'Scénario référence'!$F$9)*10,0)</f>
        <v>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67">
        <f t="shared" si="192"/>
        <v>183.33333333333334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112.82287576550925</v>
      </c>
      <c r="T200" s="59">
        <f t="shared" si="204"/>
        <v>317.78570695363294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1.8063079965698652</v>
      </c>
      <c r="AA200" s="21">
        <f>EXP(-LN(2)/25)*AA199+(1-EXP(-LN(2)/25))/(LN(2)/25)*Calculateur!V200*Calculateur!X200*VLOOKUP('Données projet'!$B$9,Paramètres!$A$1:$I$89,3,0)*0.475*44/12</f>
        <v>9.4870456103051462E-2</v>
      </c>
      <c r="AB200" s="21">
        <f>EXP(-LN(2)/2)*AB199+(1-EXP(-LN(2)/2))/(LN(2)/2)*V200*Y200*VLOOKUP('Données projet'!$B$9,Paramètres!$A$1:$I$89,3,0)*0.475*44/12</f>
        <v>4.1883024136013636E-26</v>
      </c>
      <c r="AC200" s="22">
        <f t="shared" si="163"/>
        <v>1.9011784526729167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247.00000000000017</v>
      </c>
      <c r="AJ200" s="13">
        <f>AI200*VLOOKUP('Données projet'!$B$10,Paramètres!$A$1:$I$89,3,0)*VLOOKUP('Données projet'!$B$10,Paramètres!$A$1:$I$89,5,0)</f>
        <v>223.48560000000012</v>
      </c>
      <c r="AK200" s="13">
        <f t="shared" si="164"/>
        <v>54.87176918107798</v>
      </c>
      <c r="AL200" s="20">
        <f t="shared" si="165"/>
        <v>484.80575132371092</v>
      </c>
      <c r="AM200" s="59">
        <f t="shared" si="193"/>
        <v>775.22178384599965</v>
      </c>
      <c r="AN200" s="59">
        <f ca="1">AVERAGE(OFFSET($AM$3,0,0,'Données projet'!$E$10+1,1))-AVERAGE(OFFSET($H$3,0,0,'Données projet'!$E$10+1,1))</f>
        <v>312.51355033343896</v>
      </c>
      <c r="AO200" s="59">
        <f t="shared" si="205"/>
        <v>442.54749157177571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2.2181042257000436E-2</v>
      </c>
      <c r="AV200" s="21">
        <f>EXP(-LN(2)/25)*AV199+(1-EXP(-LN(2)/25))/(LN(2)/25)*Calculateur!AQ200*Calculateur!AS200*VLOOKUP('Données projet'!$B$10,Paramètres!$A$1:$I$89,3,0)*0.475*44/12</f>
        <v>4.1831045014599659E-2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6.4012087271600099E-2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5">
      <c r="A201" s="10">
        <f>A200+1</f>
        <v>198</v>
      </c>
      <c r="B201" s="73">
        <f>'Scénario référence'!$B$16*5+'Scénario référence'!$B$17*0+'Scénario référence'!$B$18*5</f>
        <v>5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1">
        <f t="shared" si="202"/>
        <v>0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1" s="11">
        <f>IF(OR('Scénario référence'!$F$8&gt;0,'Scénario référence'!$F$9&gt;0),('Scénario référence'!$F$8+'Scénario référence'!$F$9)*10,0)</f>
        <v>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67">
        <f t="shared" si="192"/>
        <v>183.33333333333334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112.82287576550925</v>
      </c>
      <c r="T201" s="59">
        <f t="shared" si="204"/>
        <v>317.78570695363294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1.7708873984962203</v>
      </c>
      <c r="AA201" s="21">
        <f>EXP(-LN(2)/25)*AA200+(1-EXP(-LN(2)/25))/(LN(2)/25)*Calculateur!V201*Calculateur!X201*VLOOKUP('Données projet'!$B$9,Paramètres!$A$1:$I$89,3,0)*0.475*44/12</f>
        <v>9.2276218491893061E-2</v>
      </c>
      <c r="AB201" s="21">
        <f>EXP(-LN(2)/2)*AB200+(1-EXP(-LN(2)/2))/(LN(2)/2)*V201*Y201*VLOOKUP('Données projet'!$B$9,Paramètres!$A$1:$I$89,3,0)*0.475*44/12</f>
        <v>2.9615770383175082E-26</v>
      </c>
      <c r="AC201" s="22">
        <f t="shared" si="163"/>
        <v>1.8631636169881134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247.00000000000017</v>
      </c>
      <c r="AJ201" s="13">
        <f>AI201*VLOOKUP('Données projet'!$B$10,Paramètres!$A$1:$I$89,3,0)*VLOOKUP('Données projet'!$B$10,Paramètres!$A$1:$I$89,5,0)</f>
        <v>223.48560000000012</v>
      </c>
      <c r="AK201" s="13">
        <f t="shared" si="164"/>
        <v>54.87176918107798</v>
      </c>
      <c r="AL201" s="20">
        <f t="shared" si="165"/>
        <v>484.80575132371092</v>
      </c>
      <c r="AM201" s="59">
        <f t="shared" si="193"/>
        <v>775.27239249296383</v>
      </c>
      <c r="AN201" s="59">
        <f ca="1">AVERAGE(OFFSET($AM$3,0,0,'Données projet'!$E$10+1,1))-AVERAGE(OFFSET($H$3,0,0,'Données projet'!$E$10+1,1))</f>
        <v>312.51355033343896</v>
      </c>
      <c r="AO201" s="59">
        <f t="shared" si="205"/>
        <v>442.54749157177571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2.1746085547440546E-2</v>
      </c>
      <c r="AV201" s="21">
        <f>EXP(-LN(2)/25)*AV200+(1-EXP(-LN(2)/25))/(LN(2)/25)*Calculateur!AQ201*Calculateur!AS201*VLOOKUP('Données projet'!$B$10,Paramètres!$A$1:$I$89,3,0)*0.475*44/12</f>
        <v>4.0687172888876383E-2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6.2433258436316932E-2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5">
      <c r="A202" s="10">
        <f t="shared" si="161"/>
        <v>199</v>
      </c>
      <c r="B202" s="73">
        <f>'Scénario référence'!$B$16*5+'Scénario référence'!$B$17*0+'Scénario référence'!$B$18*5</f>
        <v>5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1">
        <f t="shared" si="202"/>
        <v>0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2" s="11">
        <f>IF(OR('Scénario référence'!$F$8&gt;0,'Scénario référence'!$F$9&gt;0),('Scénario référence'!$F$8+'Scénario référence'!$F$9)*10,0)</f>
        <v>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67">
        <f t="shared" si="192"/>
        <v>183.33333333333334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112.82287576550925</v>
      </c>
      <c r="T202" s="59">
        <f t="shared" si="204"/>
        <v>317.78570695363294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1.7361613767463682</v>
      </c>
      <c r="AA202" s="21">
        <f>EXP(-LN(2)/25)*AA201+(1-EXP(-LN(2)/25))/(LN(2)/25)*Calculateur!V202*Calculateur!X202*VLOOKUP('Données projet'!$B$9,Paramètres!$A$1:$I$89,3,0)*0.475*44/12</f>
        <v>8.9752920444636813E-2</v>
      </c>
      <c r="AB202" s="21">
        <f>EXP(-LN(2)/2)*AB201+(1-EXP(-LN(2)/2))/(LN(2)/2)*V202*Y202*VLOOKUP('Données projet'!$B$9,Paramètres!$A$1:$I$89,3,0)*0.475*44/12</f>
        <v>2.0941512068006818E-26</v>
      </c>
      <c r="AC202" s="22">
        <f t="shared" si="163"/>
        <v>1.825914297191005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247.00000000000017</v>
      </c>
      <c r="AJ202" s="13">
        <f>AI202*VLOOKUP('Données projet'!$B$10,Paramètres!$A$1:$I$89,3,0)*VLOOKUP('Données projet'!$B$10,Paramètres!$A$1:$I$89,5,0)</f>
        <v>223.48560000000012</v>
      </c>
      <c r="AK202" s="13">
        <f t="shared" si="164"/>
        <v>54.87176918107798</v>
      </c>
      <c r="AL202" s="20">
        <f t="shared" si="165"/>
        <v>484.80575132371092</v>
      </c>
      <c r="AM202" s="59">
        <f t="shared" si="193"/>
        <v>775.32212319304699</v>
      </c>
      <c r="AN202" s="59">
        <f ca="1">AVERAGE(OFFSET($AM$3,0,0,'Données projet'!$E$10+1,1))-AVERAGE(OFFSET($H$3,0,0,'Données projet'!$E$10+1,1))</f>
        <v>312.51355033343896</v>
      </c>
      <c r="AO202" s="59">
        <f t="shared" si="205"/>
        <v>442.54749157177571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2.1319658073657727E-2</v>
      </c>
      <c r="AV202" s="21">
        <f>EXP(-LN(2)/25)*AV201+(1-EXP(-LN(2)/25))/(LN(2)/25)*Calculateur!AQ202*Calculateur!AS202*VLOOKUP('Données projet'!$B$10,Paramètres!$A$1:$I$89,3,0)*0.475*44/12</f>
        <v>3.9574580006584627E-2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6.0894238080242358E-2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4">
      <c r="A203" s="10">
        <f>A202+1</f>
        <v>200</v>
      </c>
      <c r="B203" s="73">
        <f>'Scénario référence'!$B$16*5+'Scénario référence'!$B$17*0+'Scénario référence'!$B$18*5</f>
        <v>5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1">
        <f t="shared" si="202"/>
        <v>0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3" s="11">
        <f>IF(OR('Scénario référence'!$F$8&gt;0,'Scénario référence'!$F$9&gt;0),('Scénario référence'!$F$8+'Scénario référence'!$F$9)*10,0)</f>
        <v>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67">
        <f t="shared" si="192"/>
        <v>183.33333333333334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112.82287576550925</v>
      </c>
      <c r="T203" s="59">
        <f t="shared" si="204"/>
        <v>317.78570695363294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1.7021163111022486</v>
      </c>
      <c r="AA203" s="21">
        <f>EXP(-LN(2)/25)*AA202+(1-EXP(-LN(2)/25))/(LN(2)/25)*Calculateur!V203*Calculateur!X203*VLOOKUP('Données projet'!$B$9,Paramètres!$A$1:$I$89,3,0)*0.475*44/12</f>
        <v>8.7298622115177263E-2</v>
      </c>
      <c r="AB203" s="21">
        <f>EXP(-LN(2)/2)*AB202+(1-EXP(-LN(2)/2))/(LN(2)/2)*V203*Y203*VLOOKUP('Données projet'!$B$9,Paramètres!$A$1:$I$89,3,0)*0.475*44/12</f>
        <v>1.4807885191587541E-26</v>
      </c>
      <c r="AC203" s="22">
        <f t="shared" si="163"/>
        <v>1.7894149332174258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247.00000000000017</v>
      </c>
      <c r="AJ203" s="13">
        <f>AI203*VLOOKUP('Données projet'!$B$10,Paramètres!$A$1:$I$89,3,0)*VLOOKUP('Données projet'!$B$10,Paramètres!$A$1:$I$89,5,0)</f>
        <v>223.48560000000012</v>
      </c>
      <c r="AK203" s="13">
        <f t="shared" si="164"/>
        <v>54.87176918107798</v>
      </c>
      <c r="AL203" s="20">
        <f t="shared" si="165"/>
        <v>484.80575132371092</v>
      </c>
      <c r="AM203" s="59">
        <f t="shared" si="193"/>
        <v>775.37099117666503</v>
      </c>
      <c r="AN203" s="59">
        <f ca="1">AVERAGE(OFFSET($AM$3,0,0,'Données projet'!$E$10+1,1))-AVERAGE(OFFSET($H$3,0,0,'Données projet'!$E$10+1,1))</f>
        <v>312.51355033343896</v>
      </c>
      <c r="AO203" s="59">
        <f t="shared" si="205"/>
        <v>442.54749157177571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2.0901592582540714E-2</v>
      </c>
      <c r="AV203" s="21">
        <f>EXP(-LN(2)/25)*AV202+(1-EXP(-LN(2)/25))/(LN(2)/25)*Calculateur!AQ203*Calculateur!AS203*VLOOKUP('Données projet'!$B$10,Paramètres!$A$1:$I$89,3,0)*0.475*44/12</f>
        <v>3.8492411035167859E-2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5.9394003617708573E-2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4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97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97</v>
      </c>
      <c r="BA204" s="81" t="s">
        <v>97</v>
      </c>
      <c r="BV204" s="81" t="s">
        <v>97</v>
      </c>
      <c r="CQ204" s="81" t="s">
        <v>97</v>
      </c>
      <c r="DL204" s="81" t="s">
        <v>97</v>
      </c>
      <c r="EG204" s="81" t="s">
        <v>97</v>
      </c>
      <c r="FB204" s="81" t="s">
        <v>97</v>
      </c>
      <c r="FW204" s="81" t="s">
        <v>97</v>
      </c>
      <c r="GR204" s="81" t="s">
        <v>97</v>
      </c>
    </row>
    <row r="205" spans="1:218" ht="15" thickBot="1" x14ac:dyDescent="0.4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0.42937043954955023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1.9472943612303364</v>
      </c>
      <c r="BA205" s="82" t="e">
        <f>EXP(LN('Données projet'!B88)/'Données projet'!A88)</f>
        <v>#NUM!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72656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7265625" style="4" bestFit="1" customWidth="1"/>
    <col min="7" max="7" width="11.453125" style="4" bestFit="1" customWidth="1"/>
    <col min="8" max="8" width="39" style="4" bestFit="1" customWidth="1"/>
    <col min="9" max="9" width="16.7265625" style="4" customWidth="1"/>
    <col min="10" max="14" width="11.453125" style="4"/>
    <col min="15" max="15" width="23.453125" style="4" bestFit="1" customWidth="1"/>
    <col min="16" max="16384" width="11.453125" style="4"/>
  </cols>
  <sheetData>
    <row r="1" spans="1:16" ht="44" thickBot="1" x14ac:dyDescent="0.4">
      <c r="A1" s="111" t="s">
        <v>98</v>
      </c>
      <c r="B1" s="112" t="s">
        <v>99</v>
      </c>
      <c r="C1" s="113" t="s">
        <v>100</v>
      </c>
      <c r="D1" s="112" t="s">
        <v>101</v>
      </c>
      <c r="E1" s="113" t="s">
        <v>102</v>
      </c>
      <c r="F1" s="113" t="s">
        <v>101</v>
      </c>
      <c r="G1" s="113" t="s">
        <v>103</v>
      </c>
      <c r="H1" s="113" t="s">
        <v>101</v>
      </c>
      <c r="I1" s="114" t="s">
        <v>104</v>
      </c>
      <c r="J1" s="78"/>
      <c r="K1" s="78"/>
      <c r="L1" s="78"/>
      <c r="M1" s="78"/>
      <c r="N1" s="78"/>
    </row>
    <row r="2" spans="1:16" x14ac:dyDescent="0.35">
      <c r="A2" s="115" t="s">
        <v>105</v>
      </c>
      <c r="B2" s="116" t="s">
        <v>106</v>
      </c>
      <c r="C2" s="117">
        <v>0.62</v>
      </c>
      <c r="D2" s="117" t="s">
        <v>107</v>
      </c>
      <c r="E2" s="117">
        <v>1.56</v>
      </c>
      <c r="F2" s="117" t="s">
        <v>108</v>
      </c>
      <c r="G2" s="118">
        <v>0.43</v>
      </c>
      <c r="H2" s="119" t="s">
        <v>109</v>
      </c>
      <c r="I2" s="120">
        <v>0.25</v>
      </c>
      <c r="J2" s="78"/>
      <c r="K2" s="78"/>
      <c r="L2" s="78"/>
      <c r="M2" s="78"/>
      <c r="N2" s="78"/>
      <c r="O2" s="281" t="s">
        <v>110</v>
      </c>
      <c r="P2" s="121">
        <v>0</v>
      </c>
    </row>
    <row r="3" spans="1:16" ht="15" thickBot="1" x14ac:dyDescent="0.4">
      <c r="A3" s="122" t="s">
        <v>111</v>
      </c>
      <c r="B3" s="123" t="s">
        <v>112</v>
      </c>
      <c r="C3" s="124">
        <v>0.64</v>
      </c>
      <c r="D3" s="124" t="s">
        <v>107</v>
      </c>
      <c r="E3" s="124">
        <v>1.56</v>
      </c>
      <c r="F3" s="125" t="s">
        <v>108</v>
      </c>
      <c r="G3" s="126">
        <v>0.43</v>
      </c>
      <c r="H3" s="124" t="s">
        <v>109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" thickBot="1" x14ac:dyDescent="0.4">
      <c r="A4" s="122" t="s">
        <v>113</v>
      </c>
      <c r="B4" s="123" t="s">
        <v>114</v>
      </c>
      <c r="C4" s="124">
        <v>0.42</v>
      </c>
      <c r="D4" s="124" t="s">
        <v>107</v>
      </c>
      <c r="E4" s="124">
        <v>1.56</v>
      </c>
      <c r="F4" s="125" t="s">
        <v>108</v>
      </c>
      <c r="G4" s="126">
        <v>0.43</v>
      </c>
      <c r="H4" s="124" t="s">
        <v>109</v>
      </c>
      <c r="I4" s="127">
        <v>0.25</v>
      </c>
      <c r="J4" s="78"/>
      <c r="K4" s="78"/>
      <c r="L4" s="78"/>
      <c r="M4" s="78"/>
      <c r="N4" s="78"/>
    </row>
    <row r="5" spans="1:16" x14ac:dyDescent="0.35">
      <c r="A5" s="122" t="s">
        <v>115</v>
      </c>
      <c r="B5" s="123" t="s">
        <v>116</v>
      </c>
      <c r="C5" s="124">
        <v>0.42</v>
      </c>
      <c r="D5" s="124" t="s">
        <v>107</v>
      </c>
      <c r="E5" s="124">
        <v>1.56</v>
      </c>
      <c r="F5" s="125" t="s">
        <v>108</v>
      </c>
      <c r="G5" s="126">
        <v>0.43</v>
      </c>
      <c r="H5" s="124" t="s">
        <v>109</v>
      </c>
      <c r="I5" s="127">
        <v>0.25</v>
      </c>
      <c r="J5" s="78"/>
      <c r="K5" s="78"/>
      <c r="L5" s="78"/>
      <c r="M5" s="78"/>
      <c r="N5" s="78"/>
      <c r="O5" s="281" t="s">
        <v>117</v>
      </c>
      <c r="P5" s="121">
        <v>0</v>
      </c>
    </row>
    <row r="6" spans="1:16" x14ac:dyDescent="0.35">
      <c r="A6" s="122" t="s">
        <v>118</v>
      </c>
      <c r="B6" s="123" t="s">
        <v>119</v>
      </c>
      <c r="C6" s="124">
        <v>0.42</v>
      </c>
      <c r="D6" s="124" t="s">
        <v>107</v>
      </c>
      <c r="E6" s="124">
        <v>1.56</v>
      </c>
      <c r="F6" s="125" t="s">
        <v>108</v>
      </c>
      <c r="G6" s="126">
        <v>0.43</v>
      </c>
      <c r="H6" s="124" t="s">
        <v>109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35">
      <c r="A7" s="122" t="s">
        <v>120</v>
      </c>
      <c r="B7" s="123" t="s">
        <v>121</v>
      </c>
      <c r="C7" s="124">
        <v>0.52</v>
      </c>
      <c r="D7" s="124" t="s">
        <v>107</v>
      </c>
      <c r="E7" s="124">
        <v>1.56</v>
      </c>
      <c r="F7" s="125" t="s">
        <v>108</v>
      </c>
      <c r="G7" s="126">
        <v>0.43</v>
      </c>
      <c r="H7" s="124" t="s">
        <v>109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" thickBot="1" x14ac:dyDescent="0.4">
      <c r="A8" s="122" t="s">
        <v>122</v>
      </c>
      <c r="B8" s="123" t="s">
        <v>123</v>
      </c>
      <c r="C8" s="124">
        <v>0.36</v>
      </c>
      <c r="D8" s="124" t="s">
        <v>107</v>
      </c>
      <c r="E8" s="124">
        <v>1.3</v>
      </c>
      <c r="F8" s="125" t="s">
        <v>108</v>
      </c>
      <c r="G8" s="126">
        <v>0.55000000000000004</v>
      </c>
      <c r="H8" s="124" t="s">
        <v>124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" thickBot="1" x14ac:dyDescent="0.4">
      <c r="A9" s="122" t="s">
        <v>125</v>
      </c>
      <c r="B9" s="123" t="s">
        <v>126</v>
      </c>
      <c r="C9" s="124">
        <v>0.61</v>
      </c>
      <c r="D9" s="124" t="s">
        <v>107</v>
      </c>
      <c r="E9" s="124">
        <v>1.56</v>
      </c>
      <c r="F9" s="125" t="s">
        <v>108</v>
      </c>
      <c r="G9" s="126">
        <v>0.43</v>
      </c>
      <c r="H9" s="124" t="s">
        <v>109</v>
      </c>
      <c r="I9" s="127">
        <v>0.25</v>
      </c>
      <c r="J9" s="78"/>
      <c r="K9" s="78"/>
      <c r="L9" s="78"/>
      <c r="M9" s="78"/>
      <c r="N9" s="78"/>
    </row>
    <row r="10" spans="1:16" x14ac:dyDescent="0.35">
      <c r="A10" s="122" t="s">
        <v>127</v>
      </c>
      <c r="B10" s="123" t="s">
        <v>128</v>
      </c>
      <c r="C10" s="124">
        <v>0.66</v>
      </c>
      <c r="D10" s="124" t="s">
        <v>107</v>
      </c>
      <c r="E10" s="124">
        <v>1.56</v>
      </c>
      <c r="F10" s="125" t="s">
        <v>108</v>
      </c>
      <c r="G10" s="126">
        <v>0.43</v>
      </c>
      <c r="H10" s="124" t="s">
        <v>109</v>
      </c>
      <c r="I10" s="127">
        <v>0.25</v>
      </c>
      <c r="J10" s="78"/>
      <c r="K10" s="78"/>
      <c r="L10" s="78"/>
      <c r="M10" s="78"/>
      <c r="N10" s="78"/>
      <c r="O10" s="281" t="s">
        <v>129</v>
      </c>
      <c r="P10" s="121">
        <v>0</v>
      </c>
    </row>
    <row r="11" spans="1:16" ht="15" thickBot="1" x14ac:dyDescent="0.4">
      <c r="A11" s="122" t="s">
        <v>130</v>
      </c>
      <c r="B11" s="123" t="s">
        <v>131</v>
      </c>
      <c r="C11" s="124">
        <v>0.47</v>
      </c>
      <c r="D11" s="124" t="s">
        <v>107</v>
      </c>
      <c r="E11" s="124">
        <v>1.56</v>
      </c>
      <c r="F11" s="125" t="s">
        <v>108</v>
      </c>
      <c r="G11" s="126">
        <v>0.43</v>
      </c>
      <c r="H11" s="124" t="s">
        <v>109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35">
      <c r="A12" s="122" t="s">
        <v>132</v>
      </c>
      <c r="B12" s="123" t="s">
        <v>133</v>
      </c>
      <c r="C12" s="124">
        <v>0.67</v>
      </c>
      <c r="D12" s="124" t="s">
        <v>107</v>
      </c>
      <c r="E12" s="124">
        <v>1.56</v>
      </c>
      <c r="F12" s="125" t="s">
        <v>108</v>
      </c>
      <c r="G12" s="126">
        <v>0.43</v>
      </c>
      <c r="H12" s="124" t="s">
        <v>134</v>
      </c>
      <c r="I12" s="127">
        <v>0.25</v>
      </c>
      <c r="J12" s="78"/>
      <c r="K12" s="78"/>
      <c r="L12" s="78"/>
      <c r="M12" s="78"/>
      <c r="N12" s="78"/>
    </row>
    <row r="13" spans="1:16" x14ac:dyDescent="0.35">
      <c r="A13" s="122" t="s">
        <v>135</v>
      </c>
      <c r="B13" s="123" t="s">
        <v>136</v>
      </c>
      <c r="C13" s="124">
        <v>0.7</v>
      </c>
      <c r="D13" s="124" t="s">
        <v>107</v>
      </c>
      <c r="E13" s="124">
        <v>1.56</v>
      </c>
      <c r="F13" s="125" t="s">
        <v>108</v>
      </c>
      <c r="G13" s="126">
        <v>0.43</v>
      </c>
      <c r="H13" s="124" t="s">
        <v>134</v>
      </c>
      <c r="I13" s="127">
        <v>0.25</v>
      </c>
      <c r="J13" s="78"/>
      <c r="K13" s="78"/>
      <c r="L13" s="78"/>
      <c r="M13" s="78"/>
      <c r="N13" s="78"/>
    </row>
    <row r="14" spans="1:16" x14ac:dyDescent="0.35">
      <c r="A14" s="122" t="s">
        <v>137</v>
      </c>
      <c r="B14" s="123" t="s">
        <v>138</v>
      </c>
      <c r="C14" s="124">
        <v>0.54</v>
      </c>
      <c r="D14" s="124" t="s">
        <v>107</v>
      </c>
      <c r="E14" s="124">
        <v>1.56</v>
      </c>
      <c r="F14" s="125" t="s">
        <v>108</v>
      </c>
      <c r="G14" s="126">
        <v>0.43</v>
      </c>
      <c r="H14" s="124" t="s">
        <v>134</v>
      </c>
      <c r="I14" s="127">
        <v>0.25</v>
      </c>
      <c r="J14" s="78"/>
      <c r="K14" s="78"/>
      <c r="L14" s="78"/>
      <c r="M14" s="78"/>
      <c r="N14" s="78"/>
    </row>
    <row r="15" spans="1:16" x14ac:dyDescent="0.35">
      <c r="A15" s="122" t="s">
        <v>139</v>
      </c>
      <c r="B15" s="123" t="s">
        <v>140</v>
      </c>
      <c r="C15" s="124">
        <v>0.65</v>
      </c>
      <c r="D15" s="124" t="s">
        <v>107</v>
      </c>
      <c r="E15" s="124">
        <v>1.56</v>
      </c>
      <c r="F15" s="125" t="s">
        <v>108</v>
      </c>
      <c r="G15" s="126">
        <v>0.43</v>
      </c>
      <c r="H15" s="124" t="s">
        <v>134</v>
      </c>
      <c r="I15" s="127">
        <v>0.25</v>
      </c>
      <c r="J15" s="78"/>
      <c r="K15" s="78"/>
      <c r="L15" s="78"/>
      <c r="M15" s="78"/>
      <c r="N15" s="78"/>
    </row>
    <row r="16" spans="1:16" x14ac:dyDescent="0.35">
      <c r="A16" s="122" t="s">
        <v>141</v>
      </c>
      <c r="B16" s="123" t="s">
        <v>142</v>
      </c>
      <c r="C16" s="124">
        <v>0.56000000000000005</v>
      </c>
      <c r="D16" s="124" t="s">
        <v>107</v>
      </c>
      <c r="E16" s="124">
        <v>1.56</v>
      </c>
      <c r="F16" s="125" t="s">
        <v>108</v>
      </c>
      <c r="G16" s="126">
        <v>0.43</v>
      </c>
      <c r="H16" s="124" t="s">
        <v>134</v>
      </c>
      <c r="I16" s="127">
        <v>0.25</v>
      </c>
      <c r="J16" s="78"/>
      <c r="K16" s="78"/>
      <c r="L16" s="78"/>
      <c r="M16" s="78"/>
      <c r="N16" s="78"/>
    </row>
    <row r="17" spans="1:14" x14ac:dyDescent="0.35">
      <c r="A17" s="122" t="s">
        <v>143</v>
      </c>
      <c r="B17" s="123" t="s">
        <v>144</v>
      </c>
      <c r="C17" s="124">
        <v>0.57999999999999996</v>
      </c>
      <c r="D17" s="124" t="s">
        <v>107</v>
      </c>
      <c r="E17" s="124">
        <v>1.56</v>
      </c>
      <c r="F17" s="125" t="s">
        <v>108</v>
      </c>
      <c r="G17" s="126">
        <v>0.43</v>
      </c>
      <c r="H17" s="124" t="s">
        <v>134</v>
      </c>
      <c r="I17" s="127">
        <v>0.25</v>
      </c>
      <c r="J17" s="78"/>
      <c r="K17" s="78"/>
      <c r="L17" s="78"/>
      <c r="M17" s="78"/>
      <c r="N17" s="78"/>
    </row>
    <row r="18" spans="1:14" x14ac:dyDescent="0.35">
      <c r="A18" s="122" t="s">
        <v>145</v>
      </c>
      <c r="B18" s="123" t="s">
        <v>146</v>
      </c>
      <c r="C18" s="124">
        <v>0.64</v>
      </c>
      <c r="D18" s="124" t="s">
        <v>107</v>
      </c>
      <c r="E18" s="124">
        <v>1.56</v>
      </c>
      <c r="F18" s="125" t="s">
        <v>108</v>
      </c>
      <c r="G18" s="126">
        <v>0.43</v>
      </c>
      <c r="H18" s="124" t="s">
        <v>134</v>
      </c>
      <c r="I18" s="127">
        <v>0.25</v>
      </c>
      <c r="J18" s="78"/>
      <c r="K18" s="78"/>
      <c r="L18" s="78"/>
      <c r="M18" s="78"/>
      <c r="N18" s="78"/>
    </row>
    <row r="19" spans="1:14" x14ac:dyDescent="0.35">
      <c r="A19" s="122" t="s">
        <v>147</v>
      </c>
      <c r="B19" s="123" t="s">
        <v>148</v>
      </c>
      <c r="C19" s="124">
        <v>0.73</v>
      </c>
      <c r="D19" s="124" t="s">
        <v>107</v>
      </c>
      <c r="E19" s="124">
        <v>1.56</v>
      </c>
      <c r="F19" s="125" t="s">
        <v>108</v>
      </c>
      <c r="G19" s="126">
        <v>0.43</v>
      </c>
      <c r="H19" s="124" t="s">
        <v>134</v>
      </c>
      <c r="I19" s="127">
        <v>0.25</v>
      </c>
      <c r="J19" s="78"/>
      <c r="K19" s="78"/>
      <c r="L19" s="78"/>
      <c r="M19" s="78"/>
      <c r="N19" s="78"/>
    </row>
    <row r="20" spans="1:14" x14ac:dyDescent="0.35">
      <c r="A20" s="122" t="s">
        <v>149</v>
      </c>
      <c r="B20" s="123" t="s">
        <v>150</v>
      </c>
      <c r="C20" s="124">
        <v>0.69</v>
      </c>
      <c r="D20" s="124" t="s">
        <v>151</v>
      </c>
      <c r="E20" s="124">
        <v>1.56</v>
      </c>
      <c r="F20" s="125" t="s">
        <v>108</v>
      </c>
      <c r="G20" s="126">
        <v>0.43</v>
      </c>
      <c r="H20" s="124" t="s">
        <v>152</v>
      </c>
      <c r="I20" s="127">
        <v>0.25</v>
      </c>
      <c r="J20" s="78"/>
      <c r="K20" s="78"/>
      <c r="L20" s="78"/>
      <c r="M20" s="78"/>
      <c r="N20" s="78"/>
    </row>
    <row r="21" spans="1:14" x14ac:dyDescent="0.35">
      <c r="A21" s="122" t="s">
        <v>153</v>
      </c>
      <c r="B21" s="123" t="s">
        <v>154</v>
      </c>
      <c r="C21" s="124">
        <v>0.36</v>
      </c>
      <c r="D21" s="124" t="s">
        <v>107</v>
      </c>
      <c r="E21" s="124">
        <v>1.3</v>
      </c>
      <c r="F21" s="125" t="s">
        <v>108</v>
      </c>
      <c r="G21" s="126">
        <v>0.55000000000000004</v>
      </c>
      <c r="H21" s="124" t="s">
        <v>124</v>
      </c>
      <c r="I21" s="127">
        <v>0.43</v>
      </c>
      <c r="J21" s="78"/>
      <c r="K21" s="78"/>
      <c r="L21" s="78"/>
      <c r="M21" s="78"/>
      <c r="N21" s="78"/>
    </row>
    <row r="22" spans="1:14" x14ac:dyDescent="0.35">
      <c r="A22" s="122" t="s">
        <v>155</v>
      </c>
      <c r="B22" s="123" t="s">
        <v>156</v>
      </c>
      <c r="C22" s="124">
        <v>0.4</v>
      </c>
      <c r="D22" s="124" t="s">
        <v>107</v>
      </c>
      <c r="E22" s="124">
        <v>1.3</v>
      </c>
      <c r="F22" s="125" t="s">
        <v>108</v>
      </c>
      <c r="G22" s="126">
        <v>0.55000000000000004</v>
      </c>
      <c r="H22" s="124" t="s">
        <v>124</v>
      </c>
      <c r="I22" s="127">
        <v>0.43</v>
      </c>
      <c r="J22" s="78"/>
      <c r="K22" s="78"/>
      <c r="L22" s="78"/>
      <c r="M22" s="78"/>
      <c r="N22" s="78"/>
    </row>
    <row r="23" spans="1:14" x14ac:dyDescent="0.35">
      <c r="A23" s="122" t="s">
        <v>157</v>
      </c>
      <c r="B23" s="123" t="s">
        <v>158</v>
      </c>
      <c r="C23" s="124">
        <v>0.43</v>
      </c>
      <c r="D23" s="124" t="s">
        <v>107</v>
      </c>
      <c r="E23" s="124">
        <v>1.3</v>
      </c>
      <c r="F23" s="125" t="s">
        <v>108</v>
      </c>
      <c r="G23" s="126">
        <v>0.55000000000000004</v>
      </c>
      <c r="H23" s="124" t="s">
        <v>124</v>
      </c>
      <c r="I23" s="127">
        <v>0.43</v>
      </c>
      <c r="J23" s="78"/>
      <c r="K23" s="78"/>
      <c r="L23" s="78"/>
      <c r="M23" s="78"/>
      <c r="N23" s="78"/>
    </row>
    <row r="24" spans="1:14" x14ac:dyDescent="0.35">
      <c r="A24" s="122" t="s">
        <v>159</v>
      </c>
      <c r="B24" s="123" t="s">
        <v>160</v>
      </c>
      <c r="C24" s="124">
        <v>0.37</v>
      </c>
      <c r="D24" s="124" t="s">
        <v>107</v>
      </c>
      <c r="E24" s="124">
        <v>1.3</v>
      </c>
      <c r="F24" s="125" t="s">
        <v>108</v>
      </c>
      <c r="G24" s="126">
        <v>0.55000000000000004</v>
      </c>
      <c r="H24" s="124" t="s">
        <v>134</v>
      </c>
      <c r="I24" s="127">
        <v>0.43</v>
      </c>
      <c r="J24" s="78"/>
      <c r="K24" s="78"/>
      <c r="L24" s="78"/>
      <c r="M24" s="78"/>
      <c r="N24" s="78"/>
    </row>
    <row r="25" spans="1:14" x14ac:dyDescent="0.35">
      <c r="A25" s="122" t="s">
        <v>161</v>
      </c>
      <c r="B25" s="123" t="s">
        <v>162</v>
      </c>
      <c r="C25" s="124">
        <v>0.36</v>
      </c>
      <c r="D25" s="124" t="s">
        <v>107</v>
      </c>
      <c r="E25" s="124">
        <v>1.3</v>
      </c>
      <c r="F25" s="125" t="s">
        <v>108</v>
      </c>
      <c r="G25" s="126">
        <v>0.55000000000000004</v>
      </c>
      <c r="H25" s="124" t="s">
        <v>134</v>
      </c>
      <c r="I25" s="127">
        <v>0.43</v>
      </c>
      <c r="J25" s="78"/>
      <c r="K25" s="78"/>
      <c r="L25" s="78"/>
      <c r="M25" s="78"/>
      <c r="N25" s="78"/>
    </row>
    <row r="26" spans="1:14" x14ac:dyDescent="0.35">
      <c r="A26" s="122" t="s">
        <v>163</v>
      </c>
      <c r="B26" s="123" t="s">
        <v>164</v>
      </c>
      <c r="C26" s="124">
        <v>0.56000000000000005</v>
      </c>
      <c r="D26" s="124" t="s">
        <v>107</v>
      </c>
      <c r="E26" s="124">
        <v>1.56</v>
      </c>
      <c r="F26" s="125" t="s">
        <v>108</v>
      </c>
      <c r="G26" s="126">
        <v>0.53</v>
      </c>
      <c r="H26" s="124" t="s">
        <v>165</v>
      </c>
      <c r="I26" s="127">
        <v>0.25</v>
      </c>
      <c r="J26" s="78"/>
      <c r="K26" s="78"/>
      <c r="L26" s="78"/>
      <c r="M26" s="78"/>
      <c r="N26" s="78"/>
    </row>
    <row r="27" spans="1:14" x14ac:dyDescent="0.35">
      <c r="A27" s="122" t="s">
        <v>166</v>
      </c>
      <c r="B27" s="123" t="s">
        <v>167</v>
      </c>
      <c r="C27" s="124">
        <v>0.51</v>
      </c>
      <c r="D27" s="124" t="s">
        <v>107</v>
      </c>
      <c r="E27" s="124">
        <v>1.56</v>
      </c>
      <c r="F27" s="125" t="s">
        <v>108</v>
      </c>
      <c r="G27" s="126">
        <v>0.53</v>
      </c>
      <c r="H27" s="124" t="s">
        <v>165</v>
      </c>
      <c r="I27" s="127">
        <v>0.25</v>
      </c>
      <c r="J27" s="78"/>
      <c r="K27" s="78"/>
      <c r="L27" s="78"/>
      <c r="M27" s="78"/>
      <c r="N27" s="78"/>
    </row>
    <row r="28" spans="1:14" x14ac:dyDescent="0.35">
      <c r="A28" s="122" t="s">
        <v>168</v>
      </c>
      <c r="B28" s="123" t="s">
        <v>169</v>
      </c>
      <c r="C28" s="124">
        <v>0.51</v>
      </c>
      <c r="D28" s="124" t="s">
        <v>107</v>
      </c>
      <c r="E28" s="124">
        <v>1.56</v>
      </c>
      <c r="F28" s="125" t="s">
        <v>108</v>
      </c>
      <c r="G28" s="126">
        <v>0.53</v>
      </c>
      <c r="H28" s="124" t="s">
        <v>165</v>
      </c>
      <c r="I28" s="127">
        <v>0.25</v>
      </c>
      <c r="J28" s="78"/>
      <c r="K28" s="78"/>
      <c r="L28" s="78"/>
      <c r="M28" s="78"/>
      <c r="N28" s="78"/>
    </row>
    <row r="29" spans="1:14" x14ac:dyDescent="0.35">
      <c r="A29" s="122" t="s">
        <v>170</v>
      </c>
      <c r="B29" s="123" t="s">
        <v>170</v>
      </c>
      <c r="C29" s="124">
        <v>0.56000000000000005</v>
      </c>
      <c r="D29" s="124" t="s">
        <v>107</v>
      </c>
      <c r="E29" s="124">
        <v>1.56</v>
      </c>
      <c r="F29" s="125" t="s">
        <v>108</v>
      </c>
      <c r="G29" s="126">
        <v>0.53</v>
      </c>
      <c r="H29" s="124" t="s">
        <v>165</v>
      </c>
      <c r="I29" s="127">
        <v>0.25</v>
      </c>
      <c r="J29" s="78"/>
      <c r="K29" s="78"/>
      <c r="L29" s="78"/>
      <c r="M29" s="78"/>
      <c r="N29" s="78"/>
    </row>
    <row r="30" spans="1:14" x14ac:dyDescent="0.35">
      <c r="A30" s="122" t="s">
        <v>171</v>
      </c>
      <c r="B30" s="123" t="s">
        <v>172</v>
      </c>
      <c r="C30" s="124">
        <v>0.55000000000000004</v>
      </c>
      <c r="D30" s="124" t="s">
        <v>107</v>
      </c>
      <c r="E30" s="124">
        <v>1.56</v>
      </c>
      <c r="F30" s="125" t="s">
        <v>108</v>
      </c>
      <c r="G30" s="126">
        <v>0.53</v>
      </c>
      <c r="H30" s="124" t="s">
        <v>134</v>
      </c>
      <c r="I30" s="127">
        <v>0.25</v>
      </c>
      <c r="J30" s="78"/>
      <c r="K30" s="78"/>
      <c r="L30" s="78"/>
      <c r="M30" s="78"/>
      <c r="N30" s="78"/>
    </row>
    <row r="31" spans="1:14" x14ac:dyDescent="0.35">
      <c r="A31" s="122" t="s">
        <v>173</v>
      </c>
      <c r="B31" s="123" t="s">
        <v>174</v>
      </c>
      <c r="C31" s="124">
        <v>0.56000000000000005</v>
      </c>
      <c r="D31" s="124" t="s">
        <v>107</v>
      </c>
      <c r="E31" s="124">
        <v>1.56</v>
      </c>
      <c r="F31" s="125" t="s">
        <v>108</v>
      </c>
      <c r="G31" s="126">
        <v>0.43</v>
      </c>
      <c r="H31" s="124" t="s">
        <v>109</v>
      </c>
      <c r="I31" s="127">
        <v>0.25</v>
      </c>
      <c r="J31" s="78"/>
      <c r="K31" s="78"/>
      <c r="L31" s="78"/>
      <c r="M31" s="78"/>
      <c r="N31" s="78"/>
    </row>
    <row r="32" spans="1:14" x14ac:dyDescent="0.35">
      <c r="A32" s="122" t="s">
        <v>175</v>
      </c>
      <c r="B32" s="123" t="s">
        <v>176</v>
      </c>
      <c r="C32" s="124">
        <v>0.48</v>
      </c>
      <c r="D32" s="124" t="s">
        <v>107</v>
      </c>
      <c r="E32" s="124">
        <v>1.3</v>
      </c>
      <c r="F32" s="125" t="s">
        <v>108</v>
      </c>
      <c r="G32" s="126">
        <v>0.6</v>
      </c>
      <c r="H32" s="124" t="s">
        <v>177</v>
      </c>
      <c r="I32" s="127">
        <v>0.43</v>
      </c>
      <c r="J32" s="78"/>
      <c r="K32" s="78"/>
      <c r="L32" s="78"/>
      <c r="M32" s="78"/>
      <c r="N32" s="78"/>
    </row>
    <row r="33" spans="1:14" x14ac:dyDescent="0.35">
      <c r="A33" s="122" t="s">
        <v>178</v>
      </c>
      <c r="B33" s="123" t="s">
        <v>179</v>
      </c>
      <c r="C33" s="124">
        <v>0.42</v>
      </c>
      <c r="D33" s="124" t="s">
        <v>107</v>
      </c>
      <c r="E33" s="124">
        <v>1.3</v>
      </c>
      <c r="F33" s="125" t="s">
        <v>108</v>
      </c>
      <c r="G33" s="126">
        <v>0.6</v>
      </c>
      <c r="H33" s="124" t="s">
        <v>177</v>
      </c>
      <c r="I33" s="127">
        <v>0.43</v>
      </c>
      <c r="J33" s="78"/>
      <c r="K33" s="78"/>
      <c r="L33" s="78"/>
      <c r="M33" s="78"/>
      <c r="N33" s="78"/>
    </row>
    <row r="34" spans="1:14" x14ac:dyDescent="0.35">
      <c r="A34" s="122" t="s">
        <v>180</v>
      </c>
      <c r="B34" s="123" t="s">
        <v>181</v>
      </c>
      <c r="C34" s="124">
        <v>0.42</v>
      </c>
      <c r="D34" s="124" t="s">
        <v>182</v>
      </c>
      <c r="E34" s="124">
        <v>1.3</v>
      </c>
      <c r="F34" s="125" t="s">
        <v>108</v>
      </c>
      <c r="G34" s="126">
        <v>0.6</v>
      </c>
      <c r="H34" s="123" t="s">
        <v>183</v>
      </c>
      <c r="I34" s="127">
        <v>0.43</v>
      </c>
      <c r="J34" s="78"/>
      <c r="K34" s="78"/>
      <c r="L34" s="78"/>
      <c r="M34" s="78"/>
      <c r="N34" s="78"/>
    </row>
    <row r="35" spans="1:14" x14ac:dyDescent="0.35">
      <c r="A35" s="122" t="s">
        <v>184</v>
      </c>
      <c r="B35" s="123" t="s">
        <v>185</v>
      </c>
      <c r="C35" s="124">
        <v>0.5</v>
      </c>
      <c r="D35" s="124" t="s">
        <v>107</v>
      </c>
      <c r="E35" s="124">
        <v>1.56</v>
      </c>
      <c r="F35" s="125" t="s">
        <v>108</v>
      </c>
      <c r="G35" s="126">
        <v>0.43</v>
      </c>
      <c r="H35" s="124" t="s">
        <v>109</v>
      </c>
      <c r="I35" s="127">
        <v>0.25</v>
      </c>
      <c r="J35" s="78"/>
      <c r="K35" s="78"/>
      <c r="L35" s="78"/>
      <c r="M35" s="78"/>
      <c r="N35" s="78"/>
    </row>
    <row r="36" spans="1:14" x14ac:dyDescent="0.35">
      <c r="A36" s="122" t="s">
        <v>186</v>
      </c>
      <c r="B36" s="123" t="s">
        <v>187</v>
      </c>
      <c r="C36" s="124">
        <v>0.55000000000000004</v>
      </c>
      <c r="D36" s="124" t="s">
        <v>107</v>
      </c>
      <c r="E36" s="124">
        <v>1.56</v>
      </c>
      <c r="F36" s="125" t="s">
        <v>108</v>
      </c>
      <c r="G36" s="126">
        <v>0.53</v>
      </c>
      <c r="H36" s="124" t="s">
        <v>165</v>
      </c>
      <c r="I36" s="127">
        <v>0.25</v>
      </c>
      <c r="J36" s="78"/>
      <c r="K36" s="78"/>
      <c r="L36" s="78"/>
      <c r="M36" s="78"/>
      <c r="N36" s="78"/>
    </row>
    <row r="37" spans="1:14" x14ac:dyDescent="0.35">
      <c r="A37" s="122" t="s">
        <v>188</v>
      </c>
      <c r="B37" s="123" t="s">
        <v>189</v>
      </c>
      <c r="C37" s="124">
        <v>0.52</v>
      </c>
      <c r="D37" s="124" t="s">
        <v>107</v>
      </c>
      <c r="E37" s="124">
        <v>1.56</v>
      </c>
      <c r="F37" s="125" t="s">
        <v>108</v>
      </c>
      <c r="G37" s="126">
        <v>0.53</v>
      </c>
      <c r="H37" s="124" t="s">
        <v>165</v>
      </c>
      <c r="I37" s="127">
        <v>0.25</v>
      </c>
      <c r="J37" s="78"/>
      <c r="K37" s="78"/>
      <c r="L37" s="78"/>
      <c r="M37" s="78"/>
      <c r="N37" s="78"/>
    </row>
    <row r="38" spans="1:14" x14ac:dyDescent="0.35">
      <c r="A38" s="122" t="s">
        <v>190</v>
      </c>
      <c r="B38" s="123" t="s">
        <v>191</v>
      </c>
      <c r="C38" s="124">
        <v>0.52</v>
      </c>
      <c r="D38" s="124" t="s">
        <v>107</v>
      </c>
      <c r="E38" s="124">
        <v>1.56</v>
      </c>
      <c r="F38" s="125" t="s">
        <v>108</v>
      </c>
      <c r="G38" s="126">
        <v>0.43</v>
      </c>
      <c r="H38" s="124" t="s">
        <v>109</v>
      </c>
      <c r="I38" s="127">
        <v>0.25</v>
      </c>
      <c r="J38" s="78"/>
      <c r="K38" s="78"/>
      <c r="L38" s="78"/>
      <c r="M38" s="78"/>
      <c r="N38" s="78"/>
    </row>
    <row r="39" spans="1:14" x14ac:dyDescent="0.35">
      <c r="A39" s="122" t="s">
        <v>192</v>
      </c>
      <c r="B39" s="123" t="s">
        <v>193</v>
      </c>
      <c r="C39" s="124">
        <v>0.313</v>
      </c>
      <c r="D39" s="124" t="s">
        <v>194</v>
      </c>
      <c r="E39" s="124">
        <v>1.56</v>
      </c>
      <c r="F39" s="125" t="s">
        <v>108</v>
      </c>
      <c r="G39" s="126">
        <v>0.6</v>
      </c>
      <c r="H39" s="124" t="s">
        <v>195</v>
      </c>
      <c r="I39" s="127">
        <v>1.03</v>
      </c>
      <c r="J39" s="78"/>
      <c r="K39" s="78"/>
      <c r="L39" s="78"/>
      <c r="M39" s="78"/>
      <c r="N39" s="78"/>
    </row>
    <row r="40" spans="1:14" x14ac:dyDescent="0.35">
      <c r="A40" s="122" t="s">
        <v>196</v>
      </c>
      <c r="B40" s="123" t="s">
        <v>193</v>
      </c>
      <c r="C40" s="124">
        <v>0.35199999999999998</v>
      </c>
      <c r="D40" s="124" t="s">
        <v>194</v>
      </c>
      <c r="E40" s="124">
        <v>1.56</v>
      </c>
      <c r="F40" s="125" t="s">
        <v>108</v>
      </c>
      <c r="G40" s="126">
        <v>0.6</v>
      </c>
      <c r="H40" s="124" t="s">
        <v>195</v>
      </c>
      <c r="I40" s="127">
        <v>1.03</v>
      </c>
      <c r="J40" s="78"/>
      <c r="K40" s="78"/>
      <c r="L40" s="78"/>
      <c r="M40" s="78"/>
      <c r="N40" s="78"/>
    </row>
    <row r="41" spans="1:14" x14ac:dyDescent="0.35">
      <c r="A41" s="122" t="s">
        <v>197</v>
      </c>
      <c r="B41" s="123" t="s">
        <v>193</v>
      </c>
      <c r="C41" s="124">
        <v>0.32200000000000001</v>
      </c>
      <c r="D41" s="124" t="s">
        <v>194</v>
      </c>
      <c r="E41" s="124">
        <v>1.56</v>
      </c>
      <c r="F41" s="125" t="s">
        <v>108</v>
      </c>
      <c r="G41" s="126">
        <v>0.6</v>
      </c>
      <c r="H41" s="124" t="s">
        <v>195</v>
      </c>
      <c r="I41" s="127">
        <v>1.03</v>
      </c>
      <c r="J41" s="78"/>
      <c r="K41" s="78"/>
      <c r="L41" s="78"/>
      <c r="M41" s="78"/>
      <c r="N41" s="78"/>
    </row>
    <row r="42" spans="1:14" x14ac:dyDescent="0.35">
      <c r="A42" s="122" t="s">
        <v>198</v>
      </c>
      <c r="B42" s="123" t="s">
        <v>193</v>
      </c>
      <c r="C42" s="124">
        <v>0.311</v>
      </c>
      <c r="D42" s="124" t="s">
        <v>194</v>
      </c>
      <c r="E42" s="124">
        <v>1.56</v>
      </c>
      <c r="F42" s="125" t="s">
        <v>108</v>
      </c>
      <c r="G42" s="126">
        <v>0.6</v>
      </c>
      <c r="H42" s="124" t="s">
        <v>195</v>
      </c>
      <c r="I42" s="127">
        <v>1.03</v>
      </c>
      <c r="J42" s="78"/>
      <c r="K42" s="78"/>
      <c r="L42" s="78"/>
      <c r="M42" s="78"/>
      <c r="N42" s="78"/>
    </row>
    <row r="43" spans="1:14" x14ac:dyDescent="0.35">
      <c r="A43" s="122" t="s">
        <v>199</v>
      </c>
      <c r="B43" s="123" t="s">
        <v>193</v>
      </c>
      <c r="C43" s="124">
        <v>0.33900000000000002</v>
      </c>
      <c r="D43" s="124" t="s">
        <v>194</v>
      </c>
      <c r="E43" s="124">
        <v>1.56</v>
      </c>
      <c r="F43" s="125" t="s">
        <v>108</v>
      </c>
      <c r="G43" s="126">
        <v>0.6</v>
      </c>
      <c r="H43" s="124" t="s">
        <v>195</v>
      </c>
      <c r="I43" s="127">
        <v>1.03</v>
      </c>
      <c r="J43" s="78"/>
      <c r="K43" s="78"/>
      <c r="L43" s="78"/>
      <c r="M43" s="78"/>
      <c r="N43" s="78"/>
    </row>
    <row r="44" spans="1:14" x14ac:dyDescent="0.35">
      <c r="A44" s="122" t="s">
        <v>200</v>
      </c>
      <c r="B44" s="123" t="s">
        <v>193</v>
      </c>
      <c r="C44" s="124">
        <v>0.33600000000000002</v>
      </c>
      <c r="D44" s="124" t="s">
        <v>194</v>
      </c>
      <c r="E44" s="124">
        <v>1.56</v>
      </c>
      <c r="F44" s="125" t="s">
        <v>108</v>
      </c>
      <c r="G44" s="126">
        <v>0.6</v>
      </c>
      <c r="H44" s="124" t="s">
        <v>195</v>
      </c>
      <c r="I44" s="127">
        <v>1.03</v>
      </c>
      <c r="J44" s="78"/>
      <c r="K44" s="78"/>
      <c r="L44" s="78"/>
      <c r="M44" s="78"/>
      <c r="N44" s="78"/>
    </row>
    <row r="45" spans="1:14" x14ac:dyDescent="0.35">
      <c r="A45" s="122" t="s">
        <v>201</v>
      </c>
      <c r="B45" s="123" t="s">
        <v>193</v>
      </c>
      <c r="C45" s="124">
        <v>0.32900000000000001</v>
      </c>
      <c r="D45" s="124" t="s">
        <v>194</v>
      </c>
      <c r="E45" s="124">
        <v>1.56</v>
      </c>
      <c r="F45" s="125" t="s">
        <v>108</v>
      </c>
      <c r="G45" s="126">
        <v>0.6</v>
      </c>
      <c r="H45" s="124" t="s">
        <v>195</v>
      </c>
      <c r="I45" s="127">
        <v>1.03</v>
      </c>
      <c r="J45" s="78"/>
      <c r="K45" s="78"/>
      <c r="L45" s="78"/>
      <c r="M45" s="78"/>
      <c r="N45" s="78"/>
    </row>
    <row r="46" spans="1:14" x14ac:dyDescent="0.35">
      <c r="A46" s="122" t="s">
        <v>202</v>
      </c>
      <c r="B46" s="123" t="s">
        <v>193</v>
      </c>
      <c r="C46" s="124">
        <v>0.34300000000000003</v>
      </c>
      <c r="D46" s="124" t="s">
        <v>194</v>
      </c>
      <c r="E46" s="124">
        <v>1.56</v>
      </c>
      <c r="F46" s="125" t="s">
        <v>108</v>
      </c>
      <c r="G46" s="126">
        <v>0.6</v>
      </c>
      <c r="H46" s="124" t="s">
        <v>195</v>
      </c>
      <c r="I46" s="127">
        <v>1.03</v>
      </c>
      <c r="J46" s="78"/>
      <c r="K46" s="78"/>
      <c r="L46" s="78"/>
      <c r="M46" s="78"/>
      <c r="N46" s="78"/>
    </row>
    <row r="47" spans="1:14" x14ac:dyDescent="0.35">
      <c r="A47" s="122" t="s">
        <v>203</v>
      </c>
      <c r="B47" s="123" t="s">
        <v>193</v>
      </c>
      <c r="C47" s="124">
        <v>0.32500000000000001</v>
      </c>
      <c r="D47" s="124" t="s">
        <v>194</v>
      </c>
      <c r="E47" s="124">
        <v>1.56</v>
      </c>
      <c r="F47" s="125" t="s">
        <v>108</v>
      </c>
      <c r="G47" s="126">
        <v>0.6</v>
      </c>
      <c r="H47" s="124" t="s">
        <v>195</v>
      </c>
      <c r="I47" s="127">
        <v>1.03</v>
      </c>
      <c r="J47" s="78"/>
      <c r="K47" s="78"/>
      <c r="L47" s="78"/>
      <c r="M47" s="78"/>
      <c r="N47" s="78"/>
    </row>
    <row r="48" spans="1:14" x14ac:dyDescent="0.35">
      <c r="A48" s="122" t="s">
        <v>204</v>
      </c>
      <c r="B48" s="123" t="s">
        <v>193</v>
      </c>
      <c r="C48" s="124">
        <v>0.32</v>
      </c>
      <c r="D48" s="124" t="s">
        <v>194</v>
      </c>
      <c r="E48" s="124">
        <v>1.56</v>
      </c>
      <c r="F48" s="125" t="s">
        <v>108</v>
      </c>
      <c r="G48" s="126">
        <v>0.6</v>
      </c>
      <c r="H48" s="124" t="s">
        <v>195</v>
      </c>
      <c r="I48" s="127">
        <v>1.03</v>
      </c>
      <c r="J48" s="78"/>
      <c r="K48" s="78"/>
      <c r="L48" s="78"/>
      <c r="M48" s="78"/>
      <c r="N48" s="78"/>
    </row>
    <row r="49" spans="1:14" x14ac:dyDescent="0.35">
      <c r="A49" s="122" t="s">
        <v>205</v>
      </c>
      <c r="B49" s="123" t="s">
        <v>193</v>
      </c>
      <c r="C49" s="124">
        <v>0.28199999999999997</v>
      </c>
      <c r="D49" s="124" t="s">
        <v>194</v>
      </c>
      <c r="E49" s="124">
        <v>1.56</v>
      </c>
      <c r="F49" s="125" t="s">
        <v>108</v>
      </c>
      <c r="G49" s="126">
        <v>0.6</v>
      </c>
      <c r="H49" s="124" t="s">
        <v>195</v>
      </c>
      <c r="I49" s="127">
        <v>1.03</v>
      </c>
      <c r="J49" s="78"/>
      <c r="K49" s="78"/>
      <c r="L49" s="78"/>
      <c r="M49" s="78"/>
      <c r="N49" s="78"/>
    </row>
    <row r="50" spans="1:14" x14ac:dyDescent="0.35">
      <c r="A50" s="122" t="s">
        <v>206</v>
      </c>
      <c r="B50" s="123" t="s">
        <v>193</v>
      </c>
      <c r="C50" s="124">
        <v>0.32800000000000001</v>
      </c>
      <c r="D50" s="124" t="s">
        <v>194</v>
      </c>
      <c r="E50" s="124">
        <v>1.56</v>
      </c>
      <c r="F50" s="125" t="s">
        <v>108</v>
      </c>
      <c r="G50" s="126">
        <v>0.6</v>
      </c>
      <c r="H50" s="124" t="s">
        <v>195</v>
      </c>
      <c r="I50" s="127">
        <v>1.03</v>
      </c>
      <c r="J50" s="78"/>
      <c r="K50" s="78"/>
      <c r="L50" s="78"/>
      <c r="M50" s="78"/>
      <c r="N50" s="78"/>
    </row>
    <row r="51" spans="1:14" x14ac:dyDescent="0.35">
      <c r="A51" s="122" t="s">
        <v>207</v>
      </c>
      <c r="B51" s="123" t="s">
        <v>193</v>
      </c>
      <c r="C51" s="124">
        <v>0.32600000000000001</v>
      </c>
      <c r="D51" s="124" t="s">
        <v>194</v>
      </c>
      <c r="E51" s="124">
        <v>1.56</v>
      </c>
      <c r="F51" s="125" t="s">
        <v>108</v>
      </c>
      <c r="G51" s="126">
        <v>0.6</v>
      </c>
      <c r="H51" s="124" t="s">
        <v>195</v>
      </c>
      <c r="I51" s="127">
        <v>1.03</v>
      </c>
      <c r="J51" s="78"/>
      <c r="K51" s="78"/>
      <c r="L51" s="78"/>
      <c r="M51" s="78"/>
      <c r="N51" s="78"/>
    </row>
    <row r="52" spans="1:14" x14ac:dyDescent="0.35">
      <c r="A52" s="122" t="s">
        <v>208</v>
      </c>
      <c r="B52" s="123" t="s">
        <v>193</v>
      </c>
      <c r="C52" s="124">
        <v>0.35899999999999999</v>
      </c>
      <c r="D52" s="124" t="s">
        <v>194</v>
      </c>
      <c r="E52" s="124">
        <v>1.56</v>
      </c>
      <c r="F52" s="125" t="s">
        <v>108</v>
      </c>
      <c r="G52" s="126">
        <v>0.6</v>
      </c>
      <c r="H52" s="124" t="s">
        <v>195</v>
      </c>
      <c r="I52" s="127">
        <v>1.03</v>
      </c>
      <c r="J52" s="78"/>
      <c r="K52" s="78"/>
      <c r="L52" s="78"/>
      <c r="M52" s="78"/>
      <c r="N52" s="78"/>
    </row>
    <row r="53" spans="1:14" x14ac:dyDescent="0.35">
      <c r="A53" s="122" t="s">
        <v>209</v>
      </c>
      <c r="B53" s="123" t="s">
        <v>193</v>
      </c>
      <c r="C53" s="124">
        <v>0.34599999999999997</v>
      </c>
      <c r="D53" s="124" t="s">
        <v>194</v>
      </c>
      <c r="E53" s="124">
        <v>1.56</v>
      </c>
      <c r="F53" s="125" t="s">
        <v>108</v>
      </c>
      <c r="G53" s="126">
        <v>0.6</v>
      </c>
      <c r="H53" s="124" t="s">
        <v>195</v>
      </c>
      <c r="I53" s="127">
        <v>1.03</v>
      </c>
      <c r="J53" s="78"/>
      <c r="K53" s="78"/>
      <c r="L53" s="78"/>
      <c r="M53" s="78"/>
      <c r="N53" s="78"/>
    </row>
    <row r="54" spans="1:14" x14ac:dyDescent="0.35">
      <c r="A54" s="122" t="s">
        <v>210</v>
      </c>
      <c r="B54" s="123" t="s">
        <v>193</v>
      </c>
      <c r="C54" s="124">
        <v>0.32600000000000001</v>
      </c>
      <c r="D54" s="124" t="s">
        <v>194</v>
      </c>
      <c r="E54" s="124">
        <v>1.56</v>
      </c>
      <c r="F54" s="125" t="s">
        <v>108</v>
      </c>
      <c r="G54" s="126">
        <v>0.6</v>
      </c>
      <c r="H54" s="124" t="s">
        <v>195</v>
      </c>
      <c r="I54" s="127">
        <v>1.03</v>
      </c>
      <c r="J54" s="78"/>
      <c r="K54" s="78"/>
      <c r="L54" s="78"/>
      <c r="M54" s="78"/>
      <c r="N54" s="78"/>
    </row>
    <row r="55" spans="1:14" x14ac:dyDescent="0.35">
      <c r="A55" s="122" t="s">
        <v>211</v>
      </c>
      <c r="B55" s="123" t="s">
        <v>193</v>
      </c>
      <c r="C55" s="124">
        <v>0.30499999999999999</v>
      </c>
      <c r="D55" s="124" t="s">
        <v>194</v>
      </c>
      <c r="E55" s="124">
        <v>1.56</v>
      </c>
      <c r="F55" s="125" t="s">
        <v>108</v>
      </c>
      <c r="G55" s="126">
        <v>0.6</v>
      </c>
      <c r="H55" s="124" t="s">
        <v>195</v>
      </c>
      <c r="I55" s="127">
        <v>1.03</v>
      </c>
      <c r="J55" s="78"/>
      <c r="K55" s="78"/>
      <c r="L55" s="78"/>
      <c r="M55" s="78"/>
      <c r="N55" s="78"/>
    </row>
    <row r="56" spans="1:14" x14ac:dyDescent="0.35">
      <c r="A56" s="122" t="s">
        <v>212</v>
      </c>
      <c r="B56" s="123" t="s">
        <v>193</v>
      </c>
      <c r="C56" s="124">
        <v>0.32300000000000001</v>
      </c>
      <c r="D56" s="124" t="s">
        <v>194</v>
      </c>
      <c r="E56" s="124">
        <v>1.56</v>
      </c>
      <c r="F56" s="125" t="s">
        <v>108</v>
      </c>
      <c r="G56" s="126">
        <v>0.6</v>
      </c>
      <c r="H56" s="124" t="s">
        <v>195</v>
      </c>
      <c r="I56" s="127">
        <v>1.03</v>
      </c>
      <c r="J56" s="78"/>
      <c r="K56" s="78"/>
      <c r="L56" s="78"/>
      <c r="M56" s="78"/>
      <c r="N56" s="78"/>
    </row>
    <row r="57" spans="1:14" x14ac:dyDescent="0.35">
      <c r="A57" s="122" t="s">
        <v>213</v>
      </c>
      <c r="B57" s="123" t="s">
        <v>193</v>
      </c>
      <c r="C57" s="124">
        <v>0.36699999999999999</v>
      </c>
      <c r="D57" s="124" t="s">
        <v>194</v>
      </c>
      <c r="E57" s="124">
        <v>1.56</v>
      </c>
      <c r="F57" s="125" t="s">
        <v>108</v>
      </c>
      <c r="G57" s="126">
        <v>0.6</v>
      </c>
      <c r="H57" s="124" t="s">
        <v>195</v>
      </c>
      <c r="I57" s="127">
        <v>1.03</v>
      </c>
      <c r="J57" s="78"/>
      <c r="K57" s="78"/>
      <c r="L57" s="78"/>
      <c r="M57" s="78"/>
      <c r="N57" s="78"/>
    </row>
    <row r="58" spans="1:14" x14ac:dyDescent="0.35">
      <c r="A58" s="122" t="s">
        <v>214</v>
      </c>
      <c r="B58" s="123" t="s">
        <v>193</v>
      </c>
      <c r="C58" s="124">
        <v>0.36</v>
      </c>
      <c r="D58" s="124" t="s">
        <v>194</v>
      </c>
      <c r="E58" s="124">
        <v>1.56</v>
      </c>
      <c r="F58" s="125" t="s">
        <v>108</v>
      </c>
      <c r="G58" s="126">
        <v>0.6</v>
      </c>
      <c r="H58" s="124" t="s">
        <v>195</v>
      </c>
      <c r="I58" s="127">
        <v>1.03</v>
      </c>
      <c r="J58" s="78"/>
      <c r="K58" s="78"/>
      <c r="L58" s="78"/>
      <c r="M58" s="78"/>
      <c r="N58" s="78"/>
    </row>
    <row r="59" spans="1:14" x14ac:dyDescent="0.35">
      <c r="A59" s="122" t="s">
        <v>215</v>
      </c>
      <c r="B59" s="123" t="s">
        <v>193</v>
      </c>
      <c r="C59" s="124">
        <v>0.36799999999999999</v>
      </c>
      <c r="D59" s="124" t="s">
        <v>194</v>
      </c>
      <c r="E59" s="124">
        <v>1.56</v>
      </c>
      <c r="F59" s="125" t="s">
        <v>108</v>
      </c>
      <c r="G59" s="126">
        <v>0.6</v>
      </c>
      <c r="H59" s="124" t="s">
        <v>195</v>
      </c>
      <c r="I59" s="127">
        <v>1.03</v>
      </c>
      <c r="J59" s="78"/>
      <c r="K59" s="78"/>
      <c r="L59" s="78"/>
      <c r="M59" s="78"/>
      <c r="N59" s="78"/>
    </row>
    <row r="60" spans="1:14" x14ac:dyDescent="0.35">
      <c r="A60" s="122" t="s">
        <v>216</v>
      </c>
      <c r="B60" s="123" t="s">
        <v>193</v>
      </c>
      <c r="C60" s="124">
        <v>0.30599999999999999</v>
      </c>
      <c r="D60" s="124" t="s">
        <v>194</v>
      </c>
      <c r="E60" s="124">
        <v>1.56</v>
      </c>
      <c r="F60" s="125" t="s">
        <v>108</v>
      </c>
      <c r="G60" s="126">
        <v>0.6</v>
      </c>
      <c r="H60" s="124" t="s">
        <v>195</v>
      </c>
      <c r="I60" s="127">
        <v>1.03</v>
      </c>
      <c r="J60" s="78"/>
      <c r="K60" s="78"/>
      <c r="L60" s="78"/>
      <c r="M60" s="78"/>
      <c r="N60" s="78"/>
    </row>
    <row r="61" spans="1:14" x14ac:dyDescent="0.35">
      <c r="A61" s="122" t="s">
        <v>217</v>
      </c>
      <c r="B61" s="123" t="s">
        <v>193</v>
      </c>
      <c r="C61" s="124">
        <v>0.313</v>
      </c>
      <c r="D61" s="124" t="s">
        <v>194</v>
      </c>
      <c r="E61" s="124">
        <v>1.56</v>
      </c>
      <c r="F61" s="125" t="s">
        <v>108</v>
      </c>
      <c r="G61" s="126">
        <v>0.6</v>
      </c>
      <c r="H61" s="124" t="s">
        <v>195</v>
      </c>
      <c r="I61" s="127">
        <v>1.03</v>
      </c>
      <c r="J61" s="78"/>
      <c r="K61" s="78"/>
      <c r="L61" s="78"/>
      <c r="M61" s="78"/>
      <c r="N61" s="78"/>
    </row>
    <row r="62" spans="1:14" x14ac:dyDescent="0.35">
      <c r="A62" s="122" t="s">
        <v>218</v>
      </c>
      <c r="B62" s="123" t="s">
        <v>219</v>
      </c>
      <c r="C62" s="124">
        <v>0.37</v>
      </c>
      <c r="D62" s="124" t="s">
        <v>107</v>
      </c>
      <c r="E62" s="124">
        <v>1.56</v>
      </c>
      <c r="F62" s="125" t="s">
        <v>108</v>
      </c>
      <c r="G62" s="126">
        <v>0.6</v>
      </c>
      <c r="H62" s="124" t="s">
        <v>195</v>
      </c>
      <c r="I62" s="127">
        <v>1.03</v>
      </c>
      <c r="J62" s="78"/>
      <c r="K62" s="78"/>
      <c r="L62" s="78"/>
      <c r="M62" s="78"/>
      <c r="N62" s="78"/>
    </row>
    <row r="63" spans="1:14" x14ac:dyDescent="0.35">
      <c r="A63" s="122" t="s">
        <v>220</v>
      </c>
      <c r="B63" s="123" t="s">
        <v>221</v>
      </c>
      <c r="C63" s="124">
        <v>0.45</v>
      </c>
      <c r="D63" s="124" t="s">
        <v>107</v>
      </c>
      <c r="E63" s="124">
        <v>1.3</v>
      </c>
      <c r="F63" s="125" t="s">
        <v>108</v>
      </c>
      <c r="G63" s="126">
        <v>0.45</v>
      </c>
      <c r="H63" s="124" t="s">
        <v>222</v>
      </c>
      <c r="I63" s="127">
        <v>0.43</v>
      </c>
      <c r="J63" s="78"/>
      <c r="K63" s="78"/>
      <c r="L63" s="78"/>
      <c r="M63" s="78"/>
      <c r="N63" s="78"/>
    </row>
    <row r="64" spans="1:14" x14ac:dyDescent="0.35">
      <c r="A64" s="122" t="s">
        <v>223</v>
      </c>
      <c r="B64" s="123" t="s">
        <v>224</v>
      </c>
      <c r="C64" s="124">
        <v>0.39</v>
      </c>
      <c r="D64" s="124" t="s">
        <v>107</v>
      </c>
      <c r="E64" s="124">
        <v>1.3</v>
      </c>
      <c r="F64" s="125" t="s">
        <v>108</v>
      </c>
      <c r="G64" s="126">
        <v>0.45</v>
      </c>
      <c r="H64" s="124" t="s">
        <v>222</v>
      </c>
      <c r="I64" s="127">
        <v>0.43</v>
      </c>
      <c r="J64" s="78"/>
      <c r="K64" s="78"/>
      <c r="L64" s="78"/>
      <c r="M64" s="78"/>
      <c r="N64" s="78"/>
    </row>
    <row r="65" spans="1:14" x14ac:dyDescent="0.35">
      <c r="A65" s="122" t="s">
        <v>225</v>
      </c>
      <c r="B65" s="123" t="s">
        <v>226</v>
      </c>
      <c r="C65" s="124">
        <v>0.44</v>
      </c>
      <c r="D65" s="124" t="s">
        <v>107</v>
      </c>
      <c r="E65" s="124">
        <v>1.3</v>
      </c>
      <c r="F65" s="125" t="s">
        <v>108</v>
      </c>
      <c r="G65" s="126">
        <v>0.45</v>
      </c>
      <c r="H65" s="124" t="s">
        <v>222</v>
      </c>
      <c r="I65" s="127">
        <v>0.43</v>
      </c>
      <c r="J65" s="78"/>
      <c r="K65" s="78"/>
      <c r="L65" s="78"/>
      <c r="M65" s="78"/>
      <c r="N65" s="78"/>
    </row>
    <row r="66" spans="1:14" x14ac:dyDescent="0.35">
      <c r="A66" s="122" t="s">
        <v>227</v>
      </c>
      <c r="B66" s="123" t="s">
        <v>228</v>
      </c>
      <c r="C66" s="124">
        <v>0.46</v>
      </c>
      <c r="D66" s="124" t="s">
        <v>107</v>
      </c>
      <c r="E66" s="124">
        <v>1.3</v>
      </c>
      <c r="F66" s="125" t="s">
        <v>108</v>
      </c>
      <c r="G66" s="126">
        <v>0.45</v>
      </c>
      <c r="H66" s="124" t="s">
        <v>222</v>
      </c>
      <c r="I66" s="127">
        <v>0.43</v>
      </c>
      <c r="J66" s="78"/>
      <c r="K66" s="78"/>
      <c r="L66" s="78"/>
      <c r="M66" s="78"/>
      <c r="N66" s="78"/>
    </row>
    <row r="67" spans="1:14" x14ac:dyDescent="0.35">
      <c r="A67" s="122" t="s">
        <v>229</v>
      </c>
      <c r="B67" s="123" t="s">
        <v>230</v>
      </c>
      <c r="C67" s="124">
        <v>0.46</v>
      </c>
      <c r="D67" s="124" t="s">
        <v>107</v>
      </c>
      <c r="E67" s="124">
        <v>1.3</v>
      </c>
      <c r="F67" s="125" t="s">
        <v>108</v>
      </c>
      <c r="G67" s="126">
        <v>0.45</v>
      </c>
      <c r="H67" s="124" t="s">
        <v>134</v>
      </c>
      <c r="I67" s="127">
        <v>0.59</v>
      </c>
      <c r="J67" s="78"/>
      <c r="K67" s="78"/>
      <c r="L67" s="78"/>
      <c r="M67" s="78"/>
      <c r="N67" s="78"/>
    </row>
    <row r="68" spans="1:14" x14ac:dyDescent="0.35">
      <c r="A68" s="122" t="s">
        <v>231</v>
      </c>
      <c r="B68" s="123" t="s">
        <v>232</v>
      </c>
      <c r="C68" s="124">
        <v>0.44</v>
      </c>
      <c r="D68" s="124" t="s">
        <v>107</v>
      </c>
      <c r="E68" s="124">
        <v>1.3</v>
      </c>
      <c r="F68" s="125" t="s">
        <v>108</v>
      </c>
      <c r="G68" s="126">
        <v>0.45</v>
      </c>
      <c r="H68" s="124" t="s">
        <v>222</v>
      </c>
      <c r="I68" s="127">
        <v>0.43</v>
      </c>
      <c r="J68" s="78"/>
      <c r="K68" s="78"/>
      <c r="L68" s="78"/>
      <c r="M68" s="78"/>
      <c r="N68" s="78"/>
    </row>
    <row r="69" spans="1:14" x14ac:dyDescent="0.35">
      <c r="A69" s="122" t="s">
        <v>233</v>
      </c>
      <c r="B69" s="123" t="s">
        <v>234</v>
      </c>
      <c r="C69" s="124">
        <v>0.46</v>
      </c>
      <c r="D69" s="124" t="s">
        <v>107</v>
      </c>
      <c r="E69" s="124">
        <v>1.3</v>
      </c>
      <c r="F69" s="125" t="s">
        <v>108</v>
      </c>
      <c r="G69" s="126">
        <v>0.45</v>
      </c>
      <c r="H69" s="124" t="s">
        <v>222</v>
      </c>
      <c r="I69" s="127">
        <v>0.43</v>
      </c>
      <c r="J69" s="78"/>
      <c r="K69" s="78"/>
      <c r="L69" s="78"/>
      <c r="M69" s="78"/>
      <c r="N69" s="78"/>
    </row>
    <row r="70" spans="1:14" x14ac:dyDescent="0.35">
      <c r="A70" s="122" t="s">
        <v>235</v>
      </c>
      <c r="B70" s="123" t="s">
        <v>236</v>
      </c>
      <c r="C70" s="124">
        <v>0.48</v>
      </c>
      <c r="D70" s="124" t="s">
        <v>107</v>
      </c>
      <c r="E70" s="124">
        <v>2.4</v>
      </c>
      <c r="F70" s="124" t="s">
        <v>237</v>
      </c>
      <c r="G70" s="126">
        <v>0.45</v>
      </c>
      <c r="H70" s="124" t="s">
        <v>222</v>
      </c>
      <c r="I70" s="127">
        <v>0.43</v>
      </c>
      <c r="J70" s="78"/>
      <c r="K70" s="78"/>
      <c r="L70" s="78"/>
      <c r="M70" s="78"/>
      <c r="N70" s="78"/>
    </row>
    <row r="71" spans="1:14" x14ac:dyDescent="0.35">
      <c r="A71" s="122" t="s">
        <v>238</v>
      </c>
      <c r="B71" s="123" t="s">
        <v>239</v>
      </c>
      <c r="C71" s="124">
        <v>0.46</v>
      </c>
      <c r="D71" s="124" t="s">
        <v>240</v>
      </c>
      <c r="E71" s="124">
        <v>1.3</v>
      </c>
      <c r="F71" s="125" t="s">
        <v>108</v>
      </c>
      <c r="G71" s="126">
        <v>0.45</v>
      </c>
      <c r="H71" s="124" t="s">
        <v>222</v>
      </c>
      <c r="I71" s="127">
        <v>0.43</v>
      </c>
      <c r="J71" s="78"/>
      <c r="K71" s="78"/>
      <c r="L71" s="78"/>
      <c r="M71" s="78"/>
      <c r="N71" s="78"/>
    </row>
    <row r="72" spans="1:14" x14ac:dyDescent="0.35">
      <c r="A72" s="122" t="s">
        <v>241</v>
      </c>
      <c r="B72" s="123" t="s">
        <v>242</v>
      </c>
      <c r="C72" s="124">
        <v>0.44</v>
      </c>
      <c r="D72" s="124" t="s">
        <v>107</v>
      </c>
      <c r="E72" s="124">
        <v>1.3</v>
      </c>
      <c r="F72" s="125" t="s">
        <v>108</v>
      </c>
      <c r="G72" s="126">
        <v>0.45</v>
      </c>
      <c r="H72" s="124" t="s">
        <v>222</v>
      </c>
      <c r="I72" s="127">
        <v>0.43</v>
      </c>
      <c r="J72" s="78"/>
      <c r="K72" s="78"/>
      <c r="L72" s="78"/>
      <c r="M72" s="78"/>
      <c r="N72" s="78"/>
    </row>
    <row r="73" spans="1:14" x14ac:dyDescent="0.35">
      <c r="A73" s="122" t="s">
        <v>243</v>
      </c>
      <c r="B73" s="123" t="s">
        <v>244</v>
      </c>
      <c r="C73" s="124">
        <v>0.46</v>
      </c>
      <c r="D73" s="124" t="s">
        <v>245</v>
      </c>
      <c r="E73" s="124">
        <v>1.3</v>
      </c>
      <c r="F73" s="125" t="s">
        <v>108</v>
      </c>
      <c r="G73" s="126">
        <v>0.45</v>
      </c>
      <c r="H73" s="124" t="s">
        <v>222</v>
      </c>
      <c r="I73" s="127">
        <v>0.43</v>
      </c>
      <c r="J73" s="78"/>
      <c r="K73" s="78"/>
      <c r="L73" s="78"/>
      <c r="M73" s="78"/>
      <c r="N73" s="78"/>
    </row>
    <row r="74" spans="1:14" x14ac:dyDescent="0.35">
      <c r="A74" s="122" t="s">
        <v>246</v>
      </c>
      <c r="B74" s="123" t="s">
        <v>247</v>
      </c>
      <c r="C74" s="124">
        <v>0.34</v>
      </c>
      <c r="D74" s="124" t="s">
        <v>107</v>
      </c>
      <c r="E74" s="124">
        <v>1.3</v>
      </c>
      <c r="F74" s="125" t="s">
        <v>108</v>
      </c>
      <c r="G74" s="126">
        <v>0.45</v>
      </c>
      <c r="H74" s="124" t="s">
        <v>222</v>
      </c>
      <c r="I74" s="127">
        <v>0.43</v>
      </c>
      <c r="J74" s="78"/>
      <c r="K74" s="78"/>
      <c r="L74" s="78"/>
      <c r="M74" s="78"/>
      <c r="N74" s="78"/>
    </row>
    <row r="75" spans="1:14" x14ac:dyDescent="0.35">
      <c r="A75" s="122" t="s">
        <v>248</v>
      </c>
      <c r="B75" s="123" t="s">
        <v>249</v>
      </c>
      <c r="C75" s="124">
        <v>0.5</v>
      </c>
      <c r="D75" s="124" t="s">
        <v>107</v>
      </c>
      <c r="E75" s="124">
        <v>1.56</v>
      </c>
      <c r="F75" s="125" t="s">
        <v>108</v>
      </c>
      <c r="G75" s="126">
        <v>0.53</v>
      </c>
      <c r="H75" s="124" t="s">
        <v>165</v>
      </c>
      <c r="I75" s="127">
        <v>0.25</v>
      </c>
      <c r="J75" s="78"/>
      <c r="K75" s="78"/>
      <c r="L75" s="78"/>
      <c r="M75" s="78"/>
      <c r="N75" s="78"/>
    </row>
    <row r="76" spans="1:14" x14ac:dyDescent="0.35">
      <c r="A76" s="122" t="s">
        <v>250</v>
      </c>
      <c r="B76" s="123" t="s">
        <v>251</v>
      </c>
      <c r="C76" s="124">
        <v>0.57999999999999996</v>
      </c>
      <c r="D76" s="124" t="s">
        <v>107</v>
      </c>
      <c r="E76" s="124">
        <v>1.56</v>
      </c>
      <c r="F76" s="125" t="s">
        <v>108</v>
      </c>
      <c r="G76" s="126">
        <v>0.3</v>
      </c>
      <c r="H76" s="124" t="s">
        <v>252</v>
      </c>
      <c r="I76" s="127">
        <v>0.25</v>
      </c>
      <c r="J76" s="78"/>
      <c r="K76" s="78"/>
      <c r="L76" s="78"/>
      <c r="M76" s="78"/>
      <c r="N76" s="78"/>
    </row>
    <row r="77" spans="1:14" x14ac:dyDescent="0.35">
      <c r="A77" s="122" t="s">
        <v>253</v>
      </c>
      <c r="B77" s="123" t="s">
        <v>254</v>
      </c>
      <c r="C77" s="124">
        <v>0.37</v>
      </c>
      <c r="D77" s="124" t="s">
        <v>107</v>
      </c>
      <c r="E77" s="124">
        <v>1.3</v>
      </c>
      <c r="F77" s="125" t="s">
        <v>108</v>
      </c>
      <c r="G77" s="126">
        <v>0.55000000000000004</v>
      </c>
      <c r="H77" s="124" t="s">
        <v>134</v>
      </c>
      <c r="I77" s="127">
        <v>0.43</v>
      </c>
      <c r="J77" s="78"/>
      <c r="K77" s="78"/>
      <c r="L77" s="78"/>
      <c r="M77" s="78"/>
      <c r="N77" s="78"/>
    </row>
    <row r="78" spans="1:14" x14ac:dyDescent="0.35">
      <c r="A78" s="122" t="s">
        <v>255</v>
      </c>
      <c r="B78" s="123" t="s">
        <v>256</v>
      </c>
      <c r="C78" s="124">
        <v>0.37</v>
      </c>
      <c r="D78" s="124" t="s">
        <v>107</v>
      </c>
      <c r="E78" s="124">
        <v>1.3</v>
      </c>
      <c r="F78" s="125" t="s">
        <v>108</v>
      </c>
      <c r="G78" s="126">
        <v>0.55000000000000004</v>
      </c>
      <c r="H78" s="124" t="s">
        <v>134</v>
      </c>
      <c r="I78" s="127">
        <v>0.43</v>
      </c>
      <c r="J78" s="78"/>
      <c r="K78" s="78"/>
      <c r="L78" s="78"/>
      <c r="M78" s="78"/>
      <c r="N78" s="78"/>
    </row>
    <row r="79" spans="1:14" x14ac:dyDescent="0.35">
      <c r="A79" s="122" t="s">
        <v>257</v>
      </c>
      <c r="B79" s="123" t="s">
        <v>258</v>
      </c>
      <c r="C79" s="124">
        <v>0.38</v>
      </c>
      <c r="D79" s="124" t="s">
        <v>107</v>
      </c>
      <c r="E79" s="124">
        <v>1.3</v>
      </c>
      <c r="F79" s="125" t="s">
        <v>108</v>
      </c>
      <c r="G79" s="126">
        <v>0.55000000000000004</v>
      </c>
      <c r="H79" s="124" t="s">
        <v>124</v>
      </c>
      <c r="I79" s="127">
        <v>0.43</v>
      </c>
      <c r="J79" s="78"/>
      <c r="K79" s="78"/>
      <c r="L79" s="78"/>
      <c r="M79" s="78"/>
      <c r="N79" s="78"/>
    </row>
    <row r="80" spans="1:14" x14ac:dyDescent="0.35">
      <c r="A80" s="122" t="s">
        <v>259</v>
      </c>
      <c r="B80" s="123" t="s">
        <v>260</v>
      </c>
      <c r="C80" s="124">
        <v>0.36</v>
      </c>
      <c r="D80" s="124" t="s">
        <v>107</v>
      </c>
      <c r="E80" s="124">
        <v>1.3</v>
      </c>
      <c r="F80" s="125" t="s">
        <v>108</v>
      </c>
      <c r="G80" s="126">
        <v>0.55000000000000004</v>
      </c>
      <c r="H80" s="124" t="s">
        <v>124</v>
      </c>
      <c r="I80" s="127">
        <v>0.43</v>
      </c>
      <c r="J80" s="78"/>
      <c r="K80" s="78"/>
      <c r="L80" s="78"/>
      <c r="M80" s="78"/>
      <c r="N80" s="78"/>
    </row>
    <row r="81" spans="1:14" x14ac:dyDescent="0.35">
      <c r="A81" s="122" t="s">
        <v>261</v>
      </c>
      <c r="B81" s="123" t="s">
        <v>262</v>
      </c>
      <c r="C81" s="124">
        <v>0.37</v>
      </c>
      <c r="D81" s="124" t="s">
        <v>107</v>
      </c>
      <c r="E81" s="124">
        <v>1.56</v>
      </c>
      <c r="F81" s="125" t="s">
        <v>108</v>
      </c>
      <c r="G81" s="126">
        <v>0.43</v>
      </c>
      <c r="H81" s="124" t="s">
        <v>109</v>
      </c>
      <c r="I81" s="127">
        <v>0.25</v>
      </c>
      <c r="J81" s="78"/>
      <c r="K81" s="78"/>
      <c r="L81" s="78"/>
      <c r="M81" s="78"/>
      <c r="N81" s="78"/>
    </row>
    <row r="82" spans="1:14" x14ac:dyDescent="0.35">
      <c r="A82" s="122" t="s">
        <v>263</v>
      </c>
      <c r="B82" s="123" t="s">
        <v>264</v>
      </c>
      <c r="C82" s="124">
        <v>0.35</v>
      </c>
      <c r="D82" s="124" t="s">
        <v>265</v>
      </c>
      <c r="E82" s="124">
        <v>1.3</v>
      </c>
      <c r="F82" s="125" t="s">
        <v>108</v>
      </c>
      <c r="G82" s="126">
        <v>0.55000000000000004</v>
      </c>
      <c r="H82" s="124" t="s">
        <v>124</v>
      </c>
      <c r="I82" s="127">
        <v>0.43</v>
      </c>
      <c r="J82" s="78"/>
      <c r="K82" s="78"/>
      <c r="L82" s="78"/>
      <c r="M82" s="78"/>
      <c r="N82" s="78"/>
    </row>
    <row r="83" spans="1:14" x14ac:dyDescent="0.35">
      <c r="A83" s="122" t="s">
        <v>266</v>
      </c>
      <c r="B83" s="123" t="s">
        <v>267</v>
      </c>
      <c r="C83" s="124">
        <v>0.34</v>
      </c>
      <c r="D83" s="124" t="s">
        <v>107</v>
      </c>
      <c r="E83" s="124">
        <v>1.3</v>
      </c>
      <c r="F83" s="125" t="s">
        <v>108</v>
      </c>
      <c r="G83" s="126">
        <v>0.55000000000000004</v>
      </c>
      <c r="H83" s="124" t="s">
        <v>124</v>
      </c>
      <c r="I83" s="127">
        <v>0.43</v>
      </c>
      <c r="J83" s="78"/>
      <c r="K83" s="78"/>
      <c r="L83" s="78"/>
      <c r="M83" s="78"/>
      <c r="N83" s="78"/>
    </row>
    <row r="84" spans="1:14" x14ac:dyDescent="0.35">
      <c r="A84" s="122" t="s">
        <v>268</v>
      </c>
      <c r="B84" s="123" t="s">
        <v>269</v>
      </c>
      <c r="C84" s="124">
        <v>0.31</v>
      </c>
      <c r="D84" s="124" t="s">
        <v>107</v>
      </c>
      <c r="E84" s="124">
        <v>1.3</v>
      </c>
      <c r="F84" s="125" t="s">
        <v>108</v>
      </c>
      <c r="G84" s="126">
        <v>0.55000000000000004</v>
      </c>
      <c r="H84" s="124" t="s">
        <v>124</v>
      </c>
      <c r="I84" s="127">
        <v>0.43</v>
      </c>
      <c r="J84" s="78"/>
      <c r="K84" s="78"/>
      <c r="L84" s="78"/>
      <c r="M84" s="78"/>
      <c r="N84" s="78"/>
    </row>
    <row r="85" spans="1:14" x14ac:dyDescent="0.35">
      <c r="A85" s="122" t="s">
        <v>270</v>
      </c>
      <c r="B85" s="123" t="s">
        <v>271</v>
      </c>
      <c r="C85" s="124">
        <v>0.43</v>
      </c>
      <c r="D85" s="124" t="s">
        <v>107</v>
      </c>
      <c r="E85" s="124">
        <v>1.56</v>
      </c>
      <c r="F85" s="125" t="s">
        <v>108</v>
      </c>
      <c r="G85" s="126">
        <v>0.53</v>
      </c>
      <c r="H85" s="124" t="s">
        <v>165</v>
      </c>
      <c r="I85" s="127">
        <v>0.25</v>
      </c>
      <c r="J85" s="78"/>
      <c r="K85" s="78"/>
      <c r="L85" s="78"/>
      <c r="M85" s="78"/>
      <c r="N85" s="78"/>
    </row>
    <row r="86" spans="1:14" x14ac:dyDescent="0.35">
      <c r="A86" s="122" t="s">
        <v>272</v>
      </c>
      <c r="B86" s="123" t="s">
        <v>273</v>
      </c>
      <c r="C86" s="124">
        <v>0.38</v>
      </c>
      <c r="D86" s="124" t="s">
        <v>107</v>
      </c>
      <c r="E86" s="124">
        <v>1.56</v>
      </c>
      <c r="F86" s="125" t="s">
        <v>108</v>
      </c>
      <c r="G86" s="126">
        <v>0.6</v>
      </c>
      <c r="H86" s="124" t="s">
        <v>274</v>
      </c>
      <c r="I86" s="127">
        <v>0.25</v>
      </c>
      <c r="J86" s="78"/>
      <c r="K86" s="78"/>
      <c r="L86" s="78"/>
      <c r="M86" s="78"/>
      <c r="N86" s="78"/>
    </row>
    <row r="87" spans="1:14" x14ac:dyDescent="0.35">
      <c r="A87" s="251" t="s">
        <v>275</v>
      </c>
      <c r="B87" s="252" t="s">
        <v>276</v>
      </c>
      <c r="C87" s="253">
        <v>0.41</v>
      </c>
      <c r="D87" s="253" t="s">
        <v>277</v>
      </c>
      <c r="E87" s="253">
        <v>1.56</v>
      </c>
      <c r="F87" s="254" t="s">
        <v>108</v>
      </c>
      <c r="G87" s="255">
        <v>0.43</v>
      </c>
      <c r="H87" s="253" t="s">
        <v>109</v>
      </c>
      <c r="I87" s="256">
        <v>0.25</v>
      </c>
      <c r="J87" s="78"/>
      <c r="K87" s="78"/>
      <c r="L87" s="78"/>
      <c r="M87" s="78"/>
      <c r="N87" s="78"/>
    </row>
    <row r="88" spans="1:14" x14ac:dyDescent="0.35">
      <c r="A88" s="122" t="s">
        <v>67</v>
      </c>
      <c r="B88" s="130"/>
      <c r="C88" s="124">
        <v>0.42</v>
      </c>
      <c r="D88" s="124" t="s">
        <v>107</v>
      </c>
      <c r="E88" s="124">
        <v>1.3</v>
      </c>
      <c r="F88" s="125" t="s">
        <v>108</v>
      </c>
      <c r="G88" s="131"/>
      <c r="H88" s="130"/>
      <c r="I88" s="132"/>
    </row>
    <row r="89" spans="1:14" ht="15" thickBot="1" x14ac:dyDescent="0.4">
      <c r="A89" s="133" t="s">
        <v>278</v>
      </c>
      <c r="B89" s="134"/>
      <c r="C89" s="135">
        <v>0.56999999999999995</v>
      </c>
      <c r="D89" s="136" t="s">
        <v>107</v>
      </c>
      <c r="E89" s="135">
        <v>1.56</v>
      </c>
      <c r="F89" s="135" t="s">
        <v>108</v>
      </c>
      <c r="G89" s="134"/>
      <c r="H89" s="134"/>
      <c r="I89" s="137"/>
    </row>
    <row r="93" spans="1:14" x14ac:dyDescent="0.35">
      <c r="A93" s="122" t="s">
        <v>68</v>
      </c>
    </row>
    <row r="94" spans="1:14" x14ac:dyDescent="0.35">
      <c r="A94" s="122" t="s">
        <v>69</v>
      </c>
    </row>
    <row r="95" spans="1:14" x14ac:dyDescent="0.35">
      <c r="A95" s="122" t="s">
        <v>70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zoomScale="90" zoomScaleNormal="90" workbookViewId="0">
      <selection activeCell="I8" sqref="I8"/>
    </sheetView>
  </sheetViews>
  <sheetFormatPr baseColWidth="10" defaultColWidth="11.453125" defaultRowHeight="14.5" x14ac:dyDescent="0.35"/>
  <cols>
    <col min="1" max="1" width="22.81640625" style="1" bestFit="1" customWidth="1"/>
    <col min="2" max="2" width="10.54296875" style="1" bestFit="1" customWidth="1"/>
    <col min="3" max="3" width="15.54296875" style="1" bestFit="1" customWidth="1"/>
    <col min="4" max="4" width="13.453125" style="1" bestFit="1" customWidth="1"/>
    <col min="5" max="8" width="11.453125" style="1"/>
    <col min="9" max="13" width="11.453125" style="62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5" thickBot="1" x14ac:dyDescent="0.65">
      <c r="A2" s="272" t="s">
        <v>279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 x14ac:dyDescent="0.4">
      <c r="A5" s="138" t="s">
        <v>280</v>
      </c>
      <c r="B5" s="139" t="s">
        <v>281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282</v>
      </c>
      <c r="F5" s="140" t="s">
        <v>283</v>
      </c>
      <c r="G5" s="140" t="s">
        <v>284</v>
      </c>
      <c r="H5" s="141" t="s">
        <v>285</v>
      </c>
      <c r="I5" s="142" t="s">
        <v>286</v>
      </c>
      <c r="J5" s="143" t="s">
        <v>287</v>
      </c>
      <c r="K5" s="144" t="s">
        <v>288</v>
      </c>
      <c r="L5" s="84" t="s">
        <v>289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5" t="str">
        <f>IF('Données projet'!$B$9="","",'Données projet'!$B$9)</f>
        <v>Peuplier Koster</v>
      </c>
      <c r="B6" s="146">
        <f>'Données projet'!D9</f>
        <v>1.4398</v>
      </c>
      <c r="C6" s="147">
        <f ca="1">IF(OR('Données projet'!B9="",'Données projet'!C9="",'Données projet'!C9=0%),0,Calculateur!S3)</f>
        <v>112.82287576550925</v>
      </c>
      <c r="D6" s="147">
        <f>IF(OR('Données projet'!B9="",'Données projet'!C9="",'Données projet'!C9=0%),0,Calculateur!T3)</f>
        <v>317.78570695363294</v>
      </c>
      <c r="E6" s="147">
        <f ca="1">MIN(C6,D6)</f>
        <v>112.82287576550925</v>
      </c>
      <c r="F6" s="147">
        <f ca="1">E6*B6</f>
        <v>162.44237652718022</v>
      </c>
      <c r="G6" s="147">
        <f ca="1">F6*(100%-'Données projet'!$C$24)*(100%-'Données projet'!$C$25)*(100%-'Données projet'!$C$26)*(100%-'Données projet'!$C$27)</f>
        <v>131.57832498701598</v>
      </c>
      <c r="H6" s="148">
        <f>IF(OR('Données projet'!B9="",'Données projet'!C9="",'Données projet'!C9=0%),0,AVERAGE(Calculateur!$AC$3:$AC$33)*B6)</f>
        <v>36.455453060288519</v>
      </c>
      <c r="I6" s="149">
        <f>H6*(100%-'Données projet'!$C$24)*(100%-'Données projet'!$C$25)*(100%-'Données projet'!$C$26)*(100%-'Données projet'!$C$27)</f>
        <v>29.528916978833703</v>
      </c>
      <c r="J6" s="150">
        <f>IF(OR('Données projet'!B9="",'Données projet'!C9="",'Données projet'!C9=0%),0,SUM(Calculateur!$V$3:$V$33)*VLOOKUP('Données projet'!$B$9,Paramètres!$A$1:$I$89,9,0)*B6)</f>
        <v>377.69765778205118</v>
      </c>
      <c r="K6" s="151">
        <f>J6*(100%-'Données projet'!$C$24)*(100%-'Données projet'!$C$25)*(100%-'Données projet'!$C$26)*(100%-'Données projet'!$C$27)</f>
        <v>305.93510280346146</v>
      </c>
      <c r="L6" s="152">
        <f ca="1">G6+I6+K6</f>
        <v>467.04234476931117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3" t="str">
        <f>IF('Données projet'!$B$10="","",'Données projet'!$B$10)</f>
        <v>Robinier faux-acacia</v>
      </c>
      <c r="B7" s="154">
        <f>'Données projet'!D10</f>
        <v>0.85099999999999998</v>
      </c>
      <c r="C7" s="147">
        <f ca="1">IF(OR('Données projet'!B10="",'Données projet'!C10="",'Données projet'!C10=0%),0,Calculateur!AN3)</f>
        <v>312.51355033343896</v>
      </c>
      <c r="D7" s="147">
        <f>IF(OR('Données projet'!B10="",'Données projet'!C10="",'Données projet'!C10=0%),0,Calculateur!AO3)</f>
        <v>442.54749157177571</v>
      </c>
      <c r="E7" s="147">
        <f t="shared" ref="E7:E15" ca="1" si="0">MIN(C7,D7)</f>
        <v>312.51355033343896</v>
      </c>
      <c r="F7" s="147">
        <f t="shared" ref="F7:F15" ca="1" si="1">E7*B7</f>
        <v>265.94903133375652</v>
      </c>
      <c r="G7" s="147">
        <f ca="1">F7*(100%-'Données projet'!$C$24)*(100%-'Données projet'!$C$25)*(100%-'Données projet'!$C$26)*(100%-'Données projet'!$C$27)</f>
        <v>215.41871538034277</v>
      </c>
      <c r="H7" s="155">
        <f>IF(OR('Données projet'!B10="",'Données projet'!C10="",'Données projet'!C10=0%),0,AVERAGE(Calculateur!$AX$3:$AX$33)*B7)</f>
        <v>3.2819764200498674E-2</v>
      </c>
      <c r="I7" s="149">
        <f>H7*(100%-'Données projet'!$C$24)*(100%-'Données projet'!$C$25)*(100%-'Données projet'!$C$26)*(100%-'Données projet'!$C$27)</f>
        <v>2.658400900240393E-2</v>
      </c>
      <c r="J7" s="150">
        <f>IF(OR('Données projet'!B10="",'Données projet'!C10="",'Données projet'!C10=0%),0,SUM(Calculateur!$AQ$3:$AQ$33)*VLOOKUP('Données projet'!$B$10,Paramètres!$A$1:$I$89,9,0)*B7)</f>
        <v>16.169</v>
      </c>
      <c r="K7" s="151">
        <f>J7*(100%-'Données projet'!$C$24)*(100%-'Données projet'!$C$25)*(100%-'Données projet'!$C$26)*(100%-'Données projet'!$C$27)</f>
        <v>13.096890000000002</v>
      </c>
      <c r="L7" s="152">
        <f t="shared" ref="L7:L15" ca="1" si="2">G7+I7+K7</f>
        <v>228.54218938934517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3" t="str">
        <f>IF('Données projet'!$B$11="","",'Données projet'!$B$11)</f>
        <v/>
      </c>
      <c r="B8" s="154">
        <f>'Données projet'!D11</f>
        <v>0</v>
      </c>
      <c r="C8" s="147">
        <f>IF(OR('Données projet'!B11="",'Données projet'!C11="",'Données projet'!C11=0%),0,Calculateur!BI3)</f>
        <v>0</v>
      </c>
      <c r="D8" s="147">
        <f>IF(OR('Données projet'!B11="",'Données projet'!C11="",'Données projet'!C11=0%),0,Calculateur!BJ3)</f>
        <v>0</v>
      </c>
      <c r="E8" s="147">
        <f t="shared" si="0"/>
        <v>0</v>
      </c>
      <c r="F8" s="147">
        <f t="shared" si="1"/>
        <v>0</v>
      </c>
      <c r="G8" s="147">
        <f>F8*(100%-'Données projet'!$C$24)*(100%-'Données projet'!$C$25)*(100%-'Données projet'!$C$26)*(100%-'Données projet'!$C$27)</f>
        <v>0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4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4">
      <c r="A16" s="209"/>
      <c r="B16" s="213"/>
      <c r="C16" s="214"/>
      <c r="D16" s="23"/>
      <c r="E16" s="23"/>
      <c r="F16" s="165">
        <f t="shared" ref="F16:L16" ca="1" si="3">SUM(F6:F15)</f>
        <v>428.39140786093674</v>
      </c>
      <c r="G16" s="166">
        <f t="shared" ca="1" si="3"/>
        <v>346.99704036735875</v>
      </c>
      <c r="H16" s="167">
        <f t="shared" si="3"/>
        <v>36.488272824489016</v>
      </c>
      <c r="I16" s="167">
        <f t="shared" si="3"/>
        <v>29.555500987836108</v>
      </c>
      <c r="J16" s="168">
        <f t="shared" si="3"/>
        <v>393.86665778205116</v>
      </c>
      <c r="K16" s="168">
        <f t="shared" si="3"/>
        <v>319.03199280346143</v>
      </c>
      <c r="L16" s="169">
        <f t="shared" ca="1" si="3"/>
        <v>695.58453415865631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9"/>
      <c r="B17" s="213"/>
      <c r="C17" s="214"/>
      <c r="D17" s="23"/>
      <c r="E17" s="23"/>
      <c r="F17" s="284" t="s">
        <v>290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4">
      <c r="A21" s="170" t="str">
        <f>A6</f>
        <v>Peuplier Koster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4">
      <c r="A39" s="170" t="str">
        <f>A7</f>
        <v>Robinier faux-acacia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4">
      <c r="A57" s="170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4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4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4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4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4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4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4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E14" zoomScale="80" zoomScaleNormal="80" workbookViewId="0">
      <selection activeCell="L26" sqref="L26:P27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1796875" style="1" bestFit="1" customWidth="1"/>
    <col min="4" max="5" width="11.453125" style="1"/>
    <col min="6" max="6" width="14" style="1" customWidth="1"/>
    <col min="7" max="7" width="17.54296875" style="1" customWidth="1"/>
    <col min="8" max="8" width="21.72656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17968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5" thickBot="1" x14ac:dyDescent="0.65">
      <c r="A2" s="4"/>
      <c r="B2" s="272" t="s">
        <v>291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62" t="s">
        <v>292</v>
      </c>
      <c r="I4" s="262"/>
      <c r="K4" s="286" t="s">
        <v>293</v>
      </c>
      <c r="L4" s="287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4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2"/>
      <c r="B7" s="243"/>
      <c r="C7" s="243"/>
      <c r="D7" s="243"/>
      <c r="E7" s="244"/>
      <c r="F7" s="244" t="s">
        <v>4</v>
      </c>
      <c r="G7" s="245"/>
      <c r="H7" s="243"/>
      <c r="I7" s="243"/>
      <c r="J7" s="246"/>
      <c r="K7" s="240"/>
      <c r="L7" s="241"/>
      <c r="M7" s="241"/>
      <c r="N7" s="247" t="s">
        <v>53</v>
      </c>
      <c r="O7" s="247"/>
      <c r="P7" s="248"/>
      <c r="Q7" s="249"/>
      <c r="R7" s="296" t="s">
        <v>294</v>
      </c>
      <c r="S7" s="297"/>
      <c r="T7" s="297"/>
      <c r="U7" s="297"/>
      <c r="V7" s="298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3" t="s">
        <v>295</v>
      </c>
      <c r="C9" s="23"/>
      <c r="D9" s="23"/>
      <c r="E9" s="23"/>
      <c r="F9" s="230"/>
      <c r="G9" s="93" t="s">
        <v>296</v>
      </c>
      <c r="J9" s="200"/>
      <c r="K9" s="208"/>
      <c r="O9" s="23"/>
      <c r="P9" s="23"/>
      <c r="Q9" s="234"/>
      <c r="R9" s="23"/>
      <c r="S9" s="4"/>
      <c r="T9" s="36" t="s">
        <v>297</v>
      </c>
      <c r="U9" s="176" t="s">
        <v>298</v>
      </c>
      <c r="V9" s="36" t="s">
        <v>299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3" t="s">
        <v>300</v>
      </c>
      <c r="C10" s="23"/>
      <c r="D10" s="23"/>
      <c r="E10" s="23"/>
      <c r="F10" s="230"/>
      <c r="G10" s="93" t="s">
        <v>301</v>
      </c>
      <c r="J10" s="200"/>
      <c r="K10" s="208"/>
      <c r="O10" s="23"/>
      <c r="P10" s="23"/>
      <c r="Q10" s="234"/>
      <c r="R10" s="23"/>
      <c r="S10" s="36" t="str">
        <f>B14</f>
        <v>Peuplier Koster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5072.8630118654719</v>
      </c>
      <c r="U10" s="178">
        <f>'Données projet'!D9</f>
        <v>1.4398</v>
      </c>
      <c r="V10" s="177">
        <f>U10*T10</f>
        <v>7303.9081644839061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3" t="s">
        <v>302</v>
      </c>
      <c r="B11" s="23"/>
      <c r="C11" s="23"/>
      <c r="D11" s="23"/>
      <c r="E11" s="23"/>
      <c r="F11" s="230"/>
      <c r="G11" s="93" t="s">
        <v>303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Robinier faux-acacia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298.42560708835441</v>
      </c>
      <c r="U11" s="178">
        <f>'Données projet'!D10</f>
        <v>0.85099999999999998</v>
      </c>
      <c r="V11" s="177">
        <f t="shared" ref="V11" si="0">U11*T11</f>
        <v>253.96019163218961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/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8">
        <f>'Données projet'!D11</f>
        <v>0</v>
      </c>
      <c r="V12" s="177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30"/>
      <c r="J13" s="23"/>
      <c r="K13" s="208"/>
      <c r="L13" s="93" t="s">
        <v>304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15</v>
      </c>
      <c r="B14" s="174" t="str">
        <f>IF('Données projet'!$B$9="","",'Données projet'!$B$9)</f>
        <v>Peuplier Koster</v>
      </c>
      <c r="C14" s="4"/>
      <c r="D14" s="4"/>
      <c r="E14" s="4"/>
      <c r="F14" s="230"/>
      <c r="G14" s="23"/>
      <c r="H14" s="36" t="s">
        <v>72</v>
      </c>
      <c r="I14" s="36" t="s">
        <v>305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30"/>
      <c r="G15" s="289" t="s">
        <v>306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44</v>
      </c>
      <c r="B16" s="48" t="s">
        <v>307</v>
      </c>
      <c r="C16" s="48" t="s">
        <v>308</v>
      </c>
      <c r="D16" s="36" t="s">
        <v>309</v>
      </c>
      <c r="E16" s="36" t="s">
        <v>310</v>
      </c>
      <c r="F16" s="230"/>
      <c r="G16" s="289"/>
      <c r="H16" s="190"/>
      <c r="I16" s="191"/>
      <c r="J16" s="202"/>
      <c r="K16" s="208"/>
      <c r="L16" s="286" t="s">
        <v>311</v>
      </c>
      <c r="M16" s="287"/>
      <c r="N16" s="2"/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9" t="s">
        <v>193</v>
      </c>
      <c r="C17" s="198" t="s">
        <v>193</v>
      </c>
      <c r="D17" s="197" t="s">
        <v>193</v>
      </c>
      <c r="E17" s="193"/>
      <c r="F17" s="230"/>
      <c r="G17" s="289"/>
      <c r="J17" s="202"/>
      <c r="K17" s="208"/>
      <c r="L17" s="259" t="s">
        <v>312</v>
      </c>
      <c r="M17" s="261"/>
      <c r="N17" s="175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9" t="s">
        <v>193</v>
      </c>
      <c r="C18" s="198" t="s">
        <v>193</v>
      </c>
      <c r="D18" s="197" t="s">
        <v>193</v>
      </c>
      <c r="E18" s="193"/>
      <c r="F18" s="230"/>
      <c r="G18" s="289"/>
      <c r="J18" s="202"/>
      <c r="K18" s="208"/>
      <c r="L18" s="259" t="s">
        <v>308</v>
      </c>
      <c r="M18" s="261"/>
      <c r="N18" s="192"/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9" t="s">
        <v>193</v>
      </c>
      <c r="C19" s="198" t="s">
        <v>193</v>
      </c>
      <c r="D19" s="197" t="s">
        <v>193</v>
      </c>
      <c r="E19" s="193"/>
      <c r="F19" s="230"/>
      <c r="G19" s="289"/>
      <c r="H19" s="212" t="s">
        <v>72</v>
      </c>
      <c r="I19" s="212" t="s">
        <v>313</v>
      </c>
      <c r="J19" s="93"/>
      <c r="K19" s="173"/>
      <c r="L19" s="286" t="s">
        <v>314</v>
      </c>
      <c r="M19" s="287"/>
      <c r="N19" s="179">
        <f>N17*N18</f>
        <v>0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9" t="s">
        <v>193</v>
      </c>
      <c r="C20" s="198" t="s">
        <v>193</v>
      </c>
      <c r="D20" s="197" t="s">
        <v>193</v>
      </c>
      <c r="E20" s="193"/>
      <c r="F20" s="230"/>
      <c r="G20" s="289"/>
      <c r="H20" s="190">
        <v>1</v>
      </c>
      <c r="I20" s="191">
        <v>4762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9" t="s">
        <v>193</v>
      </c>
      <c r="C21" s="198" t="s">
        <v>193</v>
      </c>
      <c r="D21" s="197" t="s">
        <v>193</v>
      </c>
      <c r="E21" s="193"/>
      <c r="F21" s="230"/>
      <c r="H21" s="190"/>
      <c r="I21" s="191"/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9" t="s">
        <v>193</v>
      </c>
      <c r="C22" s="198" t="s">
        <v>193</v>
      </c>
      <c r="D22" s="197" t="s">
        <v>193</v>
      </c>
      <c r="E22" s="193"/>
      <c r="F22" s="230"/>
      <c r="H22" s="190"/>
      <c r="I22" s="191"/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80">
        <f>'Données projet'!A36</f>
        <v>2</v>
      </c>
      <c r="B23" s="181">
        <f>'Données projet'!D36</f>
        <v>0</v>
      </c>
      <c r="C23" s="193"/>
      <c r="D23" s="182">
        <f>B23*C23</f>
        <v>0</v>
      </c>
      <c r="E23" s="193"/>
      <c r="F23" s="230"/>
      <c r="H23" s="190"/>
      <c r="I23" s="191"/>
      <c r="K23" s="208"/>
      <c r="L23" s="288" t="s">
        <v>315</v>
      </c>
      <c r="M23" s="288"/>
      <c r="N23" s="288"/>
      <c r="O23" s="23"/>
      <c r="P23" s="23"/>
      <c r="Q23" s="234"/>
      <c r="R23" s="23"/>
      <c r="S23" s="36" t="s">
        <v>316</v>
      </c>
      <c r="T23" s="301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-2923.0885816829468</v>
      </c>
      <c r="U23" s="301"/>
      <c r="V23" s="301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80">
        <f>'Données projet'!A37</f>
        <v>3</v>
      </c>
      <c r="B24" s="181">
        <f>'Données projet'!D37</f>
        <v>0</v>
      </c>
      <c r="C24" s="193"/>
      <c r="D24" s="182">
        <f t="shared" ref="D24:D42" si="2">B24*C24</f>
        <v>0</v>
      </c>
      <c r="E24" s="193"/>
      <c r="F24" s="233"/>
      <c r="H24" s="190"/>
      <c r="I24" s="191"/>
      <c r="K24" s="208"/>
      <c r="O24" s="23"/>
      <c r="P24" s="23"/>
      <c r="Q24" s="234"/>
      <c r="R24" s="23"/>
      <c r="S24" s="36" t="s">
        <v>317</v>
      </c>
      <c r="T24" s="302">
        <f ca="1">'Scénario référence'!$B$8*$M$30*'Données projet'!$C$5+('Scénario référence'!B9+'Scénario référence'!B10+'Scénario référence'!F8+'Scénario référence'!F9)*$N$19/(1+M4)^N16*'Données projet'!$C$5</f>
        <v>16109.126919171769</v>
      </c>
      <c r="U24" s="302"/>
      <c r="V24" s="302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80">
        <f>'Données projet'!A38</f>
        <v>4</v>
      </c>
      <c r="B25" s="181">
        <f>'Données projet'!D38</f>
        <v>0</v>
      </c>
      <c r="C25" s="193"/>
      <c r="D25" s="182">
        <f t="shared" si="2"/>
        <v>0</v>
      </c>
      <c r="E25" s="193"/>
      <c r="F25" s="233"/>
      <c r="H25" s="190"/>
      <c r="I25" s="191"/>
      <c r="K25" s="208"/>
      <c r="L25" s="130" t="s">
        <v>318</v>
      </c>
      <c r="M25" s="130"/>
      <c r="N25" s="130"/>
      <c r="O25" s="130"/>
      <c r="P25" s="192">
        <v>500</v>
      </c>
      <c r="Q25" s="234"/>
      <c r="R25" s="23"/>
      <c r="S25" s="186" t="s">
        <v>319</v>
      </c>
      <c r="T25" s="303">
        <f ca="1">T23-T24</f>
        <v>-19032.215500854716</v>
      </c>
      <c r="U25" s="303"/>
      <c r="V25" s="303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80">
        <f>'Données projet'!A39</f>
        <v>5</v>
      </c>
      <c r="B26" s="181">
        <f>'Données projet'!D39</f>
        <v>0</v>
      </c>
      <c r="C26" s="193"/>
      <c r="D26" s="182">
        <f t="shared" si="2"/>
        <v>0</v>
      </c>
      <c r="E26" s="193"/>
      <c r="F26" s="233"/>
      <c r="G26" s="229"/>
      <c r="H26" s="190"/>
      <c r="I26" s="191"/>
      <c r="K26" s="208"/>
      <c r="L26" s="290" t="s">
        <v>320</v>
      </c>
      <c r="M26" s="291"/>
      <c r="N26" s="291"/>
      <c r="O26" s="291"/>
      <c r="P26" s="292"/>
      <c r="Q26" s="234"/>
      <c r="R26" s="23"/>
      <c r="S26" s="186" t="s">
        <v>321</v>
      </c>
      <c r="T26" s="300" t="str">
        <f ca="1">IF(T25&lt;0,"Votre projet est additionnel","Votre projet n'est pas additionnel")</f>
        <v>Votre projet est additionnel</v>
      </c>
      <c r="U26" s="300"/>
      <c r="V26" s="300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80">
        <f>'Données projet'!A40</f>
        <v>6</v>
      </c>
      <c r="B27" s="181">
        <f>'Données projet'!D40</f>
        <v>0</v>
      </c>
      <c r="C27" s="193"/>
      <c r="D27" s="182">
        <f t="shared" si="2"/>
        <v>0</v>
      </c>
      <c r="E27" s="193"/>
      <c r="F27" s="233"/>
      <c r="G27" s="229"/>
      <c r="H27" s="190"/>
      <c r="I27" s="191"/>
      <c r="K27" s="208"/>
      <c r="L27" s="293"/>
      <c r="M27" s="294"/>
      <c r="N27" s="294"/>
      <c r="O27" s="294"/>
      <c r="P27" s="295"/>
      <c r="Q27" s="234"/>
      <c r="R27" s="23"/>
      <c r="S27" s="299" t="s">
        <v>322</v>
      </c>
      <c r="T27" s="299"/>
      <c r="U27" s="299"/>
      <c r="V27" s="299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80">
        <f>'Données projet'!A41</f>
        <v>7</v>
      </c>
      <c r="B28" s="181">
        <f>'Données projet'!D41</f>
        <v>0</v>
      </c>
      <c r="C28" s="193"/>
      <c r="D28" s="182">
        <f t="shared" si="2"/>
        <v>0</v>
      </c>
      <c r="E28" s="193"/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80">
        <f>'Données projet'!A42</f>
        <v>8</v>
      </c>
      <c r="B29" s="181">
        <f>'Données projet'!D42</f>
        <v>0</v>
      </c>
      <c r="C29" s="193"/>
      <c r="D29" s="182">
        <f t="shared" si="2"/>
        <v>0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80">
        <f>'Données projet'!A43</f>
        <v>9</v>
      </c>
      <c r="B30" s="181">
        <f>'Données projet'!D43</f>
        <v>0</v>
      </c>
      <c r="C30" s="193"/>
      <c r="D30" s="182">
        <f t="shared" si="2"/>
        <v>0</v>
      </c>
      <c r="E30" s="193"/>
      <c r="F30" s="233"/>
      <c r="G30" s="203"/>
      <c r="H30" s="190"/>
      <c r="I30" s="191"/>
      <c r="K30" s="183"/>
      <c r="L30" s="36" t="s">
        <v>323</v>
      </c>
      <c r="M30" s="184">
        <f ca="1">SUM(OFFSET($P$33,0,0,MIN('Données projet'!$E$9:$E$18)+1,1))</f>
        <v>7003.9682257268569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80">
        <f>'Données projet'!A44</f>
        <v>10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80">
        <f>'Données projet'!A45</f>
        <v>11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72</v>
      </c>
      <c r="P32" s="85" t="s">
        <v>309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80">
        <f>'Données projet'!A46</f>
        <v>12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500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80">
        <f>'Données projet'!A47</f>
        <v>13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478.46889952153111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80">
        <f>'Données projet'!A48</f>
        <v>14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457.86497561869015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80">
        <f>'Données projet'!A49</f>
        <v>15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438.14830202745469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80">
        <f>'Données projet'!A50</f>
        <v>16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419.28067179660746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80">
        <f>'Données projet'!A51</f>
        <v>17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401.22552325034206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80">
        <f>'Données projet'!A52</f>
        <v>18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383.94786913908342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80">
        <f>'Données projet'!A53</f>
        <v>19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367.41422884122812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80">
        <f>'Données projet'!A54</f>
        <v>20</v>
      </c>
      <c r="B41" s="181">
        <f>'Données projet'!D54</f>
        <v>254.68589743589735</v>
      </c>
      <c r="C41" s="193">
        <v>50</v>
      </c>
      <c r="D41" s="182">
        <f t="shared" si="2"/>
        <v>12734.294871794868</v>
      </c>
      <c r="E41" s="193">
        <v>500</v>
      </c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351.59256348442892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336.45221386069755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321.96384101502161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308.09936939236519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17</v>
      </c>
      <c r="B45" s="174" t="str">
        <f>IF('Données projet'!$B$10="","",'Données projet'!$B$10)</f>
        <v>Robinier faux-acacia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294.83193243288542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282.13582050993818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44</v>
      </c>
      <c r="B47" s="48" t="s">
        <v>307</v>
      </c>
      <c r="C47" s="48" t="s">
        <v>308</v>
      </c>
      <c r="D47" s="36" t="s">
        <v>309</v>
      </c>
      <c r="E47" s="36" t="s">
        <v>310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269.98643110998876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9" t="s">
        <v>193</v>
      </c>
      <c r="C48" s="198" t="s">
        <v>193</v>
      </c>
      <c r="D48" s="197" t="s">
        <v>193</v>
      </c>
      <c r="E48" s="193"/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258.36022115788398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5">
      <c r="A49" s="49">
        <v>1</v>
      </c>
      <c r="B49" s="199" t="s">
        <v>193</v>
      </c>
      <c r="C49" s="198" t="s">
        <v>193</v>
      </c>
      <c r="D49" s="197" t="s">
        <v>193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247.23466139510438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5">
      <c r="A50" s="49">
        <v>2</v>
      </c>
      <c r="B50" s="199" t="s">
        <v>193</v>
      </c>
      <c r="C50" s="198" t="s">
        <v>193</v>
      </c>
      <c r="D50" s="197" t="s">
        <v>193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236.58819272258791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9" t="s">
        <v>193</v>
      </c>
      <c r="C51" s="198" t="s">
        <v>193</v>
      </c>
      <c r="D51" s="197" t="s">
        <v>193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226.40018442352914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9" t="s">
        <v>193</v>
      </c>
      <c r="C52" s="198" t="s">
        <v>193</v>
      </c>
      <c r="D52" s="197" t="s">
        <v>193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216.65089418519537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9" t="s">
        <v>193</v>
      </c>
      <c r="C53" s="198" t="s">
        <v>193</v>
      </c>
      <c r="D53" s="197" t="s">
        <v>193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207.32142984229228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80">
        <f>'Données projet'!A62</f>
        <v>5</v>
      </c>
      <c r="B54" s="181">
        <f>'Données projet'!D62</f>
        <v>4</v>
      </c>
      <c r="C54" s="191">
        <v>10</v>
      </c>
      <c r="D54" s="179">
        <f>B54*C54</f>
        <v>40</v>
      </c>
      <c r="E54" s="193">
        <v>150</v>
      </c>
      <c r="F54" s="232"/>
      <c r="G54" s="205"/>
      <c r="H54" s="190"/>
      <c r="I54" s="191"/>
      <c r="J54" s="23"/>
      <c r="K54" s="173"/>
      <c r="L54" s="4"/>
      <c r="M54" s="4"/>
      <c r="N54" s="4"/>
      <c r="O54" s="194" t="str">
        <f>IF(O53+1&lt;=MIN('Données projet'!$E$9:$E$18),O53+1,"STOP")</f>
        <v>STOP</v>
      </c>
      <c r="P54" s="185" t="e">
        <f t="shared" si="3"/>
        <v>#VALUE!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80">
        <f>'Données projet'!A63</f>
        <v>10</v>
      </c>
      <c r="B55" s="181">
        <f>'Données projet'!D63</f>
        <v>21</v>
      </c>
      <c r="C55" s="191">
        <v>18</v>
      </c>
      <c r="D55" s="179">
        <f t="shared" ref="D55:D73" si="4">B55*C55</f>
        <v>378</v>
      </c>
      <c r="E55" s="193">
        <v>150</v>
      </c>
      <c r="F55" s="232"/>
      <c r="G55" s="205"/>
      <c r="H55" s="190"/>
      <c r="I55" s="191"/>
      <c r="J55" s="23"/>
      <c r="K55" s="173"/>
      <c r="L55" s="4"/>
      <c r="M55" s="4"/>
      <c r="N55" s="4"/>
      <c r="O55" s="194" t="e">
        <f>IF(O54+1&lt;=MIN('Données projet'!$E$9:$E$18),O54+1,"STOP")</f>
        <v>#VALUE!</v>
      </c>
      <c r="P55" s="185" t="e">
        <f t="shared" si="3"/>
        <v>#VALUE!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80">
        <f>'Données projet'!A64</f>
        <v>15</v>
      </c>
      <c r="B56" s="181">
        <f>'Données projet'!D64</f>
        <v>18</v>
      </c>
      <c r="C56" s="191">
        <v>25</v>
      </c>
      <c r="D56" s="179">
        <f t="shared" si="4"/>
        <v>450</v>
      </c>
      <c r="E56" s="193">
        <v>150</v>
      </c>
      <c r="F56" s="232"/>
      <c r="G56" s="205"/>
      <c r="H56" s="190"/>
      <c r="I56" s="191"/>
      <c r="J56" s="23"/>
      <c r="K56" s="173"/>
      <c r="L56" s="4"/>
      <c r="M56" s="4"/>
      <c r="N56" s="4"/>
      <c r="O56" s="194" t="e">
        <f>IF(O55+1&lt;=MIN('Données projet'!$E$9:$E$18),O55+1,"STOP")</f>
        <v>#VALUE!</v>
      </c>
      <c r="P56" s="185" t="e">
        <f t="shared" si="3"/>
        <v>#VALUE!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80">
        <f>'Données projet'!A65</f>
        <v>20</v>
      </c>
      <c r="B57" s="181">
        <f>'Données projet'!D65</f>
        <v>14</v>
      </c>
      <c r="C57" s="191">
        <v>25</v>
      </c>
      <c r="D57" s="179">
        <f t="shared" si="4"/>
        <v>350</v>
      </c>
      <c r="E57" s="193">
        <v>150</v>
      </c>
      <c r="F57" s="232"/>
      <c r="G57" s="205"/>
      <c r="H57" s="190"/>
      <c r="I57" s="191"/>
      <c r="J57" s="23"/>
      <c r="K57" s="173"/>
      <c r="L57" s="4"/>
      <c r="M57" s="4"/>
      <c r="N57" s="4"/>
      <c r="O57" s="194" t="e">
        <f>IF(O56+1&lt;=MIN('Données projet'!$E$9:$E$18),O56+1,"STOP")</f>
        <v>#VALUE!</v>
      </c>
      <c r="P57" s="185" t="e">
        <f t="shared" si="3"/>
        <v>#VALUE!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80">
        <f>'Données projet'!A66</f>
        <v>25</v>
      </c>
      <c r="B58" s="181">
        <f>'Données projet'!D66</f>
        <v>11</v>
      </c>
      <c r="C58" s="191">
        <v>35</v>
      </c>
      <c r="D58" s="179">
        <f t="shared" si="4"/>
        <v>385</v>
      </c>
      <c r="E58" s="193">
        <v>150</v>
      </c>
      <c r="F58" s="232"/>
      <c r="G58" s="205"/>
      <c r="H58" s="190"/>
      <c r="I58" s="191"/>
      <c r="J58" s="23"/>
      <c r="K58" s="173"/>
      <c r="L58" s="4"/>
      <c r="M58" s="4"/>
      <c r="N58" s="4"/>
      <c r="O58" s="194" t="e">
        <f>IF(O57+1&lt;=MIN('Données projet'!$E$9:$E$18),O57+1,"STOP")</f>
        <v>#VALUE!</v>
      </c>
      <c r="P58" s="185" t="e">
        <f t="shared" si="3"/>
        <v>#VALUE!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80">
        <f>'Données projet'!A67</f>
        <v>30</v>
      </c>
      <c r="B59" s="181">
        <f>'Données projet'!D67</f>
        <v>8</v>
      </c>
      <c r="C59" s="191">
        <v>35</v>
      </c>
      <c r="D59" s="179">
        <f t="shared" si="4"/>
        <v>280</v>
      </c>
      <c r="E59" s="193">
        <v>150</v>
      </c>
      <c r="F59" s="232"/>
      <c r="G59" s="205"/>
      <c r="H59" s="190"/>
      <c r="I59" s="191"/>
      <c r="J59" s="23"/>
      <c r="K59" s="173"/>
      <c r="L59" s="4"/>
      <c r="M59" s="4"/>
      <c r="N59" s="4"/>
      <c r="O59" s="194" t="e">
        <f>IF(O58+1&lt;=MIN('Données projet'!$E$9:$E$18),O58+1,"STOP")</f>
        <v>#VALUE!</v>
      </c>
      <c r="P59" s="185" t="e">
        <f t="shared" si="3"/>
        <v>#VALUE!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80">
        <f>'Données projet'!A68</f>
        <v>35</v>
      </c>
      <c r="B60" s="181">
        <f>'Données projet'!D68</f>
        <v>7</v>
      </c>
      <c r="C60" s="191">
        <v>35</v>
      </c>
      <c r="D60" s="179">
        <f t="shared" si="4"/>
        <v>245</v>
      </c>
      <c r="E60" s="193">
        <v>150</v>
      </c>
      <c r="F60" s="232"/>
      <c r="G60" s="206"/>
      <c r="H60" s="190"/>
      <c r="I60" s="191"/>
      <c r="J60" s="23"/>
      <c r="K60" s="173"/>
      <c r="L60" s="4"/>
      <c r="M60" s="4"/>
      <c r="N60" s="4"/>
      <c r="O60" s="194" t="e">
        <f>IF(O59+1&lt;=MIN('Données projet'!$E$9:$E$18),O59+1,"STOP")</f>
        <v>#VALUE!</v>
      </c>
      <c r="P60" s="185" t="e">
        <f t="shared" si="3"/>
        <v>#VALUE!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80">
        <f>'Données projet'!A69</f>
        <v>40</v>
      </c>
      <c r="B61" s="181">
        <f>'Données projet'!D69</f>
        <v>5</v>
      </c>
      <c r="C61" s="191">
        <v>40</v>
      </c>
      <c r="D61" s="179">
        <f t="shared" si="4"/>
        <v>200</v>
      </c>
      <c r="E61" s="193">
        <v>150</v>
      </c>
      <c r="F61" s="232"/>
      <c r="G61" s="206"/>
      <c r="H61" s="190"/>
      <c r="I61" s="191"/>
      <c r="J61" s="23"/>
      <c r="K61" s="173"/>
      <c r="L61" s="4"/>
      <c r="M61" s="4"/>
      <c r="N61" s="4"/>
      <c r="O61" s="194" t="e">
        <f>IF(O60+1&lt;=MIN('Données projet'!$E$9:$E$18),O60+1,"STOP")</f>
        <v>#VALUE!</v>
      </c>
      <c r="P61" s="185" t="e">
        <f t="shared" si="3"/>
        <v>#VALUE!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80">
        <f>'Données projet'!A70</f>
        <v>45</v>
      </c>
      <c r="B62" s="181">
        <f>'Données projet'!D70</f>
        <v>5</v>
      </c>
      <c r="C62" s="191">
        <v>40</v>
      </c>
      <c r="D62" s="179">
        <f t="shared" si="4"/>
        <v>200</v>
      </c>
      <c r="E62" s="193">
        <v>150</v>
      </c>
      <c r="F62" s="232"/>
      <c r="G62" s="206"/>
      <c r="H62" s="190"/>
      <c r="I62" s="191"/>
      <c r="J62" s="23"/>
      <c r="K62" s="173"/>
      <c r="L62" s="4"/>
      <c r="M62" s="4"/>
      <c r="N62" s="4"/>
      <c r="O62" s="194" t="e">
        <f>IF(O61+1&lt;=MIN('Données projet'!$E$9:$E$18),O61+1,"STOP")</f>
        <v>#VALUE!</v>
      </c>
      <c r="P62" s="185" t="e">
        <f t="shared" si="3"/>
        <v>#VALUE!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 t="e">
        <f>IF(O62+1&lt;=MIN('Données projet'!$E$9:$E$18),O62+1,"STOP")</f>
        <v>#VALUE!</v>
      </c>
      <c r="P63" s="185" t="e">
        <f t="shared" si="3"/>
        <v>#VALUE!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 t="e">
        <f>IF(O63+1&lt;=MIN('Données projet'!$E$9:$E$18),O63+1,"STOP")</f>
        <v>#VALUE!</v>
      </c>
      <c r="P64" s="185" t="e">
        <f t="shared" si="3"/>
        <v>#VALUE!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 t="e">
        <f>IF(O64+1&lt;=MIN('Données projet'!$E$9:$E$18),O64+1,"STOP")</f>
        <v>#VALUE!</v>
      </c>
      <c r="P65" s="185" t="e">
        <f t="shared" ref="P65:P96" si="5">$P$25/(1+$M$4)^O65</f>
        <v>#VALUE!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 t="e">
        <f>IF(O65+1&lt;=MIN('Données projet'!$E$9:$E$18),O65+1,"STOP")</f>
        <v>#VALUE!</v>
      </c>
      <c r="P66" s="185" t="e">
        <f t="shared" si="5"/>
        <v>#VALUE!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 t="e">
        <f>IF(O66+1&lt;=MIN('Données projet'!$E$9:$E$18),O66+1,"STOP")</f>
        <v>#VALUE!</v>
      </c>
      <c r="P67" s="185" t="e">
        <f t="shared" si="5"/>
        <v>#VALUE!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 t="e">
        <f>IF(O67+1&lt;=MIN('Données projet'!$E$9:$E$18),O67+1,"STOP")</f>
        <v>#VALUE!</v>
      </c>
      <c r="P68" s="185" t="e">
        <f t="shared" si="5"/>
        <v>#VALUE!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 t="e">
        <f>IF(O68+1&lt;=MIN('Données projet'!$E$9:$E$18),O68+1,"STOP")</f>
        <v>#VALUE!</v>
      </c>
      <c r="P69" s="185" t="e">
        <f t="shared" si="5"/>
        <v>#VALUE!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 t="e">
        <f>IF(O69+1&lt;=MIN('Données projet'!$E$9:$E$18),O69+1,"STOP")</f>
        <v>#VALUE!</v>
      </c>
      <c r="P70" s="185" t="e">
        <f t="shared" si="5"/>
        <v>#VALUE!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 t="e">
        <f>IF(O70+1&lt;=MIN('Données projet'!$E$9:$E$18),O70+1,"STOP")</f>
        <v>#VALUE!</v>
      </c>
      <c r="P71" s="185" t="e">
        <f t="shared" si="5"/>
        <v>#VALUE!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 t="e">
        <f>IF(O71+1&lt;=MIN('Données projet'!$E$9:$E$18),O71+1,"STOP")</f>
        <v>#VALUE!</v>
      </c>
      <c r="P72" s="185" t="e">
        <f t="shared" si="5"/>
        <v>#VALUE!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 t="e">
        <f>IF(O72+1&lt;=MIN('Données projet'!$E$9:$E$18),O72+1,"STOP")</f>
        <v>#VALUE!</v>
      </c>
      <c r="P73" s="185" t="e">
        <f t="shared" si="5"/>
        <v>#VALUE!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 t="e">
        <f>IF(O73+1&lt;=MIN('Données projet'!$E$9:$E$18),O73+1,"STOP")</f>
        <v>#VALUE!</v>
      </c>
      <c r="P74" s="185" t="e">
        <f t="shared" si="5"/>
        <v>#VALUE!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 t="e">
        <f>IF(O74+1&lt;=MIN('Données projet'!$E$9:$E$18),O74+1,"STOP")</f>
        <v>#VALUE!</v>
      </c>
      <c r="P75" s="185" t="e">
        <f t="shared" si="5"/>
        <v>#VALUE!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18</v>
      </c>
      <c r="B76" s="174" t="str">
        <f>IF('Données projet'!B11="","",'Données projet'!B11)</f>
        <v/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 t="e">
        <f>IF(O75+1&lt;=MIN('Données projet'!$E$9:$E$18),O75+1,"STOP")</f>
        <v>#VALUE!</v>
      </c>
      <c r="P76" s="185" t="e">
        <f t="shared" si="5"/>
        <v>#VALUE!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 t="e">
        <f>IF(O76+1&lt;=MIN('Données projet'!$E$9:$E$18),O76+1,"STOP")</f>
        <v>#VALUE!</v>
      </c>
      <c r="P77" s="185" t="e">
        <f t="shared" si="5"/>
        <v>#VALUE!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44</v>
      </c>
      <c r="B78" s="48" t="s">
        <v>307</v>
      </c>
      <c r="C78" s="48" t="s">
        <v>308</v>
      </c>
      <c r="D78" s="36" t="s">
        <v>309</v>
      </c>
      <c r="E78" s="36" t="s">
        <v>310</v>
      </c>
      <c r="F78" s="231"/>
      <c r="G78" s="206"/>
      <c r="H78" s="190"/>
      <c r="I78" s="191"/>
      <c r="J78" s="4"/>
      <c r="K78" s="173"/>
      <c r="L78" s="4"/>
      <c r="M78" s="4"/>
      <c r="N78" s="4"/>
      <c r="O78" s="194" t="e">
        <f>IF(O77+1&lt;=MIN('Données projet'!$E$9:$E$18),O77+1,"STOP")</f>
        <v>#VALUE!</v>
      </c>
      <c r="P78" s="185" t="e">
        <f t="shared" si="5"/>
        <v>#VALUE!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9" t="s">
        <v>193</v>
      </c>
      <c r="C79" s="198" t="s">
        <v>193</v>
      </c>
      <c r="D79" s="197" t="s">
        <v>193</v>
      </c>
      <c r="E79" s="193"/>
      <c r="F79" s="231"/>
      <c r="G79" s="206"/>
      <c r="H79" s="190"/>
      <c r="I79" s="191"/>
      <c r="J79" s="4"/>
      <c r="K79" s="173"/>
      <c r="L79" s="4"/>
      <c r="M79" s="4"/>
      <c r="N79" s="4"/>
      <c r="O79" s="194" t="e">
        <f>IF(O78+1&lt;=MIN('Données projet'!$E$9:$E$18),O78+1,"STOP")</f>
        <v>#VALUE!</v>
      </c>
      <c r="P79" s="185" t="e">
        <f t="shared" si="5"/>
        <v>#VALUE!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9" t="s">
        <v>193</v>
      </c>
      <c r="C80" s="198" t="s">
        <v>193</v>
      </c>
      <c r="D80" s="197" t="s">
        <v>193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5"/>
        <v>#VALUE!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9" t="s">
        <v>193</v>
      </c>
      <c r="C81" s="198" t="s">
        <v>193</v>
      </c>
      <c r="D81" s="197" t="s">
        <v>193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5"/>
        <v>#VALUE!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9" t="s">
        <v>193</v>
      </c>
      <c r="C82" s="198" t="s">
        <v>193</v>
      </c>
      <c r="D82" s="197" t="s">
        <v>193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5"/>
        <v>#VALUE!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9" t="s">
        <v>193</v>
      </c>
      <c r="C83" s="198" t="s">
        <v>193</v>
      </c>
      <c r="D83" s="197" t="s">
        <v>193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5"/>
        <v>#VALUE!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9" t="s">
        <v>193</v>
      </c>
      <c r="C84" s="198" t="s">
        <v>193</v>
      </c>
      <c r="D84" s="197" t="s">
        <v>193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5"/>
        <v>#VALUE!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80">
        <f>'Données projet'!A88</f>
        <v>0</v>
      </c>
      <c r="B85" s="181">
        <f>'Données projet'!D88</f>
        <v>0</v>
      </c>
      <c r="C85" s="191"/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5"/>
        <v>#VALUE!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80">
        <f>'Données projet'!A89</f>
        <v>0</v>
      </c>
      <c r="B86" s="181">
        <f>'Données projet'!D89</f>
        <v>0</v>
      </c>
      <c r="C86" s="191"/>
      <c r="D86" s="179">
        <f t="shared" ref="D86:D104" si="6">B86*C86</f>
        <v>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5"/>
        <v>#VALUE!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80">
        <f>'Données projet'!A90</f>
        <v>0</v>
      </c>
      <c r="B87" s="181">
        <f>'Données projet'!D90</f>
        <v>0</v>
      </c>
      <c r="C87" s="191"/>
      <c r="D87" s="179">
        <f t="shared" si="6"/>
        <v>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5"/>
        <v>#VALUE!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80">
        <f>'Données projet'!A91</f>
        <v>0</v>
      </c>
      <c r="B88" s="181">
        <f>'Données projet'!D91</f>
        <v>0</v>
      </c>
      <c r="C88" s="191"/>
      <c r="D88" s="179">
        <f t="shared" si="6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5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80">
        <f>'Données projet'!A92</f>
        <v>0</v>
      </c>
      <c r="B89" s="181">
        <f>'Données projet'!D92</f>
        <v>0</v>
      </c>
      <c r="C89" s="191"/>
      <c r="D89" s="179">
        <f t="shared" si="6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5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80">
        <f>'Données projet'!A93</f>
        <v>0</v>
      </c>
      <c r="B90" s="181">
        <f>'Données projet'!D93</f>
        <v>0</v>
      </c>
      <c r="C90" s="191"/>
      <c r="D90" s="179">
        <f t="shared" si="6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5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80">
        <f>'Données projet'!A94</f>
        <v>0</v>
      </c>
      <c r="B91" s="181">
        <f>'Données projet'!D94</f>
        <v>0</v>
      </c>
      <c r="C91" s="191"/>
      <c r="D91" s="179">
        <f t="shared" si="6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80">
        <f>'Données projet'!A95</f>
        <v>0</v>
      </c>
      <c r="B92" s="181">
        <f>'Données projet'!D95</f>
        <v>0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19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44</v>
      </c>
      <c r="B109" s="48" t="s">
        <v>307</v>
      </c>
      <c r="C109" s="48" t="s">
        <v>308</v>
      </c>
      <c r="D109" s="36" t="s">
        <v>309</v>
      </c>
      <c r="E109" s="36" t="s">
        <v>310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9" t="s">
        <v>193</v>
      </c>
      <c r="C110" s="198" t="s">
        <v>193</v>
      </c>
      <c r="D110" s="197" t="s">
        <v>193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9" t="s">
        <v>193</v>
      </c>
      <c r="C111" s="198" t="s">
        <v>193</v>
      </c>
      <c r="D111" s="197" t="s">
        <v>193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9" t="s">
        <v>193</v>
      </c>
      <c r="C112" s="198" t="s">
        <v>193</v>
      </c>
      <c r="D112" s="197" t="s">
        <v>193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9" t="s">
        <v>193</v>
      </c>
      <c r="C113" s="198" t="s">
        <v>193</v>
      </c>
      <c r="D113" s="197" t="s">
        <v>193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9" t="s">
        <v>193</v>
      </c>
      <c r="C114" s="198" t="s">
        <v>193</v>
      </c>
      <c r="D114" s="197" t="s">
        <v>193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9" t="s">
        <v>193</v>
      </c>
      <c r="C115" s="198" t="s">
        <v>193</v>
      </c>
      <c r="D115" s="197" t="s">
        <v>193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20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44</v>
      </c>
      <c r="B140" s="48" t="s">
        <v>307</v>
      </c>
      <c r="C140" s="48" t="s">
        <v>308</v>
      </c>
      <c r="D140" s="36" t="s">
        <v>309</v>
      </c>
      <c r="E140" s="36" t="s">
        <v>310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9" t="s">
        <v>193</v>
      </c>
      <c r="C141" s="198" t="s">
        <v>193</v>
      </c>
      <c r="D141" s="197" t="s">
        <v>193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9" t="s">
        <v>193</v>
      </c>
      <c r="C142" s="198" t="s">
        <v>193</v>
      </c>
      <c r="D142" s="197" t="s">
        <v>193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9" t="s">
        <v>193</v>
      </c>
      <c r="C143" s="198" t="s">
        <v>193</v>
      </c>
      <c r="D143" s="197" t="s">
        <v>193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9" t="s">
        <v>193</v>
      </c>
      <c r="C144" s="198" t="s">
        <v>193</v>
      </c>
      <c r="D144" s="197" t="s">
        <v>193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9" t="s">
        <v>193</v>
      </c>
      <c r="C145" s="198" t="s">
        <v>193</v>
      </c>
      <c r="D145" s="197" t="s">
        <v>193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9" t="s">
        <v>193</v>
      </c>
      <c r="C146" s="198" t="s">
        <v>193</v>
      </c>
      <c r="D146" s="197" t="s">
        <v>193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21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44</v>
      </c>
      <c r="B171" s="48" t="s">
        <v>307</v>
      </c>
      <c r="C171" s="48" t="s">
        <v>308</v>
      </c>
      <c r="D171" s="36" t="s">
        <v>309</v>
      </c>
      <c r="E171" s="36" t="s">
        <v>310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9" t="s">
        <v>193</v>
      </c>
      <c r="C172" s="198" t="s">
        <v>193</v>
      </c>
      <c r="D172" s="197" t="s">
        <v>193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9" t="s">
        <v>193</v>
      </c>
      <c r="C173" s="198" t="s">
        <v>193</v>
      </c>
      <c r="D173" s="197" t="s">
        <v>193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9" t="s">
        <v>193</v>
      </c>
      <c r="C174" s="198" t="s">
        <v>193</v>
      </c>
      <c r="D174" s="197" t="s">
        <v>193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9" t="s">
        <v>193</v>
      </c>
      <c r="C175" s="198" t="s">
        <v>193</v>
      </c>
      <c r="D175" s="197" t="s">
        <v>193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9" t="s">
        <v>193</v>
      </c>
      <c r="C176" s="198" t="s">
        <v>193</v>
      </c>
      <c r="D176" s="197" t="s">
        <v>193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9" t="s">
        <v>193</v>
      </c>
      <c r="C177" s="198" t="s">
        <v>193</v>
      </c>
      <c r="D177" s="197" t="s">
        <v>193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22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44</v>
      </c>
      <c r="B202" s="48" t="s">
        <v>307</v>
      </c>
      <c r="C202" s="48" t="s">
        <v>308</v>
      </c>
      <c r="D202" s="36" t="s">
        <v>309</v>
      </c>
      <c r="E202" s="36" t="s">
        <v>310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9" t="s">
        <v>193</v>
      </c>
      <c r="C203" s="198" t="s">
        <v>193</v>
      </c>
      <c r="D203" s="197" t="s">
        <v>193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9" t="s">
        <v>193</v>
      </c>
      <c r="C204" s="198" t="s">
        <v>193</v>
      </c>
      <c r="D204" s="197" t="s">
        <v>193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9" t="s">
        <v>193</v>
      </c>
      <c r="C205" s="198" t="s">
        <v>193</v>
      </c>
      <c r="D205" s="197" t="s">
        <v>193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9" t="s">
        <v>193</v>
      </c>
      <c r="C206" s="198" t="s">
        <v>193</v>
      </c>
      <c r="D206" s="197" t="s">
        <v>193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9" t="s">
        <v>193</v>
      </c>
      <c r="C207" s="198" t="s">
        <v>193</v>
      </c>
      <c r="D207" s="197" t="s">
        <v>193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9" t="s">
        <v>193</v>
      </c>
      <c r="C208" s="198" t="s">
        <v>193</v>
      </c>
      <c r="D208" s="197" t="s">
        <v>193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23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44</v>
      </c>
      <c r="B233" s="48" t="s">
        <v>307</v>
      </c>
      <c r="C233" s="48" t="s">
        <v>308</v>
      </c>
      <c r="D233" s="36" t="s">
        <v>309</v>
      </c>
      <c r="E233" s="36" t="s">
        <v>310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9" t="s">
        <v>193</v>
      </c>
      <c r="C234" s="198" t="s">
        <v>193</v>
      </c>
      <c r="D234" s="197" t="s">
        <v>193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9" t="s">
        <v>193</v>
      </c>
      <c r="C235" s="198" t="s">
        <v>193</v>
      </c>
      <c r="D235" s="197" t="s">
        <v>193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9" t="s">
        <v>193</v>
      </c>
      <c r="C236" s="198" t="s">
        <v>193</v>
      </c>
      <c r="D236" s="197" t="s">
        <v>193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9" t="s">
        <v>193</v>
      </c>
      <c r="C237" s="198" t="s">
        <v>193</v>
      </c>
      <c r="D237" s="197" t="s">
        <v>193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9" t="s">
        <v>193</v>
      </c>
      <c r="C238" s="198" t="s">
        <v>193</v>
      </c>
      <c r="D238" s="197" t="s">
        <v>193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9" t="s">
        <v>193</v>
      </c>
      <c r="C239" s="198" t="s">
        <v>193</v>
      </c>
      <c r="D239" s="197" t="s">
        <v>193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24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44</v>
      </c>
      <c r="B264" s="48" t="s">
        <v>307</v>
      </c>
      <c r="C264" s="48" t="s">
        <v>308</v>
      </c>
      <c r="D264" s="36" t="s">
        <v>309</v>
      </c>
      <c r="E264" s="36" t="s">
        <v>310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9" t="s">
        <v>193</v>
      </c>
      <c r="C265" s="198" t="s">
        <v>193</v>
      </c>
      <c r="D265" s="197" t="s">
        <v>193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9" t="s">
        <v>193</v>
      </c>
      <c r="C266" s="198" t="s">
        <v>193</v>
      </c>
      <c r="D266" s="197" t="s">
        <v>193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9" t="s">
        <v>193</v>
      </c>
      <c r="C267" s="198" t="s">
        <v>193</v>
      </c>
      <c r="D267" s="197" t="s">
        <v>193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9" t="s">
        <v>193</v>
      </c>
      <c r="C268" s="198" t="s">
        <v>193</v>
      </c>
      <c r="D268" s="197" t="s">
        <v>193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9" t="s">
        <v>193</v>
      </c>
      <c r="C269" s="198" t="s">
        <v>193</v>
      </c>
      <c r="D269" s="197" t="s">
        <v>193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9" t="s">
        <v>193</v>
      </c>
      <c r="C270" s="198" t="s">
        <v>193</v>
      </c>
      <c r="D270" s="197" t="s">
        <v>193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25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44</v>
      </c>
      <c r="B295" s="48" t="s">
        <v>307</v>
      </c>
      <c r="C295" s="48" t="s">
        <v>308</v>
      </c>
      <c r="D295" s="36" t="s">
        <v>309</v>
      </c>
      <c r="E295" s="36" t="s">
        <v>310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9" t="s">
        <v>193</v>
      </c>
      <c r="C296" s="198" t="s">
        <v>193</v>
      </c>
      <c r="D296" s="197" t="s">
        <v>193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9" t="s">
        <v>193</v>
      </c>
      <c r="C297" s="198" t="s">
        <v>193</v>
      </c>
      <c r="D297" s="197" t="s">
        <v>193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9" t="s">
        <v>193</v>
      </c>
      <c r="C298" s="198" t="s">
        <v>193</v>
      </c>
      <c r="D298" s="197" t="s">
        <v>193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9" t="s">
        <v>193</v>
      </c>
      <c r="C299" s="198" t="s">
        <v>193</v>
      </c>
      <c r="D299" s="197" t="s">
        <v>193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9" t="s">
        <v>193</v>
      </c>
      <c r="C300" s="198" t="s">
        <v>193</v>
      </c>
      <c r="D300" s="197" t="s">
        <v>193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9" t="s">
        <v>193</v>
      </c>
      <c r="C301" s="198" t="s">
        <v>193</v>
      </c>
      <c r="D301" s="197" t="s">
        <v>193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b742faf-fdf8-4591-b699-ecf8e70a4961">
      <Terms xmlns="http://schemas.microsoft.com/office/infopath/2007/PartnerControls"/>
    </lcf76f155ced4ddcb4097134ff3c332f>
    <TaxCatchAll xmlns="eafaa6b1-975f-439f-868f-fccf4e9d887f" xsi:nil="true"/>
    <Commentaire xmlns="7b742faf-fdf8-4591-b699-ecf8e70a496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7917BD1DD3FD43A53AD9CE171726C7" ma:contentTypeVersion="16" ma:contentTypeDescription="Create a new document." ma:contentTypeScope="" ma:versionID="49951f572a41aa882f04e9f42578a926">
  <xsd:schema xmlns:xsd="http://www.w3.org/2001/XMLSchema" xmlns:xs="http://www.w3.org/2001/XMLSchema" xmlns:p="http://schemas.microsoft.com/office/2006/metadata/properties" xmlns:ns2="7b742faf-fdf8-4591-b699-ecf8e70a4961" xmlns:ns3="eafaa6b1-975f-439f-868f-fccf4e9d887f" targetNamespace="http://schemas.microsoft.com/office/2006/metadata/properties" ma:root="true" ma:fieldsID="94df4027eaf4d90bb8314d13bfdb5452" ns2:_="" ns3:_="">
    <xsd:import namespace="7b742faf-fdf8-4591-b699-ecf8e70a4961"/>
    <xsd:import namespace="eafaa6b1-975f-439f-868f-fccf4e9d88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SearchProperties" minOccurs="0"/>
                <xsd:element ref="ns2:Commentair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742faf-fdf8-4591-b699-ecf8e70a49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eb2eb45c-587e-4e45-8178-5ab3ff3b751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Commentaire" ma:index="23" nillable="true" ma:displayName="Commentaire" ma:description="Description du contenu du dossier" ma:format="Dropdown" ma:internalName="Commentair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faa6b1-975f-439f-868f-fccf4e9d887f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8272ff4b-5daf-46ba-90d8-cf5c9fcfa8f5}" ma:internalName="TaxCatchAll" ma:showField="CatchAllData" ma:web="eafaa6b1-975f-439f-868f-fccf4e9d88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05FA4DC-1DF0-45FE-8E60-10AFB0CCCDAE}">
  <ds:schemaRefs>
    <ds:schemaRef ds:uri="http://schemas.microsoft.com/office/2006/metadata/properties"/>
    <ds:schemaRef ds:uri="http://schemas.microsoft.com/office/infopath/2007/PartnerControls"/>
    <ds:schemaRef ds:uri="7b742faf-fdf8-4591-b699-ecf8e70a4961"/>
    <ds:schemaRef ds:uri="eafaa6b1-975f-439f-868f-fccf4e9d887f"/>
  </ds:schemaRefs>
</ds:datastoreItem>
</file>

<file path=customXml/itemProps2.xml><?xml version="1.0" encoding="utf-8"?>
<ds:datastoreItem xmlns:ds="http://schemas.openxmlformats.org/officeDocument/2006/customXml" ds:itemID="{86D5A1E7-52D7-44C1-85F3-E1E5A8F11F18}"/>
</file>

<file path=customXml/itemProps3.xml><?xml version="1.0" encoding="utf-8"?>
<ds:datastoreItem xmlns:ds="http://schemas.openxmlformats.org/officeDocument/2006/customXml" ds:itemID="{8DD47451-53A2-495B-BACB-17906CADC92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Manager/>
  <Company>CNPF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OCCI_OG</dc:creator>
  <cp:keywords/>
  <dc:description/>
  <cp:lastModifiedBy>Nesrine Ahmed Tounsi</cp:lastModifiedBy>
  <cp:revision/>
  <dcterms:created xsi:type="dcterms:W3CDTF">2021-02-01T08:22:39Z</dcterms:created>
  <dcterms:modified xsi:type="dcterms:W3CDTF">2025-02-14T15:21:54Z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0x010100B17917BD1DD3FD43A53AD9CE171726C7</vt:lpwstr>
  </property>
  <property fmtid="{D5CDD505-2E9C-101B-9397-08002B2CF9AE}" pid="3" name="MediaServiceImageTags">
    <vt:lpwstr/>
  </property>
</Properties>
</file>