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n\Desktop\Google Drive\CABINET LORNE\2_LABEL CARBONE\Projet\BOISEMENT - PELLERIN (44)\Document\"/>
    </mc:Choice>
  </mc:AlternateContent>
  <bookViews>
    <workbookView xWindow="0" yWindow="0" windowWidth="15525" windowHeight="6765" tabRatio="764" activeTab="1"/>
  </bookViews>
  <sheets>
    <sheet name="Peuplier" sheetId="33" r:id="rId1"/>
    <sheet name="1-REA" sheetId="14" r:id="rId2"/>
    <sheet name="VAN " sheetId="31" r:id="rId3"/>
    <sheet name="Inputs" sheetId="19" r:id="rId4"/>
  </sheets>
  <externalReferences>
    <externalReference r:id="rId5"/>
  </externalReferences>
  <definedNames>
    <definedName name="CF" localSheetId="2">[1]Inputs!$B$1:$D$1</definedName>
    <definedName name="CF">Class_Fertilite[Classe de fertilité]</definedName>
    <definedName name="ESS" localSheetId="2">[1]Inputs!$A$2:$A$11</definedName>
    <definedName name="ESS">Inputs!$A$2:$A$13</definedName>
    <definedName name="Rab" localSheetId="2">[1]Inputs!$A$34:$A$37</definedName>
    <definedName name="Rab">Inputs!$A$78:$A$81</definedName>
    <definedName name="SMLT">Inputs!$B$17:$G$28</definedName>
    <definedName name="Tc">'1-REA'!#REF!</definedName>
    <definedName name="TPR" localSheetId="2">[1]Inputs!#REF!</definedName>
    <definedName name="TPR">Inputs!$A$62:$A$75</definedName>
    <definedName name="Vbi" localSheetId="2">[1]Inputs!$L$2:$N$109</definedName>
    <definedName name="Vbi">Inputs!$R$2:$W$13</definedName>
    <definedName name="Vbo">[1]Inputs!$G$2:$I$11</definedName>
    <definedName name="Vt" localSheetId="2">[1]Inputs!$B$2:$D$11</definedName>
    <definedName name="Vt">Inputs!$B$2:$G$13</definedName>
    <definedName name="_xlnm.Print_Area" localSheetId="1">'1-REA'!$A$1:$T$55</definedName>
    <definedName name="_xlnm.Print_Area" localSheetId="3">Inputs!$A$1:$W$186</definedName>
    <definedName name="_xlnm.Print_Area" localSheetId="2">'VAN '!$A$1:$N$29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4" l="1"/>
  <c r="F16" i="33" l="1"/>
  <c r="G16" i="33" s="1"/>
  <c r="F17" i="33"/>
  <c r="G17" i="33" s="1"/>
  <c r="F18" i="33"/>
  <c r="G18" i="33" s="1"/>
  <c r="F19" i="33"/>
  <c r="F20" i="33"/>
  <c r="G20" i="33" s="1"/>
  <c r="F21" i="33"/>
  <c r="G21" i="33" s="1"/>
  <c r="F22" i="33"/>
  <c r="F23" i="33"/>
  <c r="G23" i="33" s="1"/>
  <c r="F24" i="33"/>
  <c r="G24" i="33" s="1"/>
  <c r="F25" i="33"/>
  <c r="G25" i="33" s="1"/>
  <c r="F26" i="33"/>
  <c r="G26" i="33" s="1"/>
  <c r="F27" i="33"/>
  <c r="F28" i="33"/>
  <c r="G28" i="33" s="1"/>
  <c r="F29" i="33"/>
  <c r="G29" i="33" s="1"/>
  <c r="F30" i="33"/>
  <c r="F31" i="33"/>
  <c r="G31" i="33" s="1"/>
  <c r="F32" i="33"/>
  <c r="G32" i="33" s="1"/>
  <c r="F33" i="33"/>
  <c r="G33" i="33" s="1"/>
  <c r="F34" i="33"/>
  <c r="G34" i="33" s="1"/>
  <c r="F35" i="33"/>
  <c r="F36" i="33"/>
  <c r="G36" i="33" s="1"/>
  <c r="F37" i="33"/>
  <c r="G37" i="33" s="1"/>
  <c r="F15" i="33"/>
  <c r="G15" i="33" s="1"/>
  <c r="G19" i="33"/>
  <c r="G22" i="33"/>
  <c r="G27" i="33"/>
  <c r="G30" i="33"/>
  <c r="G35" i="33"/>
  <c r="M10" i="33" l="1"/>
  <c r="M11" i="33" s="1"/>
  <c r="F6" i="31" l="1"/>
  <c r="E3" i="31"/>
  <c r="E4" i="31"/>
  <c r="E5" i="31"/>
  <c r="D25" i="31"/>
  <c r="F3" i="31" l="1"/>
  <c r="F25" i="31" l="1"/>
  <c r="F4" i="31"/>
  <c r="F5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I20" i="31" l="1"/>
  <c r="N17" i="33" l="1"/>
  <c r="N18" i="33"/>
  <c r="N19" i="33"/>
  <c r="N20" i="33"/>
  <c r="N21" i="33"/>
  <c r="N22" i="33"/>
  <c r="N23" i="33"/>
  <c r="N24" i="33"/>
  <c r="N25" i="33"/>
  <c r="N26" i="33"/>
  <c r="N27" i="33"/>
  <c r="N28" i="33"/>
  <c r="N29" i="33"/>
  <c r="N30" i="33"/>
  <c r="N31" i="33"/>
  <c r="N32" i="33"/>
  <c r="N33" i="33"/>
  <c r="N34" i="33"/>
  <c r="N35" i="33"/>
  <c r="N36" i="33"/>
  <c r="N37" i="33"/>
  <c r="N38" i="33"/>
  <c r="E25" i="14"/>
  <c r="F25" i="14" s="1"/>
  <c r="L42" i="14" l="1"/>
  <c r="M44" i="14" s="1"/>
  <c r="G25" i="14"/>
  <c r="E15" i="33" l="1"/>
  <c r="E37" i="33"/>
  <c r="C37" i="33"/>
  <c r="E36" i="33"/>
  <c r="C36" i="33"/>
  <c r="E35" i="33"/>
  <c r="C35" i="33"/>
  <c r="E34" i="33"/>
  <c r="C34" i="33"/>
  <c r="E33" i="33"/>
  <c r="C33" i="33"/>
  <c r="E32" i="33"/>
  <c r="C32" i="33"/>
  <c r="E31" i="33"/>
  <c r="C31" i="33"/>
  <c r="E30" i="33"/>
  <c r="C30" i="33"/>
  <c r="E29" i="33"/>
  <c r="C29" i="33"/>
  <c r="E28" i="33"/>
  <c r="C28" i="33"/>
  <c r="E27" i="33"/>
  <c r="C27" i="33"/>
  <c r="E26" i="33"/>
  <c r="C26" i="33"/>
  <c r="E25" i="33"/>
  <c r="C25" i="33"/>
  <c r="E24" i="33"/>
  <c r="C24" i="33"/>
  <c r="E23" i="33"/>
  <c r="C23" i="33"/>
  <c r="E22" i="33"/>
  <c r="C22" i="33"/>
  <c r="E21" i="33"/>
  <c r="C21" i="33"/>
  <c r="E20" i="33"/>
  <c r="C20" i="33"/>
  <c r="E19" i="33"/>
  <c r="C19" i="33"/>
  <c r="E18" i="33"/>
  <c r="C18" i="33"/>
  <c r="E17" i="33"/>
  <c r="C17" i="33"/>
  <c r="E16" i="33"/>
  <c r="C16" i="33"/>
  <c r="C15" i="33"/>
  <c r="G38" i="33" l="1"/>
  <c r="L39" i="33"/>
  <c r="L40" i="33" s="1"/>
  <c r="L41" i="33" s="1"/>
  <c r="L42" i="33" s="1"/>
  <c r="L43" i="33" s="1"/>
  <c r="L44" i="33" s="1"/>
  <c r="L45" i="33" s="1"/>
  <c r="L46" i="33" s="1"/>
  <c r="K39" i="33"/>
  <c r="B7" i="33" l="1"/>
  <c r="A10" i="33" s="1"/>
  <c r="K40" i="33"/>
  <c r="N39" i="33"/>
  <c r="C20" i="19"/>
  <c r="D20" i="19"/>
  <c r="B20" i="19"/>
  <c r="C19" i="14" l="1"/>
  <c r="B10" i="33"/>
  <c r="K41" i="33"/>
  <c r="N40" i="33"/>
  <c r="C21" i="19"/>
  <c r="D21" i="19"/>
  <c r="B21" i="19"/>
  <c r="C18" i="19"/>
  <c r="D18" i="19"/>
  <c r="B18" i="19"/>
  <c r="K42" i="33" l="1"/>
  <c r="N41" i="33"/>
  <c r="K43" i="33" l="1"/>
  <c r="N42" i="33"/>
  <c r="B23" i="19"/>
  <c r="C23" i="19"/>
  <c r="D23" i="19"/>
  <c r="K44" i="33" l="1"/>
  <c r="N43" i="33"/>
  <c r="K45" i="33" l="1"/>
  <c r="N44" i="33"/>
  <c r="K46" i="33" l="1"/>
  <c r="N45" i="33"/>
  <c r="N46" i="33" l="1"/>
  <c r="J10" i="33" s="1"/>
  <c r="J11" i="33" s="1"/>
  <c r="G42" i="14" s="1"/>
  <c r="H44" i="14" s="1"/>
  <c r="B36" i="19" l="1"/>
  <c r="R7" i="19"/>
  <c r="S7" i="19"/>
  <c r="T7" i="19"/>
  <c r="U7" i="19"/>
  <c r="V7" i="19"/>
  <c r="I29" i="19" l="1"/>
  <c r="C3" i="19"/>
  <c r="B3" i="19"/>
  <c r="T37" i="19" l="1"/>
  <c r="S37" i="19"/>
  <c r="R37" i="19"/>
  <c r="R38" i="19"/>
  <c r="J12" i="19"/>
  <c r="F134" i="19"/>
  <c r="L128" i="19"/>
  <c r="H32" i="19"/>
  <c r="G32" i="19"/>
  <c r="G33" i="19" l="1"/>
  <c r="H33" i="19" l="1"/>
  <c r="H34" i="19"/>
  <c r="G34" i="19" l="1"/>
  <c r="H35" i="19" l="1"/>
  <c r="G35" i="19"/>
  <c r="H36" i="19" l="1"/>
  <c r="G37" i="19"/>
  <c r="G36" i="19"/>
  <c r="W40" i="19"/>
  <c r="V40" i="19"/>
  <c r="U40" i="19"/>
  <c r="T40" i="19"/>
  <c r="S40" i="19"/>
  <c r="R40" i="19"/>
  <c r="U38" i="19"/>
  <c r="T38" i="19"/>
  <c r="S38" i="19"/>
  <c r="V6" i="19"/>
  <c r="U6" i="19"/>
  <c r="T6" i="19"/>
  <c r="S6" i="19"/>
  <c r="R6" i="19"/>
  <c r="R2" i="19"/>
  <c r="H37" i="19" l="1"/>
  <c r="G38" i="19"/>
  <c r="G39" i="19"/>
  <c r="U9" i="19"/>
  <c r="T9" i="19"/>
  <c r="S9" i="19"/>
  <c r="R9" i="19"/>
  <c r="W11" i="19"/>
  <c r="V11" i="19"/>
  <c r="U11" i="19"/>
  <c r="R11" i="19"/>
  <c r="T8" i="19"/>
  <c r="S8" i="19"/>
  <c r="R8" i="19"/>
  <c r="T5" i="19"/>
  <c r="S5" i="19"/>
  <c r="R5" i="19"/>
  <c r="R31" i="19"/>
  <c r="H39" i="19" l="1"/>
  <c r="H38" i="19"/>
  <c r="T11" i="19"/>
  <c r="S11" i="19"/>
  <c r="R4" i="19"/>
  <c r="R12" i="19"/>
  <c r="S12" i="19"/>
  <c r="S4" i="19"/>
  <c r="T12" i="19"/>
  <c r="T13" i="19"/>
  <c r="S13" i="19"/>
  <c r="T4" i="19"/>
  <c r="R13" i="19"/>
  <c r="B126" i="19"/>
  <c r="D126" i="19"/>
  <c r="E126" i="19"/>
  <c r="F126" i="19"/>
  <c r="G126" i="19"/>
  <c r="H126" i="19"/>
  <c r="I126" i="19"/>
  <c r="J126" i="19"/>
  <c r="K126" i="19"/>
  <c r="L126" i="19"/>
  <c r="B127" i="19"/>
  <c r="D127" i="19"/>
  <c r="E127" i="19"/>
  <c r="F127" i="19"/>
  <c r="G127" i="19"/>
  <c r="H127" i="19"/>
  <c r="I127" i="19"/>
  <c r="J127" i="19"/>
  <c r="K127" i="19"/>
  <c r="L127" i="19"/>
  <c r="B128" i="19"/>
  <c r="D128" i="19"/>
  <c r="E128" i="19"/>
  <c r="F128" i="19"/>
  <c r="G128" i="19"/>
  <c r="H128" i="19"/>
  <c r="I128" i="19"/>
  <c r="J128" i="19"/>
  <c r="K128" i="19"/>
  <c r="B129" i="19"/>
  <c r="D129" i="19"/>
  <c r="E129" i="19"/>
  <c r="F129" i="19"/>
  <c r="G129" i="19"/>
  <c r="H129" i="19"/>
  <c r="I129" i="19"/>
  <c r="J129" i="19"/>
  <c r="K129" i="19"/>
  <c r="L129" i="19"/>
  <c r="B130" i="19"/>
  <c r="D130" i="19"/>
  <c r="E130" i="19"/>
  <c r="F130" i="19"/>
  <c r="G130" i="19"/>
  <c r="H130" i="19"/>
  <c r="I130" i="19"/>
  <c r="J130" i="19"/>
  <c r="K130" i="19"/>
  <c r="L130" i="19"/>
  <c r="B131" i="19"/>
  <c r="D131" i="19"/>
  <c r="E131" i="19"/>
  <c r="F131" i="19"/>
  <c r="G131" i="19"/>
  <c r="H131" i="19"/>
  <c r="I131" i="19"/>
  <c r="J131" i="19"/>
  <c r="K131" i="19"/>
  <c r="L131" i="19"/>
  <c r="B132" i="19"/>
  <c r="D132" i="19"/>
  <c r="E132" i="19"/>
  <c r="F132" i="19"/>
  <c r="G132" i="19"/>
  <c r="H132" i="19"/>
  <c r="I132" i="19"/>
  <c r="J132" i="19"/>
  <c r="K132" i="19"/>
  <c r="L132" i="19"/>
  <c r="B133" i="19"/>
  <c r="D133" i="19"/>
  <c r="E133" i="19"/>
  <c r="F133" i="19"/>
  <c r="G133" i="19"/>
  <c r="H133" i="19"/>
  <c r="I133" i="19"/>
  <c r="J133" i="19"/>
  <c r="K133" i="19"/>
  <c r="L133" i="19"/>
  <c r="B134" i="19"/>
  <c r="D134" i="19"/>
  <c r="E134" i="19"/>
  <c r="G134" i="19"/>
  <c r="H134" i="19"/>
  <c r="I134" i="19"/>
  <c r="J134" i="19"/>
  <c r="K134" i="19"/>
  <c r="L134" i="19"/>
  <c r="B135" i="19"/>
  <c r="D135" i="19"/>
  <c r="E135" i="19"/>
  <c r="F135" i="19"/>
  <c r="G135" i="19"/>
  <c r="H135" i="19"/>
  <c r="I135" i="19"/>
  <c r="J135" i="19"/>
  <c r="K135" i="19"/>
  <c r="L135" i="19"/>
  <c r="B136" i="19"/>
  <c r="D136" i="19"/>
  <c r="E136" i="19"/>
  <c r="F136" i="19"/>
  <c r="G136" i="19"/>
  <c r="H136" i="19"/>
  <c r="I136" i="19"/>
  <c r="J136" i="19"/>
  <c r="K136" i="19"/>
  <c r="L136" i="19"/>
  <c r="B137" i="19"/>
  <c r="D137" i="19"/>
  <c r="E137" i="19"/>
  <c r="F137" i="19"/>
  <c r="G137" i="19"/>
  <c r="H137" i="19"/>
  <c r="I137" i="19"/>
  <c r="J137" i="19"/>
  <c r="K137" i="19"/>
  <c r="L137" i="19"/>
  <c r="B138" i="19"/>
  <c r="D138" i="19"/>
  <c r="E138" i="19"/>
  <c r="F138" i="19"/>
  <c r="G138" i="19"/>
  <c r="H138" i="19"/>
  <c r="I138" i="19"/>
  <c r="J138" i="19"/>
  <c r="K138" i="19"/>
  <c r="L138" i="19"/>
  <c r="B139" i="19"/>
  <c r="D139" i="19"/>
  <c r="E139" i="19"/>
  <c r="F139" i="19"/>
  <c r="G139" i="19"/>
  <c r="H139" i="19"/>
  <c r="I139" i="19"/>
  <c r="J139" i="19"/>
  <c r="K139" i="19"/>
  <c r="L139" i="19"/>
  <c r="B140" i="19"/>
  <c r="D140" i="19"/>
  <c r="E140" i="19"/>
  <c r="F140" i="19"/>
  <c r="G140" i="19"/>
  <c r="H140" i="19"/>
  <c r="I140" i="19"/>
  <c r="J140" i="19"/>
  <c r="K140" i="19"/>
  <c r="L140" i="19"/>
  <c r="B141" i="19"/>
  <c r="D141" i="19"/>
  <c r="E141" i="19"/>
  <c r="F141" i="19"/>
  <c r="G141" i="19"/>
  <c r="H141" i="19"/>
  <c r="I141" i="19"/>
  <c r="J141" i="19"/>
  <c r="K141" i="19"/>
  <c r="L141" i="19"/>
  <c r="B142" i="19"/>
  <c r="D142" i="19"/>
  <c r="E142" i="19"/>
  <c r="F142" i="19"/>
  <c r="G142" i="19"/>
  <c r="H142" i="19"/>
  <c r="I142" i="19"/>
  <c r="J142" i="19"/>
  <c r="K142" i="19"/>
  <c r="L142" i="19"/>
  <c r="B143" i="19"/>
  <c r="D143" i="19"/>
  <c r="E143" i="19"/>
  <c r="F143" i="19"/>
  <c r="G143" i="19"/>
  <c r="H143" i="19"/>
  <c r="I143" i="19"/>
  <c r="J143" i="19"/>
  <c r="K143" i="19"/>
  <c r="L143" i="19"/>
  <c r="B144" i="19"/>
  <c r="D144" i="19"/>
  <c r="E144" i="19"/>
  <c r="F144" i="19"/>
  <c r="G144" i="19"/>
  <c r="H144" i="19"/>
  <c r="I144" i="19"/>
  <c r="J144" i="19"/>
  <c r="K144" i="19"/>
  <c r="L144" i="19"/>
  <c r="B145" i="19"/>
  <c r="D145" i="19"/>
  <c r="E145" i="19"/>
  <c r="G145" i="19"/>
  <c r="H145" i="19"/>
  <c r="I145" i="19"/>
  <c r="J145" i="19"/>
  <c r="K145" i="19"/>
  <c r="L145" i="19"/>
  <c r="B146" i="19"/>
  <c r="D146" i="19"/>
  <c r="E146" i="19"/>
  <c r="F146" i="19"/>
  <c r="G146" i="19"/>
  <c r="H146" i="19"/>
  <c r="I146" i="19"/>
  <c r="J146" i="19"/>
  <c r="K146" i="19"/>
  <c r="L146" i="19"/>
  <c r="B147" i="19"/>
  <c r="D147" i="19"/>
  <c r="E147" i="19"/>
  <c r="F147" i="19"/>
  <c r="G147" i="19"/>
  <c r="H147" i="19"/>
  <c r="I147" i="19"/>
  <c r="J147" i="19"/>
  <c r="K147" i="19"/>
  <c r="L147" i="19"/>
  <c r="B148" i="19"/>
  <c r="D148" i="19"/>
  <c r="E148" i="19"/>
  <c r="F148" i="19"/>
  <c r="G148" i="19"/>
  <c r="H148" i="19"/>
  <c r="I148" i="19"/>
  <c r="J148" i="19"/>
  <c r="K148" i="19"/>
  <c r="L148" i="19"/>
  <c r="C10" i="19"/>
  <c r="B10" i="19"/>
  <c r="E9" i="19"/>
  <c r="D9" i="19"/>
  <c r="C9" i="19"/>
  <c r="B9" i="19"/>
  <c r="B2" i="19"/>
  <c r="G40" i="19" l="1"/>
  <c r="H40" i="19"/>
  <c r="G42" i="19"/>
  <c r="C11" i="19"/>
  <c r="G43" i="19" l="1"/>
  <c r="H41" i="19"/>
  <c r="G41" i="19"/>
  <c r="D4" i="19"/>
  <c r="C4" i="19"/>
  <c r="B4" i="19"/>
  <c r="H42" i="19" l="1"/>
  <c r="H43" i="19"/>
  <c r="B12" i="19"/>
  <c r="B13" i="19"/>
  <c r="C12" i="19"/>
  <c r="C13" i="19"/>
  <c r="D13" i="19"/>
  <c r="D12" i="19"/>
  <c r="J6" i="19" l="1"/>
  <c r="J7" i="19"/>
  <c r="G11" i="19" l="1"/>
  <c r="F11" i="19"/>
  <c r="E11" i="19"/>
  <c r="D11" i="19"/>
  <c r="D8" i="19"/>
  <c r="C8" i="19"/>
  <c r="B11" i="19"/>
  <c r="B8" i="19"/>
  <c r="B47" i="19"/>
  <c r="B46" i="19"/>
  <c r="A33" i="19"/>
  <c r="B43" i="14"/>
  <c r="K6" i="19" l="1"/>
  <c r="K7" i="19"/>
  <c r="B5" i="19"/>
  <c r="C5" i="19"/>
  <c r="D5" i="19"/>
  <c r="C6" i="19" l="1"/>
  <c r="C7" i="19"/>
  <c r="F6" i="19"/>
  <c r="F7" i="19"/>
  <c r="E6" i="19"/>
  <c r="E7" i="19"/>
  <c r="J5" i="19"/>
  <c r="K5" i="19"/>
  <c r="J2" i="19"/>
  <c r="L9" i="19"/>
  <c r="K11" i="19"/>
  <c r="J11" i="19"/>
  <c r="L8" i="19"/>
  <c r="O11" i="19"/>
  <c r="M9" i="19"/>
  <c r="K9" i="19"/>
  <c r="J9" i="19"/>
  <c r="J8" i="19"/>
  <c r="K8" i="19"/>
  <c r="L11" i="19"/>
  <c r="R10" i="19"/>
  <c r="S10" i="19"/>
  <c r="N11" i="19"/>
  <c r="M11" i="19"/>
  <c r="L5" i="19"/>
  <c r="B40" i="14" l="1"/>
  <c r="S35" i="19"/>
  <c r="S36" i="19"/>
  <c r="D6" i="19"/>
  <c r="D7" i="19"/>
  <c r="V35" i="19"/>
  <c r="V36" i="19"/>
  <c r="K4" i="19"/>
  <c r="K12" i="19"/>
  <c r="L4" i="19"/>
  <c r="L13" i="19" s="1"/>
  <c r="L12" i="19"/>
  <c r="J4" i="19"/>
  <c r="T35" i="19" l="1"/>
  <c r="T36" i="19"/>
  <c r="U35" i="19"/>
  <c r="U36" i="19"/>
  <c r="C20" i="14"/>
  <c r="K13" i="19"/>
  <c r="J13" i="19"/>
  <c r="B39" i="14" l="1"/>
  <c r="B44" i="14"/>
  <c r="E20" i="14"/>
  <c r="B41" i="14" l="1"/>
  <c r="C48" i="14" s="1"/>
  <c r="C50" i="14" l="1"/>
  <c r="G52" i="14" s="1"/>
  <c r="J10" i="19" l="1"/>
  <c r="K10" i="19"/>
  <c r="F145" i="19"/>
  <c r="B6" i="19" l="1"/>
  <c r="B7" i="19"/>
  <c r="R35" i="19"/>
  <c r="R36" i="19"/>
  <c r="L6" i="19" l="1"/>
  <c r="L7" i="19"/>
</calcChain>
</file>

<file path=xl/sharedStrings.xml><?xml version="1.0" encoding="utf-8"?>
<sst xmlns="http://schemas.openxmlformats.org/spreadsheetml/2006/main" count="333" uniqueCount="175">
  <si>
    <t>Frais divers de gestion forestière / Ha</t>
  </si>
  <si>
    <t>Dessouchage</t>
  </si>
  <si>
    <t>Mise en andain</t>
  </si>
  <si>
    <t>Sous-solage</t>
  </si>
  <si>
    <t xml:space="preserve">Broyeur forestier léger </t>
  </si>
  <si>
    <t>Broyeur lourd</t>
  </si>
  <si>
    <t>Broyage d'interlignes (1 interligne/2)</t>
  </si>
  <si>
    <t>Cover Crop - Rota</t>
  </si>
  <si>
    <t>Frais de dégagement - Année N+1</t>
  </si>
  <si>
    <t>Frais de dégagement - Année N+2</t>
  </si>
  <si>
    <t>Frais de dégagement - Année N+3</t>
  </si>
  <si>
    <t>Frais de marquage</t>
  </si>
  <si>
    <t>Frais de dégagement régénération irrégulier</t>
  </si>
  <si>
    <t>Eclaircie 1</t>
  </si>
  <si>
    <t>Eclaircie 2</t>
  </si>
  <si>
    <t>Eclaircie 3</t>
  </si>
  <si>
    <t>Colonne1</t>
  </si>
  <si>
    <t>Chataignier</t>
  </si>
  <si>
    <t>Age</t>
  </si>
  <si>
    <t>Vt</t>
  </si>
  <si>
    <t>Chêne</t>
  </si>
  <si>
    <t>Pin Laricio</t>
  </si>
  <si>
    <t>Pin Maritime</t>
  </si>
  <si>
    <t>Douglas</t>
  </si>
  <si>
    <t>S</t>
  </si>
  <si>
    <t>Surface :</t>
  </si>
  <si>
    <t>Poursuite culture agricole</t>
  </si>
  <si>
    <t>Poursuite prairie ou pature</t>
  </si>
  <si>
    <t>tCO2</t>
  </si>
  <si>
    <t>V(30)</t>
  </si>
  <si>
    <t>Cèdre</t>
  </si>
  <si>
    <t>Thuya</t>
  </si>
  <si>
    <t>Mélèze</t>
  </si>
  <si>
    <t>Epicéa sitka</t>
  </si>
  <si>
    <t>Intégration des rabais</t>
  </si>
  <si>
    <t>Rabais pour les risques généraux difficilement maitrisable (-10%)</t>
  </si>
  <si>
    <t>Rabais pour le risque d'incendie (0, -5, -10 ou -15 %)</t>
  </si>
  <si>
    <t>Rabais sur la classe de fertilité (0 ou -10%)</t>
  </si>
  <si>
    <t>Pin Sylvestre</t>
  </si>
  <si>
    <t>Cèdre de l'Atlas</t>
  </si>
  <si>
    <t>Infradensité de l'Essence (tMS/m3)</t>
  </si>
  <si>
    <t>classe fertilite</t>
  </si>
  <si>
    <t xml:space="preserve">Catégorie de produit </t>
  </si>
  <si>
    <t>Coeff de substitution</t>
  </si>
  <si>
    <t>Essence 1 :</t>
  </si>
  <si>
    <t>Classe de fertilité</t>
  </si>
  <si>
    <t xml:space="preserve">Douglas </t>
  </si>
  <si>
    <t xml:space="preserve">Vignes et vergers </t>
  </si>
  <si>
    <t>S sol (TC/ha)</t>
  </si>
  <si>
    <t>Le projet de boisement se situe sur des parcelles qui, l’année précédant la présente demande de certification, étaient :</t>
  </si>
  <si>
    <t>Embrousaillement/friche</t>
  </si>
  <si>
    <t>S Ess1 (TCO2)</t>
  </si>
  <si>
    <t>S Ess1 (T CO2/ha)</t>
  </si>
  <si>
    <t>TCO2/ha</t>
  </si>
  <si>
    <t xml:space="preserve">TCO2 </t>
  </si>
  <si>
    <t xml:space="preserve">Surface projet total : </t>
  </si>
  <si>
    <t>Sref  (30)</t>
  </si>
  <si>
    <t>Eclaircie 4</t>
  </si>
  <si>
    <t>Eclaircie 5</t>
  </si>
  <si>
    <t>Eclaircie 6</t>
  </si>
  <si>
    <t>Eclaircie 7</t>
  </si>
  <si>
    <t>Eclaircie 8</t>
  </si>
  <si>
    <t>Eclaircie 9</t>
  </si>
  <si>
    <t>Eclaircie 10</t>
  </si>
  <si>
    <t>Eclaircie 11</t>
  </si>
  <si>
    <t>Eclaircie 12</t>
  </si>
  <si>
    <t>Eclaircie 13</t>
  </si>
  <si>
    <t>Eclaircie 14</t>
  </si>
  <si>
    <t>Eclaircie 15</t>
  </si>
  <si>
    <t>Eclaircie 16</t>
  </si>
  <si>
    <t>Eclaircie 17</t>
  </si>
  <si>
    <t>Eclaircie 18</t>
  </si>
  <si>
    <t>Eclaircie 19</t>
  </si>
  <si>
    <t>Eclaircie 20</t>
  </si>
  <si>
    <t>Eclaircie 21</t>
  </si>
  <si>
    <t>Eclaircie 22</t>
  </si>
  <si>
    <t>Eclaircie 23</t>
  </si>
  <si>
    <t>VAN</t>
  </si>
  <si>
    <t>S projet</t>
  </si>
  <si>
    <t>REA forêt</t>
  </si>
  <si>
    <t xml:space="preserve">S ref </t>
  </si>
  <si>
    <t>Plantation résineux</t>
  </si>
  <si>
    <t>Plantation feuillus</t>
  </si>
  <si>
    <t>Information projet</t>
  </si>
  <si>
    <t>Cèdre de l'Atlas - technique et forêt "Première approche de la production potentielle du cèdre de l'atlas" J.TOTH</t>
  </si>
  <si>
    <t>Chêne -  (PARDE 1962) SECTEUR LIGERIEN</t>
  </si>
  <si>
    <t>Douglas - (DECOURT 1972) OUEST DU MASSIF CENTRAL</t>
  </si>
  <si>
    <t>Pin Maritime - (DECOURT - LEMOINE - 1969) SUD OUEST LANDES</t>
  </si>
  <si>
    <t>Chataignier - Bilan des essais forestiers consacrés au chataignier en Bretagne CRPF</t>
  </si>
  <si>
    <t>Pin Laricio - (DECOURT - 1965) SOLOGNE</t>
  </si>
  <si>
    <t>Pin Sylvestre - (DECOURT 1965) SOLOGNE</t>
  </si>
  <si>
    <t>Epicéa sitka - CRPF Bretagne 1986</t>
  </si>
  <si>
    <t>Thuya - Douglas - (DECOURT 1972) OUEST DU MASSIF CENTRAL</t>
  </si>
  <si>
    <t>Rabais</t>
  </si>
  <si>
    <t>Prix avec décote immobilière 20% voir Guide expertise CNIEFEB</t>
  </si>
  <si>
    <t>Prix marché actuel</t>
  </si>
  <si>
    <t xml:space="preserve">Chêne - ONF chenaie Atlantique </t>
  </si>
  <si>
    <t xml:space="preserve">Coefficient de forme et hauteurs moyennes pour peuplement purs equiènnes adultes (d'après GRUNDNER et SCHWAPPACH, 1952). Coefficient de forme 0,54 Station moyenne. </t>
  </si>
  <si>
    <t>Chêne - Chênaies Atlantique (ONF  2018)</t>
  </si>
  <si>
    <t>Volume bois fort (Vbf)/Volume total (Vt)</t>
  </si>
  <si>
    <t>Vbf</t>
  </si>
  <si>
    <t>FEB</t>
  </si>
  <si>
    <t>Facteur expension branche (FEB)</t>
  </si>
  <si>
    <t>Chêne ONF</t>
  </si>
  <si>
    <t>Nombre de classes de fertilités par essences</t>
  </si>
  <si>
    <t>REA forêt générables</t>
  </si>
  <si>
    <t>tC02</t>
  </si>
  <si>
    <t>BO - Bois d'Œuvre</t>
  </si>
  <si>
    <t>BI - Bois d'Industrie</t>
  </si>
  <si>
    <t>BE - Bois Energie</t>
  </si>
  <si>
    <t>Classes de Fertifilité Existantes (Voir table)</t>
  </si>
  <si>
    <t>Classe</t>
  </si>
  <si>
    <t>PRIX</t>
  </si>
  <si>
    <t xml:space="preserve">     </t>
  </si>
  <si>
    <t>Vbi(30)</t>
  </si>
  <si>
    <t>Vbe(30)</t>
  </si>
  <si>
    <t>REA - Méthode Boisement</t>
  </si>
  <si>
    <t>REA produit</t>
  </si>
  <si>
    <t xml:space="preserve">REA Produits </t>
  </si>
  <si>
    <t>Age taillis</t>
  </si>
  <si>
    <t>Robinier</t>
  </si>
  <si>
    <t>C.fertilié</t>
  </si>
  <si>
    <t xml:space="preserve">Taillis Chataignier - ( BEDENEAU 1988) Croissance du taillis de châtaignier en France : premiers résultats. </t>
  </si>
  <si>
    <t>Taillis de Chêne - (J. RONDEUX - D. JACQUES 1988) Tarfs de cubage pour les taillis de chênes et de bouleaux en Ardenne méridionale</t>
  </si>
  <si>
    <t>Mélèze - Douglas (DECOURT 1972) OUEST DU MASSIF CENTRAL</t>
  </si>
  <si>
    <t>C.fertilité</t>
  </si>
  <si>
    <t>REA produit générables</t>
  </si>
  <si>
    <t xml:space="preserve"> Robinier - Assimilé au Chataignier - Bilan des essais forestiers consacrés au chataignier en Bretagne CRPF</t>
  </si>
  <si>
    <t>tC/ha</t>
  </si>
  <si>
    <t>TC02/projet</t>
  </si>
  <si>
    <t>Année</t>
  </si>
  <si>
    <t>Recettes</t>
  </si>
  <si>
    <t>Dépenses</t>
  </si>
  <si>
    <t xml:space="preserve">Plantation </t>
  </si>
  <si>
    <t>Entretien année N+1</t>
  </si>
  <si>
    <t>Entretien année N+2</t>
  </si>
  <si>
    <t>Entretien année N+3</t>
  </si>
  <si>
    <t xml:space="preserve">Eclaircie 1 </t>
  </si>
  <si>
    <t>inf.</t>
  </si>
  <si>
    <t>Stock moyen long terme VERRA (TC02)</t>
  </si>
  <si>
    <t>SMLT projet</t>
  </si>
  <si>
    <t xml:space="preserve">SMLT ref </t>
  </si>
  <si>
    <t>SMTL (verra)</t>
  </si>
  <si>
    <r>
      <t>∆</t>
    </r>
    <r>
      <rPr>
        <b/>
        <sz val="9.9"/>
        <color theme="1"/>
        <rFont val="Calibri"/>
        <family val="2"/>
      </rPr>
      <t xml:space="preserve">S(30) </t>
    </r>
  </si>
  <si>
    <t>SMLT ref</t>
  </si>
  <si>
    <t>Peuplier</t>
  </si>
  <si>
    <t>Volume total</t>
  </si>
  <si>
    <t>Circonférence (cm)</t>
  </si>
  <si>
    <t>Diamètre</t>
  </si>
  <si>
    <t>H (m)</t>
  </si>
  <si>
    <t>Vunitaire</t>
  </si>
  <si>
    <t>Vpeuplement</t>
  </si>
  <si>
    <t>Somme</t>
  </si>
  <si>
    <t>Somme stock</t>
  </si>
  <si>
    <t>ref</t>
  </si>
  <si>
    <t>Peuplier - Station Riche et Humide</t>
  </si>
  <si>
    <t xml:space="preserve">REA produit </t>
  </si>
  <si>
    <t>REA substitution</t>
  </si>
  <si>
    <t xml:space="preserve">TCO2 /ha </t>
  </si>
  <si>
    <t>TCO2 /projet</t>
  </si>
  <si>
    <t>REA produits</t>
  </si>
  <si>
    <t xml:space="preserve">C projet </t>
  </si>
  <si>
    <t>Cref</t>
  </si>
  <si>
    <t>Cprojet - Cref</t>
  </si>
  <si>
    <t>année n</t>
  </si>
  <si>
    <t>Cbo</t>
  </si>
  <si>
    <t>Cbi</t>
  </si>
  <si>
    <t>REE substitution</t>
  </si>
  <si>
    <t>REE substitution générables</t>
  </si>
  <si>
    <t xml:space="preserve">Taux actualisation </t>
  </si>
  <si>
    <t xml:space="preserve">VAN Peuplier </t>
  </si>
  <si>
    <t>S foret /ha</t>
  </si>
  <si>
    <t>S foret projet</t>
  </si>
  <si>
    <t>Rabais pour absence d'analyse économique pour l'additionnalié (0 ou -20 %)</t>
  </si>
  <si>
    <t>REA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</si>
</sst>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0.0%"/>
    <numFmt numFmtId="166" formatCode="_-* #,##0\ &quot;€&quot;_-;\-* #,##0\ &quot;€&quot;_-;_-* &quot;-&quot;??\ &quot;€&quot;_-;_-@_-"/>
    <numFmt numFmtId="167" formatCode="0.0"/>
    <numFmt numFmtId="168" formatCode="_-* #,##0_-;\-* #,##0_-;_-* &quot;-&quot;??_-;_-@_-"/>
    <numFmt numFmtId="169" formatCode="_-* #,##0&quot; M3&quot;;\-* #,##0&quot; M3&quot;;_-* &quot;-&quot;??_-;_-@_-"/>
    <numFmt numFmtId="170" formatCode="#,##0\ &quot;€&quot;;\(#,##0\)\ &quot;€&quot;"/>
    <numFmt numFmtId="171" formatCode="#,##0.0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 Narrow"/>
      <family val="2"/>
    </font>
    <font>
      <sz val="11"/>
      <color theme="9" tint="0.59999389629810485"/>
      <name val="Arial Narrow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0.59999389629810485"/>
      <name val="Arial Narrow"/>
      <family val="2"/>
    </font>
    <font>
      <b/>
      <sz val="11"/>
      <color theme="1"/>
      <name val="Calibri"/>
      <family val="2"/>
    </font>
    <font>
      <b/>
      <i/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1"/>
      <color theme="2" tint="-0.749992370372631"/>
      <name val="Calibri"/>
      <family val="2"/>
      <scheme val="minor"/>
    </font>
    <font>
      <b/>
      <i/>
      <sz val="11"/>
      <color theme="2" tint="-0.74999237037263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Arial"/>
      <family val="2"/>
    </font>
    <font>
      <b/>
      <sz val="14"/>
      <color theme="1" tint="0.499984740745262"/>
      <name val="Arial Narrow"/>
      <family val="2"/>
    </font>
    <font>
      <b/>
      <sz val="14"/>
      <color theme="9" tint="0.59999389629810485"/>
      <name val="Arial Narrow"/>
      <family val="2"/>
    </font>
    <font>
      <b/>
      <sz val="9.9"/>
      <color theme="1"/>
      <name val="Calibri"/>
      <family val="2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2" tint="-0.89999084444715716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theme="5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5" tint="0.39997558519241921"/>
      </bottom>
      <diagonal/>
    </border>
    <border>
      <left style="thin">
        <color theme="5" tint="0.39997558519241921"/>
      </left>
      <right/>
      <top/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medium">
        <color indexed="64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7">
    <xf numFmtId="0" fontId="0" fillId="0" borderId="0" xfId="0"/>
    <xf numFmtId="9" fontId="0" fillId="0" borderId="0" xfId="1" applyFont="1"/>
    <xf numFmtId="0" fontId="5" fillId="0" borderId="0" xfId="0" applyFont="1" applyAlignment="1">
      <alignment horizontal="center"/>
    </xf>
    <xf numFmtId="6" fontId="0" fillId="0" borderId="0" xfId="0" applyNumberFormat="1" applyFill="1"/>
    <xf numFmtId="0" fontId="0" fillId="0" borderId="1" xfId="0" applyFont="1" applyBorder="1"/>
    <xf numFmtId="0" fontId="7" fillId="0" borderId="0" xfId="0" applyFont="1"/>
    <xf numFmtId="0" fontId="7" fillId="0" borderId="0" xfId="0" applyFont="1" applyFill="1"/>
    <xf numFmtId="1" fontId="0" fillId="0" borderId="0" xfId="0" applyNumberFormat="1"/>
    <xf numFmtId="1" fontId="0" fillId="0" borderId="1" xfId="0" applyNumberFormat="1" applyFont="1" applyBorder="1"/>
    <xf numFmtId="6" fontId="0" fillId="0" borderId="0" xfId="0" applyNumberFormat="1"/>
    <xf numFmtId="0" fontId="0" fillId="0" borderId="2" xfId="0" applyBorder="1"/>
    <xf numFmtId="1" fontId="0" fillId="0" borderId="2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Fill="1"/>
    <xf numFmtId="0" fontId="3" fillId="2" borderId="0" xfId="0" applyFont="1" applyFill="1" applyAlignment="1">
      <alignment horizontal="left"/>
    </xf>
    <xf numFmtId="0" fontId="8" fillId="3" borderId="0" xfId="0" applyFont="1" applyFill="1" applyAlignment="1"/>
    <xf numFmtId="0" fontId="8" fillId="0" borderId="0" xfId="0" applyFont="1" applyFill="1" applyAlignment="1"/>
    <xf numFmtId="0" fontId="3" fillId="0" borderId="0" xfId="0" applyFont="1" applyFill="1" applyAlignment="1">
      <alignment horizontal="left"/>
    </xf>
    <xf numFmtId="0" fontId="10" fillId="0" borderId="0" xfId="0" applyFont="1"/>
    <xf numFmtId="0" fontId="8" fillId="0" borderId="0" xfId="0" applyFont="1" applyFill="1" applyAlignment="1">
      <alignment horizontal="left"/>
    </xf>
    <xf numFmtId="0" fontId="0" fillId="0" borderId="0" xfId="0" applyFill="1" applyBorder="1"/>
    <xf numFmtId="0" fontId="11" fillId="8" borderId="3" xfId="0" applyFont="1" applyFill="1" applyBorder="1"/>
    <xf numFmtId="0" fontId="11" fillId="8" borderId="4" xfId="0" applyFont="1" applyFill="1" applyBorder="1"/>
    <xf numFmtId="0" fontId="11" fillId="8" borderId="5" xfId="0" applyFont="1" applyFill="1" applyBorder="1"/>
    <xf numFmtId="0" fontId="0" fillId="9" borderId="3" xfId="0" applyFont="1" applyFill="1" applyBorder="1"/>
    <xf numFmtId="0" fontId="0" fillId="0" borderId="3" xfId="0" applyFont="1" applyBorder="1"/>
    <xf numFmtId="0" fontId="0" fillId="0" borderId="5" xfId="0" applyFont="1" applyBorder="1"/>
    <xf numFmtId="0" fontId="0" fillId="0" borderId="0" xfId="0" applyFont="1"/>
    <xf numFmtId="1" fontId="7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2" fillId="0" borderId="0" xfId="0" applyFont="1" applyFill="1" applyAlignment="1">
      <alignment horizontal="left"/>
    </xf>
    <xf numFmtId="0" fontId="5" fillId="5" borderId="1" xfId="0" applyFont="1" applyFill="1" applyBorder="1"/>
    <xf numFmtId="1" fontId="5" fillId="5" borderId="1" xfId="0" applyNumberFormat="1" applyFont="1" applyFill="1" applyBorder="1"/>
    <xf numFmtId="0" fontId="0" fillId="0" borderId="0" xfId="0" applyNumberFormat="1"/>
    <xf numFmtId="0" fontId="0" fillId="0" borderId="0" xfId="0" applyAlignment="1">
      <alignment horizontal="left"/>
    </xf>
    <xf numFmtId="0" fontId="13" fillId="10" borderId="0" xfId="0" applyFont="1" applyFill="1"/>
    <xf numFmtId="0" fontId="14" fillId="10" borderId="0" xfId="0" applyFont="1" applyFill="1" applyAlignment="1"/>
    <xf numFmtId="0" fontId="0" fillId="3" borderId="0" xfId="0" applyFill="1"/>
    <xf numFmtId="1" fontId="0" fillId="9" borderId="3" xfId="0" applyNumberFormat="1" applyFont="1" applyFill="1" applyBorder="1"/>
    <xf numFmtId="1" fontId="0" fillId="0" borderId="3" xfId="0" applyNumberFormat="1" applyFont="1" applyBorder="1"/>
    <xf numFmtId="44" fontId="0" fillId="0" borderId="0" xfId="2" applyFont="1" applyBorder="1"/>
    <xf numFmtId="44" fontId="0" fillId="0" borderId="0" xfId="0" applyNumberFormat="1" applyBorder="1"/>
    <xf numFmtId="0" fontId="2" fillId="0" borderId="0" xfId="0" applyFont="1" applyBorder="1"/>
    <xf numFmtId="0" fontId="3" fillId="2" borderId="0" xfId="0" applyFont="1" applyFill="1" applyAlignment="1">
      <alignment horizontal="left"/>
    </xf>
    <xf numFmtId="0" fontId="14" fillId="10" borderId="0" xfId="0" applyFont="1" applyFill="1" applyAlignment="1">
      <alignment horizontal="right"/>
    </xf>
    <xf numFmtId="0" fontId="7" fillId="7" borderId="0" xfId="0" applyFont="1" applyFill="1"/>
    <xf numFmtId="2" fontId="16" fillId="7" borderId="0" xfId="0" applyNumberFormat="1" applyFont="1" applyFill="1" applyBorder="1"/>
    <xf numFmtId="168" fontId="0" fillId="0" borderId="0" xfId="3" applyNumberFormat="1" applyFont="1"/>
    <xf numFmtId="0" fontId="7" fillId="12" borderId="2" xfId="0" applyFont="1" applyFill="1" applyBorder="1"/>
    <xf numFmtId="0" fontId="0" fillId="12" borderId="2" xfId="0" applyNumberFormat="1" applyFill="1" applyBorder="1"/>
    <xf numFmtId="169" fontId="0" fillId="9" borderId="5" xfId="0" applyNumberFormat="1" applyFill="1" applyBorder="1"/>
    <xf numFmtId="169" fontId="0" fillId="0" borderId="5" xfId="0" applyNumberFormat="1" applyBorder="1"/>
    <xf numFmtId="0" fontId="0" fillId="0" borderId="0" xfId="0" applyAlignment="1">
      <alignment horizontal="right"/>
    </xf>
    <xf numFmtId="170" fontId="0" fillId="9" borderId="5" xfId="2" applyNumberFormat="1" applyFont="1" applyFill="1" applyBorder="1"/>
    <xf numFmtId="170" fontId="0" fillId="0" borderId="5" xfId="2" applyNumberFormat="1" applyFont="1" applyBorder="1"/>
    <xf numFmtId="166" fontId="0" fillId="0" borderId="0" xfId="2" applyNumberFormat="1" applyFont="1"/>
    <xf numFmtId="166" fontId="0" fillId="9" borderId="3" xfId="2" applyNumberFormat="1" applyFont="1" applyFill="1" applyBorder="1"/>
    <xf numFmtId="166" fontId="0" fillId="9" borderId="4" xfId="2" applyNumberFormat="1" applyFont="1" applyFill="1" applyBorder="1"/>
    <xf numFmtId="166" fontId="0" fillId="9" borderId="5" xfId="2" applyNumberFormat="1" applyFont="1" applyFill="1" applyBorder="1"/>
    <xf numFmtId="166" fontId="0" fillId="0" borderId="3" xfId="2" applyNumberFormat="1" applyFont="1" applyBorder="1"/>
    <xf numFmtId="166" fontId="0" fillId="0" borderId="4" xfId="2" applyNumberFormat="1" applyFont="1" applyBorder="1"/>
    <xf numFmtId="166" fontId="0" fillId="0" borderId="5" xfId="2" applyNumberFormat="1" applyFont="1" applyBorder="1"/>
    <xf numFmtId="0" fontId="17" fillId="11" borderId="3" xfId="0" applyFont="1" applyFill="1" applyBorder="1"/>
    <xf numFmtId="0" fontId="18" fillId="11" borderId="7" xfId="0" applyFont="1" applyFill="1" applyBorder="1"/>
    <xf numFmtId="0" fontId="18" fillId="6" borderId="7" xfId="0" applyFont="1" applyFill="1" applyBorder="1"/>
    <xf numFmtId="0" fontId="18" fillId="6" borderId="8" xfId="0" applyFont="1" applyFill="1" applyBorder="1"/>
    <xf numFmtId="0" fontId="18" fillId="0" borderId="0" xfId="0" applyFont="1"/>
    <xf numFmtId="0" fontId="17" fillId="6" borderId="3" xfId="0" applyFont="1" applyFill="1" applyBorder="1"/>
    <xf numFmtId="0" fontId="17" fillId="6" borderId="5" xfId="0" applyFont="1" applyFill="1" applyBorder="1"/>
    <xf numFmtId="0" fontId="11" fillId="13" borderId="0" xfId="0" applyFont="1" applyFill="1"/>
    <xf numFmtId="0" fontId="8" fillId="3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169" fontId="0" fillId="0" borderId="5" xfId="0" applyNumberFormat="1" applyFill="1" applyBorder="1"/>
    <xf numFmtId="0" fontId="0" fillId="0" borderId="0" xfId="0" applyFont="1" applyFill="1" applyBorder="1"/>
    <xf numFmtId="0" fontId="7" fillId="0" borderId="0" xfId="0" applyFont="1" applyFill="1" applyBorder="1"/>
    <xf numFmtId="170" fontId="0" fillId="0" borderId="5" xfId="2" applyNumberFormat="1" applyFont="1" applyFill="1" applyBorder="1"/>
    <xf numFmtId="0" fontId="5" fillId="0" borderId="0" xfId="0" applyFont="1" applyFill="1" applyBorder="1"/>
    <xf numFmtId="0" fontId="0" fillId="0" borderId="0" xfId="0" applyFont="1" applyBorder="1" applyAlignment="1"/>
    <xf numFmtId="170" fontId="0" fillId="0" borderId="0" xfId="2" applyNumberFormat="1" applyFont="1" applyFill="1" applyBorder="1"/>
    <xf numFmtId="1" fontId="19" fillId="0" borderId="0" xfId="0" applyNumberFormat="1" applyFont="1"/>
    <xf numFmtId="0" fontId="0" fillId="0" borderId="4" xfId="0" applyFont="1" applyBorder="1"/>
    <xf numFmtId="0" fontId="0" fillId="0" borderId="13" xfId="0" applyFont="1" applyFill="1" applyBorder="1"/>
    <xf numFmtId="0" fontId="0" fillId="9" borderId="0" xfId="0" applyFont="1" applyFill="1" applyBorder="1"/>
    <xf numFmtId="169" fontId="0" fillId="9" borderId="0" xfId="0" applyNumberFormat="1" applyFill="1" applyBorder="1"/>
    <xf numFmtId="170" fontId="0" fillId="9" borderId="0" xfId="2" applyNumberFormat="1" applyFont="1" applyFill="1" applyBorder="1"/>
    <xf numFmtId="0" fontId="12" fillId="2" borderId="6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9" fontId="17" fillId="14" borderId="1" xfId="1" applyFont="1" applyFill="1" applyBorder="1"/>
    <xf numFmtId="9" fontId="17" fillId="12" borderId="1" xfId="1" applyFont="1" applyFill="1" applyBorder="1"/>
    <xf numFmtId="170" fontId="0" fillId="0" borderId="0" xfId="0" applyNumberForma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right" wrapText="1"/>
    </xf>
    <xf numFmtId="170" fontId="0" fillId="0" borderId="2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2" xfId="0" applyFont="1" applyFill="1" applyBorder="1"/>
    <xf numFmtId="171" fontId="0" fillId="0" borderId="2" xfId="0" applyNumberFormat="1" applyBorder="1"/>
    <xf numFmtId="1" fontId="0" fillId="0" borderId="2" xfId="0" applyNumberFormat="1" applyFont="1" applyFill="1" applyBorder="1" applyAlignment="1">
      <alignment horizontal="right"/>
    </xf>
    <xf numFmtId="171" fontId="0" fillId="12" borderId="2" xfId="0" applyNumberFormat="1" applyFont="1" applyFill="1" applyBorder="1" applyAlignment="1">
      <alignment horizontal="right"/>
    </xf>
    <xf numFmtId="171" fontId="0" fillId="12" borderId="2" xfId="0" applyNumberFormat="1" applyFill="1" applyBorder="1"/>
    <xf numFmtId="0" fontId="4" fillId="0" borderId="0" xfId="0" applyFont="1" applyFill="1" applyBorder="1" applyAlignment="1"/>
    <xf numFmtId="171" fontId="4" fillId="12" borderId="2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right"/>
    </xf>
    <xf numFmtId="1" fontId="0" fillId="0" borderId="2" xfId="0" applyNumberFormat="1" applyBorder="1" applyAlignment="1">
      <alignment horizontal="left" indent="3"/>
    </xf>
    <xf numFmtId="0" fontId="0" fillId="16" borderId="0" xfId="0" applyFill="1"/>
    <xf numFmtId="0" fontId="7" fillId="0" borderId="2" xfId="0" applyFont="1" applyBorder="1"/>
    <xf numFmtId="0" fontId="0" fillId="5" borderId="14" xfId="0" applyFont="1" applyFill="1" applyBorder="1"/>
    <xf numFmtId="1" fontId="0" fillId="5" borderId="15" xfId="0" applyNumberFormat="1" applyFont="1" applyFill="1" applyBorder="1"/>
    <xf numFmtId="1" fontId="0" fillId="5" borderId="16" xfId="0" applyNumberFormat="1" applyFont="1" applyFill="1" applyBorder="1"/>
    <xf numFmtId="0" fontId="0" fillId="0" borderId="17" xfId="0" applyFont="1" applyBorder="1"/>
    <xf numFmtId="1" fontId="0" fillId="0" borderId="18" xfId="0" applyNumberFormat="1" applyFont="1" applyBorder="1"/>
    <xf numFmtId="0" fontId="9" fillId="5" borderId="19" xfId="0" applyFont="1" applyFill="1" applyBorder="1"/>
    <xf numFmtId="1" fontId="5" fillId="5" borderId="20" xfId="0" applyNumberFormat="1" applyFont="1" applyFill="1" applyBorder="1"/>
    <xf numFmtId="1" fontId="5" fillId="5" borderId="21" xfId="0" applyNumberFormat="1" applyFont="1" applyFill="1" applyBorder="1"/>
    <xf numFmtId="1" fontId="5" fillId="5" borderId="2" xfId="0" applyNumberFormat="1" applyFont="1" applyFill="1" applyBorder="1"/>
    <xf numFmtId="2" fontId="0" fillId="0" borderId="0" xfId="0" applyNumberFormat="1" applyAlignment="1">
      <alignment horizontal="left" indent="1"/>
    </xf>
    <xf numFmtId="2" fontId="0" fillId="0" borderId="2" xfId="0" applyNumberFormat="1" applyBorder="1"/>
    <xf numFmtId="167" fontId="0" fillId="0" borderId="2" xfId="0" applyNumberFormat="1" applyBorder="1"/>
    <xf numFmtId="0" fontId="23" fillId="0" borderId="2" xfId="0" applyFont="1" applyBorder="1"/>
    <xf numFmtId="1" fontId="7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 applyAlignment="1">
      <alignment horizontal="left" indent="1"/>
    </xf>
    <xf numFmtId="0" fontId="6" fillId="4" borderId="2" xfId="0" applyFont="1" applyFill="1" applyBorder="1"/>
    <xf numFmtId="2" fontId="6" fillId="4" borderId="2" xfId="0" applyNumberFormat="1" applyFont="1" applyFill="1" applyBorder="1" applyAlignment="1">
      <alignment horizontal="left" indent="1"/>
    </xf>
    <xf numFmtId="0" fontId="7" fillId="17" borderId="0" xfId="0" applyFont="1" applyFill="1"/>
    <xf numFmtId="0" fontId="24" fillId="0" borderId="0" xfId="0" applyFont="1" applyFill="1" applyBorder="1" applyAlignment="1">
      <alignment horizontal="center" vertical="center"/>
    </xf>
    <xf numFmtId="2" fontId="0" fillId="10" borderId="2" xfId="0" applyNumberFormat="1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0" xfId="0" applyFill="1"/>
    <xf numFmtId="0" fontId="8" fillId="0" borderId="0" xfId="0" applyFont="1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NumberFormat="1" applyFill="1" applyBorder="1"/>
    <xf numFmtId="2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/>
    </xf>
    <xf numFmtId="1" fontId="19" fillId="0" borderId="0" xfId="0" applyNumberFormat="1" applyFont="1" applyFill="1" applyBorder="1"/>
    <xf numFmtId="167" fontId="0" fillId="0" borderId="0" xfId="0" applyNumberFormat="1" applyFill="1"/>
    <xf numFmtId="170" fontId="6" fillId="0" borderId="0" xfId="0" applyNumberFormat="1" applyFont="1" applyFill="1" applyBorder="1" applyAlignment="1">
      <alignment vertical="top"/>
    </xf>
    <xf numFmtId="1" fontId="7" fillId="0" borderId="0" xfId="0" applyNumberFormat="1" applyFont="1" applyFill="1"/>
    <xf numFmtId="165" fontId="0" fillId="0" borderId="0" xfId="1" applyNumberFormat="1" applyFont="1" applyFill="1"/>
    <xf numFmtId="0" fontId="25" fillId="0" borderId="0" xfId="0" applyFont="1" applyFill="1" applyBorder="1" applyAlignment="1"/>
    <xf numFmtId="1" fontId="25" fillId="0" borderId="0" xfId="0" applyNumberFormat="1" applyFont="1" applyFill="1" applyBorder="1" applyAlignment="1"/>
    <xf numFmtId="171" fontId="4" fillId="0" borderId="0" xfId="0" applyNumberFormat="1" applyFont="1" applyFill="1" applyBorder="1" applyAlignment="1"/>
    <xf numFmtId="167" fontId="16" fillId="7" borderId="0" xfId="0" applyNumberFormat="1" applyFont="1" applyFill="1" applyBorder="1"/>
    <xf numFmtId="2" fontId="0" fillId="0" borderId="0" xfId="0" applyNumberFormat="1"/>
    <xf numFmtId="0" fontId="0" fillId="15" borderId="0" xfId="0" applyFill="1" applyAlignment="1">
      <alignment horizontal="center"/>
    </xf>
    <xf numFmtId="0" fontId="7" fillId="0" borderId="2" xfId="0" applyFont="1" applyBorder="1" applyAlignment="1">
      <alignment horizontal="center"/>
    </xf>
    <xf numFmtId="0" fontId="24" fillId="10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/>
    </xf>
    <xf numFmtId="0" fontId="0" fillId="5" borderId="9" xfId="0" applyFont="1" applyFill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170" fontId="6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1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Milliers" xfId="3" builtinId="3"/>
    <cellStyle name="Monétaire" xfId="2" builtinId="4"/>
    <cellStyle name="Normal" xfId="0" builtinId="0"/>
    <cellStyle name="Pourcentage" xfId="1" builtinId="5"/>
  </cellStyles>
  <dxfs count="22"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border outline="0">
        <top style="thin">
          <color theme="5" tint="0.39997558519241921"/>
        </top>
      </border>
    </dxf>
    <dxf>
      <numFmt numFmtId="166" formatCode="_-* #,##0\ &quot;€&quot;_-;\-* #,##0\ &quot;€&quot;_-;_-* &quot;-&quot;??\ &quot;€&quot;_-;_-@_-"/>
    </dxf>
    <dxf>
      <border outline="0">
        <bottom style="thin">
          <color theme="5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5" tint="0.39997558519241921"/>
        </patternFill>
      </fill>
    </dxf>
    <dxf>
      <numFmt numFmtId="10" formatCode="#,##0\ &quot;€&quot;;[Red]\-#,##0\ &quot;€&quot;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 tint="0.39997558519241921"/>
        </left>
        <right/>
        <top style="thin">
          <color theme="5" tint="0.39997558519241921"/>
        </top>
        <bottom style="thin">
          <color theme="5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7CF7F4"/>
      <color rgb="FF05AB15"/>
      <color rgb="FFD2E37D"/>
      <color rgb="FFCCCC00"/>
      <color rgb="FF5F9830"/>
      <color rgb="FFBAE18B"/>
      <color rgb="FFDDEFA5"/>
      <color rgb="FFFFCA33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checked="Checked" fmlaLink="$A$25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3</xdr:row>
          <xdr:rowOff>19050</xdr:rowOff>
        </xdr:from>
        <xdr:to>
          <xdr:col>0</xdr:col>
          <xdr:colOff>962025</xdr:colOff>
          <xdr:row>4</xdr:row>
          <xdr:rowOff>9525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="" xmlns:a16="http://schemas.microsoft.com/office/drawing/2014/main" id="{00000000-0008-0000-02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="" xmlns:a16="http://schemas.microsoft.com/office/drawing/2014/main" id="{00000000-0008-0000-02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9525</xdr:rowOff>
        </xdr:from>
        <xdr:to>
          <xdr:col>0</xdr:col>
          <xdr:colOff>942975</xdr:colOff>
          <xdr:row>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="" xmlns:a16="http://schemas.microsoft.com/office/drawing/2014/main" id="{00000000-0008-0000-02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190500</xdr:rowOff>
        </xdr:from>
        <xdr:to>
          <xdr:col>0</xdr:col>
          <xdr:colOff>942975</xdr:colOff>
          <xdr:row>6</xdr:row>
          <xdr:rowOff>152400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="" xmlns:a16="http://schemas.microsoft.com/office/drawing/2014/main" id="{00000000-0008-0000-02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esktop/Google%20Drive/CABINET%20LORNE/2_LABEL%20CARBONE/EcoTree%20-%20Quantification%20Carbone%20-%20Pont%20de%20bu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tockage"/>
      <sheetName val="1-REA"/>
      <sheetName val="2-REA "/>
      <sheetName val="3-REA"/>
      <sheetName val="Inputs"/>
      <sheetName val="VERRA"/>
      <sheetName val="TP- IRREG RESINEUX"/>
      <sheetName val="TP-IRREG FEUILLUS"/>
      <sheetName val="TP-REG"/>
      <sheetName val="EcoTree &amp; le Carbone"/>
      <sheetName val="Lexique"/>
      <sheetName val="1-BOISEMENT"/>
      <sheetName val="1-VAN"/>
      <sheetName val="2-RECONSTITUTION"/>
      <sheetName val="2-VAN "/>
      <sheetName val="3-BALIVAGE"/>
      <sheetName val="Méthode VERRA"/>
    </sheetNames>
    <sheetDataSet>
      <sheetData sheetId="0"/>
      <sheetData sheetId="1">
        <row r="29">
          <cell r="C29">
            <v>0.47499999999999998</v>
          </cell>
        </row>
      </sheetData>
      <sheetData sheetId="2"/>
      <sheetData sheetId="3"/>
      <sheetData sheetId="4">
        <row r="1">
          <cell r="B1">
            <v>1</v>
          </cell>
          <cell r="C1">
            <v>2</v>
          </cell>
          <cell r="D1">
            <v>3</v>
          </cell>
        </row>
        <row r="2">
          <cell r="A2" t="str">
            <v>Douglas - Régulier</v>
          </cell>
          <cell r="B2">
            <v>383.03999999999996</v>
          </cell>
          <cell r="C2">
            <v>383.03999999999996</v>
          </cell>
          <cell r="D2">
            <v>383.03999999999996</v>
          </cell>
          <cell r="G2">
            <v>391.28949999999998</v>
          </cell>
          <cell r="H2">
            <v>391.28949999999998</v>
          </cell>
          <cell r="I2">
            <v>391.28949999999998</v>
          </cell>
          <cell r="L2">
            <v>234.3621666666667</v>
          </cell>
          <cell r="M2">
            <v>167.69550000000001</v>
          </cell>
          <cell r="N2">
            <v>167.69550000000001</v>
          </cell>
        </row>
        <row r="3">
          <cell r="A3" t="str">
            <v>Douglas - Irrégulier</v>
          </cell>
          <cell r="B3">
            <v>247.33900800000001</v>
          </cell>
          <cell r="C3">
            <v>253.10880000000003</v>
          </cell>
          <cell r="D3">
            <v>267.90750000000003</v>
          </cell>
          <cell r="G3">
            <v>742.33273240000005</v>
          </cell>
          <cell r="H3">
            <v>682.54474585937498</v>
          </cell>
          <cell r="I3">
            <v>555.44568880208328</v>
          </cell>
          <cell r="L3">
            <v>384.80926626666673</v>
          </cell>
          <cell r="M3">
            <v>359.18584346354169</v>
          </cell>
          <cell r="N3">
            <v>304.7148190104167</v>
          </cell>
        </row>
        <row r="4">
          <cell r="A4" t="str">
            <v>Cèdre - Irrégulier</v>
          </cell>
          <cell r="B4">
            <v>202.52753740800006</v>
          </cell>
          <cell r="C4">
            <v>229.68092700000003</v>
          </cell>
          <cell r="D4">
            <v>247.17656250000005</v>
          </cell>
          <cell r="G4">
            <v>546.14500384683754</v>
          </cell>
          <cell r="H4">
            <v>472.83085194843756</v>
          </cell>
          <cell r="I4">
            <v>391.24777343749997</v>
          </cell>
          <cell r="L4">
            <v>298.07494450578753</v>
          </cell>
          <cell r="M4">
            <v>266.65459369218752</v>
          </cell>
          <cell r="N4">
            <v>231.67761718750003</v>
          </cell>
        </row>
        <row r="5">
          <cell r="A5" t="str">
            <v>Méleze - Irrégulier</v>
          </cell>
          <cell r="B5">
            <v>208.73402645760001</v>
          </cell>
          <cell r="C5">
            <v>258.39104287499998</v>
          </cell>
          <cell r="D5">
            <v>278.07363281250002</v>
          </cell>
          <cell r="G5">
            <v>650.94158395777208</v>
          </cell>
          <cell r="H5">
            <v>531.93470844199214</v>
          </cell>
          <cell r="I5">
            <v>440.1537451171875</v>
          </cell>
          <cell r="L5">
            <v>350.98936455333086</v>
          </cell>
          <cell r="M5">
            <v>299.9864179037109</v>
          </cell>
          <cell r="N5">
            <v>260.63731933593755</v>
          </cell>
        </row>
        <row r="6">
          <cell r="A6" t="str">
            <v>Pin maritime - Irrégulier</v>
          </cell>
          <cell r="B6">
            <v>150.71805853138952</v>
          </cell>
          <cell r="C6">
            <v>194.15973298176002</v>
          </cell>
          <cell r="D6">
            <v>215.25504000000006</v>
          </cell>
          <cell r="G6">
            <v>436.38071565075188</v>
          </cell>
          <cell r="H6">
            <v>349.67774740516802</v>
          </cell>
          <cell r="I6">
            <v>280.02174200000002</v>
          </cell>
          <cell r="L6">
            <v>227.02830670746511</v>
          </cell>
          <cell r="M6">
            <v>189.86989174507201</v>
          </cell>
          <cell r="N6">
            <v>160.00931800000001</v>
          </cell>
        </row>
        <row r="7">
          <cell r="A7" t="str">
            <v>Pin sylvestre - Irrégulier</v>
          </cell>
          <cell r="B7">
            <v>187.89651578880003</v>
          </cell>
          <cell r="C7">
            <v>195.72553728000003</v>
          </cell>
          <cell r="D7">
            <v>198.74400000000003</v>
          </cell>
          <cell r="G7">
            <v>315.35328177808009</v>
          </cell>
          <cell r="H7">
            <v>249.58950125200005</v>
          </cell>
          <cell r="I7">
            <v>178.90903333333333</v>
          </cell>
          <cell r="L7">
            <v>175.15940647632004</v>
          </cell>
          <cell r="M7">
            <v>146.97492910800003</v>
          </cell>
          <cell r="N7">
            <v>116.67529999999999</v>
          </cell>
        </row>
        <row r="8">
          <cell r="A8" t="str">
            <v>Chêne - Régulier</v>
          </cell>
          <cell r="B8">
            <v>198.60387626953124</v>
          </cell>
          <cell r="C8">
            <v>0</v>
          </cell>
          <cell r="D8">
            <v>0</v>
          </cell>
          <cell r="G8">
            <v>248.29130858642577</v>
          </cell>
          <cell r="H8">
            <v>0</v>
          </cell>
          <cell r="I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Chêne - Irrégulier</v>
          </cell>
          <cell r="B9">
            <v>203.90737500000003</v>
          </cell>
          <cell r="C9">
            <v>200.43450000000001</v>
          </cell>
          <cell r="D9">
            <v>187.86599999999999</v>
          </cell>
          <cell r="G9">
            <v>169.926946875</v>
          </cell>
          <cell r="H9">
            <v>124.04778749999998</v>
          </cell>
          <cell r="I9">
            <v>88.971749999999986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Chêne rouge - Irrégulier</v>
          </cell>
          <cell r="B10">
            <v>132.11473766400007</v>
          </cell>
          <cell r="C10">
            <v>158.06584684800004</v>
          </cell>
          <cell r="D10">
            <v>181.54717717500003</v>
          </cell>
          <cell r="G10">
            <v>439.44330408034881</v>
          </cell>
          <cell r="H10">
            <v>376.16978150626881</v>
          </cell>
          <cell r="I10">
            <v>300.7936052854688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Chataignier - Irrégulier</v>
          </cell>
          <cell r="B11">
            <v>118.77744033791997</v>
          </cell>
          <cell r="C11">
            <v>149.10091822080008</v>
          </cell>
          <cell r="D11">
            <v>181.54717717500003</v>
          </cell>
          <cell r="G11">
            <v>372.93458252510476</v>
          </cell>
          <cell r="H11">
            <v>372.93458252510476</v>
          </cell>
          <cell r="I11">
            <v>272.48397277237507</v>
          </cell>
          <cell r="L11">
            <v>0</v>
          </cell>
          <cell r="M11">
            <v>0</v>
          </cell>
          <cell r="N11">
            <v>0</v>
          </cell>
        </row>
        <row r="34">
          <cell r="A34" t="str">
            <v>Chêne rouge - Irrégulier</v>
          </cell>
        </row>
        <row r="35">
          <cell r="A35" t="str">
            <v>Chataignier - Irrégulier</v>
          </cell>
        </row>
        <row r="36">
          <cell r="A36">
            <v>0.1</v>
          </cell>
        </row>
        <row r="37">
          <cell r="A37">
            <v>0.15</v>
          </cell>
        </row>
        <row r="39">
          <cell r="L39" t="str">
            <v>Chêne</v>
          </cell>
        </row>
        <row r="40">
          <cell r="L40" t="str">
            <v>C.fertilité</v>
          </cell>
          <cell r="M40">
            <v>1</v>
          </cell>
          <cell r="N40" t="str">
            <v>Ve B0</v>
          </cell>
        </row>
        <row r="41">
          <cell r="L41">
            <v>30</v>
          </cell>
          <cell r="M41">
            <v>0</v>
          </cell>
          <cell r="N41">
            <v>0</v>
          </cell>
        </row>
        <row r="42">
          <cell r="L42">
            <v>40</v>
          </cell>
          <cell r="M42">
            <v>94.921875</v>
          </cell>
          <cell r="N42">
            <v>0</v>
          </cell>
        </row>
        <row r="43">
          <cell r="L43">
            <v>50</v>
          </cell>
          <cell r="M43">
            <v>121.5</v>
          </cell>
          <cell r="N43">
            <v>0</v>
          </cell>
        </row>
        <row r="44">
          <cell r="L44">
            <v>60</v>
          </cell>
          <cell r="M44">
            <v>141.75</v>
          </cell>
          <cell r="N44">
            <v>24.806249999999999</v>
          </cell>
        </row>
        <row r="45">
          <cell r="L45">
            <v>70</v>
          </cell>
          <cell r="M45">
            <v>158.76</v>
          </cell>
          <cell r="N45">
            <v>27.782999999999998</v>
          </cell>
        </row>
        <row r="46">
          <cell r="L46">
            <v>80</v>
          </cell>
          <cell r="M46">
            <v>176.12437499999999</v>
          </cell>
          <cell r="N46">
            <v>30.821765624999994</v>
          </cell>
        </row>
        <row r="47">
          <cell r="L47">
            <v>90</v>
          </cell>
          <cell r="M47">
            <v>187.90734375</v>
          </cell>
          <cell r="N47">
            <v>32.883785156249999</v>
          </cell>
        </row>
        <row r="48">
          <cell r="L48">
            <v>100</v>
          </cell>
          <cell r="M48">
            <v>191.16316406250002</v>
          </cell>
          <cell r="N48">
            <v>43.011711914062502</v>
          </cell>
        </row>
        <row r="49">
          <cell r="L49">
            <v>110</v>
          </cell>
          <cell r="M49">
            <v>196.88410546874999</v>
          </cell>
          <cell r="N49">
            <v>44.298923730468758</v>
          </cell>
        </row>
        <row r="50">
          <cell r="L50" t="str">
            <v>Chêne</v>
          </cell>
          <cell r="M50">
            <v>198.60387626953124</v>
          </cell>
          <cell r="N50">
            <v>44.685872160644536</v>
          </cell>
        </row>
        <row r="51">
          <cell r="L51" t="str">
            <v>C.fertilité</v>
          </cell>
          <cell r="M51">
            <v>1</v>
          </cell>
          <cell r="N51" t="str">
            <v>Ve B0</v>
          </cell>
        </row>
        <row r="52">
          <cell r="L52">
            <v>30</v>
          </cell>
          <cell r="M52">
            <v>0</v>
          </cell>
          <cell r="N52">
            <v>0</v>
          </cell>
        </row>
        <row r="53">
          <cell r="L53">
            <v>40</v>
          </cell>
          <cell r="M53">
            <v>94.921875</v>
          </cell>
          <cell r="N53">
            <v>0</v>
          </cell>
        </row>
        <row r="54">
          <cell r="L54">
            <v>50</v>
          </cell>
          <cell r="M54">
            <v>121.5</v>
          </cell>
          <cell r="N54">
            <v>0</v>
          </cell>
        </row>
        <row r="55">
          <cell r="L55">
            <v>60</v>
          </cell>
          <cell r="M55">
            <v>141.75</v>
          </cell>
          <cell r="N55">
            <v>24.806249999999999</v>
          </cell>
        </row>
        <row r="56">
          <cell r="L56">
            <v>70</v>
          </cell>
          <cell r="M56">
            <v>158.76</v>
          </cell>
          <cell r="N56">
            <v>27.782999999999998</v>
          </cell>
        </row>
        <row r="57">
          <cell r="L57">
            <v>80</v>
          </cell>
          <cell r="M57">
            <v>176.12437499999999</v>
          </cell>
          <cell r="N57">
            <v>30.821765624999994</v>
          </cell>
        </row>
        <row r="58">
          <cell r="L58">
            <v>90</v>
          </cell>
          <cell r="M58">
            <v>187.90734375</v>
          </cell>
          <cell r="N58">
            <v>32.883785156249999</v>
          </cell>
        </row>
        <row r="59">
          <cell r="L59">
            <v>100</v>
          </cell>
          <cell r="M59">
            <v>191.16316406250002</v>
          </cell>
          <cell r="N59">
            <v>43.011711914062502</v>
          </cell>
        </row>
        <row r="60">
          <cell r="L60">
            <v>110</v>
          </cell>
          <cell r="M60">
            <v>196.88410546874999</v>
          </cell>
          <cell r="N60">
            <v>44.298923730468758</v>
          </cell>
        </row>
        <row r="61">
          <cell r="L61">
            <v>120</v>
          </cell>
          <cell r="M61">
            <v>198.60387626953124</v>
          </cell>
          <cell r="N61">
            <v>44.685872160644536</v>
          </cell>
        </row>
      </sheetData>
      <sheetData sheetId="5">
        <row r="11">
          <cell r="Y11" t="str">
            <v>CF. 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2" name="infradensite" displayName="infradensite" ref="A30:B42" totalsRowShown="0">
  <autoFilter ref="A30:B42"/>
  <tableColumns count="2">
    <tableColumn id="1" name="Infradensité de l'Essence (tMS/m3)"/>
    <tableColumn id="2" name="Colonne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4" name="Coeff_substitution" displayName="Coeff_substitution" ref="A44:B47" totalsRowShown="0">
  <autoFilter ref="A44:B47"/>
  <tableColumns count="2">
    <tableColumn id="1" name="Catégorie de produit "/>
    <tableColumn id="2" name="Coeff de substitution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8" name="Fertilite" displayName="Fertilite" ref="A49:B60" totalsRowShown="0">
  <autoFilter ref="A49:B60"/>
  <tableColumns count="2">
    <tableColumn id="1" name="Classes de Fertifilité Existantes (Voir table)"/>
    <tableColumn id="2" name="Classe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5" name="Rabais" displayName="Rabais" ref="A77:A81" totalsRowShown="0" dataDxfId="21" dataCellStyle="Pourcentage">
  <autoFilter ref="A77:A81"/>
  <tableColumns count="1">
    <tableColumn id="1" name="Rabais" dataDxfId="20" dataCellStyle="Pourcentage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7" name="FEB" displayName="FEB" ref="A84:C96" totalsRowShown="0">
  <autoFilter ref="A84:C96"/>
  <tableColumns count="3">
    <tableColumn id="1" name="Facteur expension branche (FEB)" dataDxfId="19"/>
    <tableColumn id="2" name="Volume bois fort (Vbf)/Volume total (Vt)"/>
    <tableColumn id="3" name="FEB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10" name="Class_Fertilite" displayName="Class_Fertilite" ref="A98:A104" totalsRowShown="0" dataDxfId="18" dataCellStyle="Pourcentage">
  <autoFilter ref="A98:A104"/>
  <tableColumns count="1">
    <tableColumn id="1" name="Classe de fertilité" dataDxfId="17" dataCellStyle="Pourcentage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3" name="Frais" displayName="Frais" ref="A109:B123" totalsRowShown="0" headerRowDxfId="16">
  <autoFilter ref="A109:B123"/>
  <tableColumns count="2">
    <tableColumn id="1" name="Frais divers de gestion forestière / Ha"/>
    <tableColumn id="2" name="Colonne1" dataDxfId="15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id="22" name="Prix_eclaircie" displayName="Prix_eclaircie" ref="B125:L148" totalsRowShown="0" headerRowDxfId="14" dataDxfId="12" headerRowBorderDxfId="13" tableBorderDxfId="11" dataCellStyle="Monétaire">
  <autoFilter ref="B125:L148"/>
  <tableColumns count="11">
    <tableColumn id="1" name="Chêne" dataDxfId="10" dataCellStyle="Monétaire">
      <calculatedColumnFormula>N126*0.8</calculatedColumnFormula>
    </tableColumn>
    <tableColumn id="11" name="Chêne ONF" dataDxfId="9" dataCellStyle="Monétaire"/>
    <tableColumn id="2" name="Douglas " dataDxfId="8" dataCellStyle="Monétaire">
      <calculatedColumnFormula>O126*0.8</calculatedColumnFormula>
    </tableColumn>
    <tableColumn id="3" name="Pin Maritime" dataDxfId="7" dataCellStyle="Monétaire">
      <calculatedColumnFormula>P126*0.8</calculatedColumnFormula>
    </tableColumn>
    <tableColumn id="4" name="Chataignier" dataDxfId="6" dataCellStyle="Monétaire">
      <calculatedColumnFormula>Q126*0.8</calculatedColumnFormula>
    </tableColumn>
    <tableColumn id="5" name="Pin Laricio" dataDxfId="5" dataCellStyle="Monétaire">
      <calculatedColumnFormula>R126*0.8</calculatedColumnFormula>
    </tableColumn>
    <tableColumn id="6" name="Pin Sylvestre" dataDxfId="4" dataCellStyle="Monétaire">
      <calculatedColumnFormula>S126*0.8</calculatedColumnFormula>
    </tableColumn>
    <tableColumn id="7" name="Cèdre" dataDxfId="3" dataCellStyle="Monétaire">
      <calculatedColumnFormula>T126*0.8</calculatedColumnFormula>
    </tableColumn>
    <tableColumn id="8" name="Epicéa sitka" dataDxfId="2" dataCellStyle="Monétaire">
      <calculatedColumnFormula>U126*0.8</calculatedColumnFormula>
    </tableColumn>
    <tableColumn id="9" name="Mélèze" dataDxfId="1" dataCellStyle="Monétaire">
      <calculatedColumnFormula>V126*0.8</calculatedColumnFormula>
    </tableColumn>
    <tableColumn id="10" name="Thuya" dataDxfId="0" dataCellStyle="Monétaire">
      <calculatedColumnFormula>W126*0.8</calculatedColumnFormula>
    </tableColumn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12" name="Age" displayName="Age" ref="D30:D40" totalsRowShown="0">
  <autoFilter ref="D30:D40"/>
  <tableColumns count="1">
    <tableColumn id="1" name="Age tailli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R46"/>
  <sheetViews>
    <sheetView workbookViewId="0">
      <selection activeCell="G41" sqref="G41"/>
    </sheetView>
  </sheetViews>
  <sheetFormatPr baseColWidth="10" defaultRowHeight="15" x14ac:dyDescent="0.25"/>
  <cols>
    <col min="1" max="1" width="12.5703125" bestFit="1" customWidth="1"/>
    <col min="2" max="2" width="16.5703125" bestFit="1" customWidth="1"/>
    <col min="3" max="3" width="14.140625" bestFit="1" customWidth="1"/>
  </cols>
  <sheetData>
    <row r="1" spans="1:14" x14ac:dyDescent="0.25">
      <c r="A1" s="150" t="s">
        <v>155</v>
      </c>
      <c r="B1" s="150"/>
      <c r="C1" s="150"/>
      <c r="D1" s="150"/>
      <c r="E1" s="150"/>
      <c r="F1" s="150"/>
      <c r="G1" s="150"/>
      <c r="H1" s="150"/>
      <c r="J1" s="129"/>
      <c r="K1" s="129"/>
      <c r="L1" s="129"/>
      <c r="M1" s="129"/>
      <c r="N1" s="129"/>
    </row>
    <row r="2" spans="1:14" x14ac:dyDescent="0.25">
      <c r="J2" s="6"/>
      <c r="K2" s="6"/>
      <c r="L2" s="6"/>
      <c r="M2" s="6"/>
      <c r="N2" s="6"/>
    </row>
    <row r="3" spans="1:14" x14ac:dyDescent="0.25">
      <c r="A3" s="109" t="s">
        <v>138</v>
      </c>
      <c r="B3" s="109">
        <v>0.35</v>
      </c>
    </row>
    <row r="4" spans="1:14" x14ac:dyDescent="0.25">
      <c r="A4" s="109" t="s">
        <v>101</v>
      </c>
      <c r="B4" s="109">
        <v>1.56</v>
      </c>
    </row>
    <row r="6" spans="1:14" x14ac:dyDescent="0.25">
      <c r="A6" s="10"/>
      <c r="B6" s="10" t="s">
        <v>145</v>
      </c>
      <c r="C6" s="10" t="s">
        <v>154</v>
      </c>
    </row>
    <row r="7" spans="1:14" x14ac:dyDescent="0.25">
      <c r="A7" s="110" t="s">
        <v>153</v>
      </c>
      <c r="B7" s="11">
        <f>G38</f>
        <v>9015.1870886767738</v>
      </c>
      <c r="C7" s="11"/>
    </row>
    <row r="8" spans="1:14" ht="15.75" x14ac:dyDescent="0.25">
      <c r="B8" s="7"/>
      <c r="C8" s="7"/>
      <c r="D8" s="120"/>
      <c r="E8" s="120"/>
      <c r="J8" s="152" t="s">
        <v>156</v>
      </c>
      <c r="K8" s="152"/>
      <c r="M8" s="152" t="s">
        <v>157</v>
      </c>
      <c r="N8" s="152"/>
    </row>
    <row r="9" spans="1:14" ht="15.75" x14ac:dyDescent="0.25">
      <c r="A9" s="127" t="s">
        <v>171</v>
      </c>
      <c r="B9" s="125" t="s">
        <v>172</v>
      </c>
      <c r="D9" s="120"/>
      <c r="E9" s="120"/>
      <c r="J9" s="130"/>
      <c r="K9" s="130"/>
      <c r="L9" s="21"/>
      <c r="M9" s="130"/>
      <c r="N9" s="130"/>
    </row>
    <row r="10" spans="1:14" x14ac:dyDescent="0.25">
      <c r="A10" s="128">
        <f>(B7-C7)/23</f>
        <v>391.96465602942493</v>
      </c>
      <c r="B10" s="126">
        <f>A10*1.7705</f>
        <v>693.97342350009683</v>
      </c>
      <c r="C10" t="s">
        <v>28</v>
      </c>
      <c r="D10" s="120"/>
      <c r="E10" s="120"/>
      <c r="J10" s="131">
        <f>SUM(N39:N46)/30</f>
        <v>32.393635839953205</v>
      </c>
      <c r="K10" s="132" t="s">
        <v>158</v>
      </c>
      <c r="M10" s="131">
        <f>0+1.03*F37</f>
        <v>227.94999828564875</v>
      </c>
      <c r="N10" s="132" t="s">
        <v>158</v>
      </c>
    </row>
    <row r="11" spans="1:14" x14ac:dyDescent="0.25">
      <c r="J11" s="131">
        <f>J10*1.77</f>
        <v>57.336735436717177</v>
      </c>
      <c r="K11" s="132" t="s">
        <v>159</v>
      </c>
      <c r="M11" s="131">
        <f>M10*1.7705</f>
        <v>403.58547196474109</v>
      </c>
      <c r="N11" s="132" t="s">
        <v>159</v>
      </c>
    </row>
    <row r="12" spans="1:14" x14ac:dyDescent="0.25">
      <c r="A12" s="5" t="s">
        <v>146</v>
      </c>
    </row>
    <row r="13" spans="1:14" x14ac:dyDescent="0.25">
      <c r="J13" s="133" t="s">
        <v>160</v>
      </c>
      <c r="K13" s="133"/>
      <c r="L13" s="133"/>
      <c r="M13" s="133"/>
      <c r="N13" s="133"/>
    </row>
    <row r="14" spans="1:14" x14ac:dyDescent="0.25">
      <c r="A14" s="10" t="s">
        <v>18</v>
      </c>
      <c r="B14" s="10" t="s">
        <v>147</v>
      </c>
      <c r="C14" s="10" t="s">
        <v>148</v>
      </c>
      <c r="D14" s="10" t="s">
        <v>149</v>
      </c>
      <c r="E14" s="10" t="s">
        <v>150</v>
      </c>
      <c r="F14" s="10" t="s">
        <v>151</v>
      </c>
      <c r="G14" s="10" t="s">
        <v>24</v>
      </c>
    </row>
    <row r="15" spans="1:14" x14ac:dyDescent="0.25">
      <c r="A15" s="10">
        <v>1</v>
      </c>
      <c r="B15" s="10">
        <v>8</v>
      </c>
      <c r="C15" s="11">
        <f>B15/PI()</f>
        <v>2.5464790894703255</v>
      </c>
      <c r="D15" s="10">
        <v>3.5</v>
      </c>
      <c r="E15" s="121">
        <f>0.496*(D15*(B15/100)^2)/(4*PI())</f>
        <v>8.8413753986409701E-4</v>
      </c>
      <c r="F15" s="122">
        <f>E15*178</f>
        <v>0.15737648209580926</v>
      </c>
      <c r="G15" s="108">
        <f>IF(F15&gt;0,(((F15*B$3*B$4) +EXP(-1.0587+(0.8836*LN(F15*B$3*B$4))+0.284))*0.475+70+A15*(10/30))*(44/12),0)</f>
        <v>258.13031939936718</v>
      </c>
      <c r="J15" s="10"/>
      <c r="K15" s="151" t="s">
        <v>161</v>
      </c>
      <c r="L15" s="151"/>
      <c r="M15" s="110" t="s">
        <v>162</v>
      </c>
      <c r="N15" s="110" t="s">
        <v>163</v>
      </c>
    </row>
    <row r="16" spans="1:14" x14ac:dyDescent="0.25">
      <c r="A16" s="10">
        <v>2</v>
      </c>
      <c r="B16" s="10">
        <v>10</v>
      </c>
      <c r="C16" s="11">
        <f t="shared" ref="C16:C37" si="0">B16/PI()</f>
        <v>3.183098861837907</v>
      </c>
      <c r="D16" s="10">
        <v>4</v>
      </c>
      <c r="E16" s="121">
        <f t="shared" ref="E16:E37" si="1">0.496*(D16*(B16/100)^2)/(4*PI())</f>
        <v>1.5788170354716022E-3</v>
      </c>
      <c r="F16" s="122">
        <f t="shared" ref="F16:F37" si="2">E16*178</f>
        <v>0.28102943231394517</v>
      </c>
      <c r="G16" s="108">
        <f t="shared" ref="G16:G37" si="3">IF(F16&gt;0,(((F16*B$3*B$4) +EXP(-1.0587+(0.8836*LN(F16*B$3*B$4))+0.284))*0.475+70+A16*(10/30))*(44/12),0)</f>
        <v>259.53154153617101</v>
      </c>
      <c r="J16" s="10" t="s">
        <v>164</v>
      </c>
      <c r="K16" s="10" t="s">
        <v>165</v>
      </c>
      <c r="L16" s="10" t="s">
        <v>166</v>
      </c>
      <c r="M16" s="10" t="s">
        <v>166</v>
      </c>
      <c r="N16" s="10"/>
    </row>
    <row r="17" spans="1:18" x14ac:dyDescent="0.25">
      <c r="A17" s="10">
        <v>3</v>
      </c>
      <c r="B17" s="10">
        <v>20</v>
      </c>
      <c r="C17" s="11">
        <f t="shared" si="0"/>
        <v>6.366197723675814</v>
      </c>
      <c r="D17" s="10">
        <v>4.5</v>
      </c>
      <c r="E17" s="121">
        <f t="shared" si="1"/>
        <v>7.10467665962221E-3</v>
      </c>
      <c r="F17" s="122">
        <f t="shared" si="2"/>
        <v>1.2646324454127533</v>
      </c>
      <c r="G17" s="108">
        <f t="shared" si="3"/>
        <v>262.11455922933987</v>
      </c>
      <c r="J17" s="10">
        <v>1</v>
      </c>
      <c r="K17" s="10">
        <v>0</v>
      </c>
      <c r="L17" s="10">
        <v>0</v>
      </c>
      <c r="M17" s="10">
        <v>0</v>
      </c>
      <c r="N17" s="10">
        <f>K17+L17-M17</f>
        <v>0</v>
      </c>
    </row>
    <row r="18" spans="1:18" x14ac:dyDescent="0.25">
      <c r="A18" s="10">
        <v>4</v>
      </c>
      <c r="B18" s="10">
        <v>25</v>
      </c>
      <c r="C18" s="11">
        <f t="shared" si="0"/>
        <v>7.9577471545947667</v>
      </c>
      <c r="D18" s="10">
        <v>7</v>
      </c>
      <c r="E18" s="121">
        <f t="shared" si="1"/>
        <v>1.7268311325470645E-2</v>
      </c>
      <c r="F18" s="122">
        <f t="shared" si="2"/>
        <v>3.0737594159337749</v>
      </c>
      <c r="G18" s="108">
        <f t="shared" si="3"/>
        <v>265.74679926833454</v>
      </c>
      <c r="J18" s="10">
        <v>2</v>
      </c>
      <c r="K18" s="10">
        <v>0</v>
      </c>
      <c r="L18" s="10">
        <v>0</v>
      </c>
      <c r="M18" s="10">
        <v>0</v>
      </c>
      <c r="N18" s="10">
        <f t="shared" ref="N18:N46" si="4">K18+L18-M18</f>
        <v>0</v>
      </c>
    </row>
    <row r="19" spans="1:18" x14ac:dyDescent="0.25">
      <c r="A19" s="10">
        <v>5</v>
      </c>
      <c r="B19" s="10">
        <v>40</v>
      </c>
      <c r="C19" s="11">
        <f t="shared" si="0"/>
        <v>12.732395447351628</v>
      </c>
      <c r="D19" s="10">
        <v>9</v>
      </c>
      <c r="E19" s="121">
        <f t="shared" si="1"/>
        <v>5.683741327697768E-2</v>
      </c>
      <c r="F19" s="122">
        <f t="shared" si="2"/>
        <v>10.117059563302027</v>
      </c>
      <c r="G19" s="108">
        <f t="shared" si="3"/>
        <v>276.03244149696661</v>
      </c>
      <c r="J19" s="10">
        <v>3</v>
      </c>
      <c r="K19" s="10">
        <v>0</v>
      </c>
      <c r="L19" s="10">
        <v>0</v>
      </c>
      <c r="M19" s="10">
        <v>0</v>
      </c>
      <c r="N19" s="10">
        <f t="shared" si="4"/>
        <v>0</v>
      </c>
      <c r="R19" s="149"/>
    </row>
    <row r="20" spans="1:18" x14ac:dyDescent="0.25">
      <c r="A20" s="10">
        <v>6</v>
      </c>
      <c r="B20" s="10">
        <v>50</v>
      </c>
      <c r="C20" s="11">
        <f t="shared" si="0"/>
        <v>15.915494309189533</v>
      </c>
      <c r="D20" s="123">
        <v>10</v>
      </c>
      <c r="E20" s="121">
        <f t="shared" si="1"/>
        <v>9.8676064716975112E-2</v>
      </c>
      <c r="F20" s="122">
        <f t="shared" si="2"/>
        <v>17.564339519621569</v>
      </c>
      <c r="G20" s="108">
        <f t="shared" si="3"/>
        <v>286.61920423641629</v>
      </c>
      <c r="J20" s="10">
        <v>4</v>
      </c>
      <c r="K20" s="10">
        <v>0</v>
      </c>
      <c r="L20" s="10">
        <v>0</v>
      </c>
      <c r="M20" s="10">
        <v>0</v>
      </c>
      <c r="N20" s="10">
        <f t="shared" si="4"/>
        <v>0</v>
      </c>
    </row>
    <row r="21" spans="1:18" x14ac:dyDescent="0.25">
      <c r="A21" s="10">
        <v>7</v>
      </c>
      <c r="B21" s="10">
        <v>60</v>
      </c>
      <c r="C21" s="11">
        <f t="shared" si="0"/>
        <v>19.098593171027442</v>
      </c>
      <c r="D21" s="123">
        <v>10</v>
      </c>
      <c r="E21" s="121">
        <f t="shared" si="1"/>
        <v>0.14209353319244414</v>
      </c>
      <c r="F21" s="122">
        <f t="shared" si="2"/>
        <v>25.292648908255057</v>
      </c>
      <c r="G21" s="108">
        <f t="shared" si="3"/>
        <v>297.43983284822048</v>
      </c>
      <c r="J21" s="10">
        <v>5</v>
      </c>
      <c r="K21" s="10">
        <v>0</v>
      </c>
      <c r="L21" s="10">
        <v>0</v>
      </c>
      <c r="M21" s="10">
        <v>0</v>
      </c>
      <c r="N21" s="10">
        <f t="shared" si="4"/>
        <v>0</v>
      </c>
      <c r="R21" s="149"/>
    </row>
    <row r="22" spans="1:18" x14ac:dyDescent="0.25">
      <c r="A22" s="10">
        <v>8</v>
      </c>
      <c r="B22" s="10">
        <v>70</v>
      </c>
      <c r="C22" s="11">
        <f t="shared" si="0"/>
        <v>22.281692032865347</v>
      </c>
      <c r="D22" s="123">
        <v>10</v>
      </c>
      <c r="E22" s="121">
        <f t="shared" si="1"/>
        <v>0.19340508684527119</v>
      </c>
      <c r="F22" s="122">
        <f t="shared" si="2"/>
        <v>34.426105458458274</v>
      </c>
      <c r="G22" s="108">
        <f t="shared" si="3"/>
        <v>309.90441518508567</v>
      </c>
      <c r="J22" s="10">
        <v>6</v>
      </c>
      <c r="K22" s="10">
        <v>0</v>
      </c>
      <c r="L22" s="10">
        <v>0</v>
      </c>
      <c r="M22" s="10">
        <v>0</v>
      </c>
      <c r="N22" s="10">
        <f t="shared" si="4"/>
        <v>0</v>
      </c>
    </row>
    <row r="23" spans="1:18" x14ac:dyDescent="0.25">
      <c r="A23" s="10">
        <v>9</v>
      </c>
      <c r="B23" s="10">
        <v>90</v>
      </c>
      <c r="C23" s="11">
        <f t="shared" si="0"/>
        <v>28.647889756541161</v>
      </c>
      <c r="D23" s="123">
        <v>10</v>
      </c>
      <c r="E23" s="121">
        <f t="shared" si="1"/>
        <v>0.31971044968299944</v>
      </c>
      <c r="F23" s="122">
        <f t="shared" si="2"/>
        <v>56.908460043573903</v>
      </c>
      <c r="G23" s="108">
        <f t="shared" si="3"/>
        <v>338.50139925450037</v>
      </c>
      <c r="J23" s="10">
        <v>7</v>
      </c>
      <c r="K23" s="10">
        <v>0</v>
      </c>
      <c r="L23" s="10">
        <v>0</v>
      </c>
      <c r="M23" s="10">
        <v>0</v>
      </c>
      <c r="N23" s="10">
        <f t="shared" si="4"/>
        <v>0</v>
      </c>
    </row>
    <row r="24" spans="1:18" x14ac:dyDescent="0.25">
      <c r="A24" s="10">
        <v>10</v>
      </c>
      <c r="B24" s="10">
        <v>100</v>
      </c>
      <c r="C24" s="11">
        <f t="shared" si="0"/>
        <v>31.830988618379067</v>
      </c>
      <c r="D24" s="123">
        <v>10</v>
      </c>
      <c r="E24" s="121">
        <f t="shared" si="1"/>
        <v>0.39470425886790045</v>
      </c>
      <c r="F24" s="122">
        <f t="shared" si="2"/>
        <v>70.257358078486277</v>
      </c>
      <c r="G24" s="108">
        <f t="shared" si="3"/>
        <v>355.83910081567433</v>
      </c>
      <c r="J24" s="10">
        <v>8</v>
      </c>
      <c r="K24" s="10">
        <v>0</v>
      </c>
      <c r="L24" s="10">
        <v>0</v>
      </c>
      <c r="M24" s="10">
        <v>0</v>
      </c>
      <c r="N24" s="10">
        <f t="shared" si="4"/>
        <v>0</v>
      </c>
    </row>
    <row r="25" spans="1:18" x14ac:dyDescent="0.25">
      <c r="A25" s="10">
        <v>11</v>
      </c>
      <c r="B25" s="10">
        <v>110</v>
      </c>
      <c r="C25" s="11">
        <f t="shared" si="0"/>
        <v>35.014087480216972</v>
      </c>
      <c r="D25" s="123">
        <v>10</v>
      </c>
      <c r="E25" s="121">
        <f t="shared" si="1"/>
        <v>0.47759215323015958</v>
      </c>
      <c r="F25" s="122">
        <f t="shared" si="2"/>
        <v>85.011403274968401</v>
      </c>
      <c r="G25" s="108">
        <f t="shared" si="3"/>
        <v>374.78613594576291</v>
      </c>
      <c r="J25" s="10">
        <v>9</v>
      </c>
      <c r="K25" s="10">
        <v>0</v>
      </c>
      <c r="L25" s="10">
        <v>0</v>
      </c>
      <c r="M25" s="10">
        <v>0</v>
      </c>
      <c r="N25" s="10">
        <f t="shared" si="4"/>
        <v>0</v>
      </c>
    </row>
    <row r="26" spans="1:18" x14ac:dyDescent="0.25">
      <c r="A26" s="10">
        <v>12</v>
      </c>
      <c r="B26" s="10">
        <v>120</v>
      </c>
      <c r="C26" s="11">
        <f t="shared" si="0"/>
        <v>38.197186342054884</v>
      </c>
      <c r="D26" s="123">
        <v>10</v>
      </c>
      <c r="E26" s="121">
        <f t="shared" si="1"/>
        <v>0.56837413276977655</v>
      </c>
      <c r="F26" s="122">
        <f t="shared" si="2"/>
        <v>101.17059563302023</v>
      </c>
      <c r="G26" s="108">
        <f t="shared" si="3"/>
        <v>395.33650044759224</v>
      </c>
      <c r="J26" s="10">
        <v>10</v>
      </c>
      <c r="K26" s="10">
        <v>0</v>
      </c>
      <c r="L26" s="10">
        <v>0</v>
      </c>
      <c r="M26" s="10">
        <v>0</v>
      </c>
      <c r="N26" s="10">
        <f t="shared" si="4"/>
        <v>0</v>
      </c>
    </row>
    <row r="27" spans="1:18" x14ac:dyDescent="0.25">
      <c r="A27" s="10">
        <v>13</v>
      </c>
      <c r="B27" s="10">
        <v>125</v>
      </c>
      <c r="C27" s="11">
        <f t="shared" si="0"/>
        <v>39.788735772973837</v>
      </c>
      <c r="D27" s="123">
        <v>11</v>
      </c>
      <c r="E27" s="121">
        <f t="shared" si="1"/>
        <v>0.67839794492920391</v>
      </c>
      <c r="F27" s="122">
        <f t="shared" si="2"/>
        <v>120.7548341973983</v>
      </c>
      <c r="G27" s="108">
        <f t="shared" si="3"/>
        <v>419.88646730282107</v>
      </c>
      <c r="J27" s="10">
        <v>11</v>
      </c>
      <c r="K27" s="10">
        <v>0</v>
      </c>
      <c r="L27" s="10">
        <v>0</v>
      </c>
      <c r="M27" s="10">
        <v>0</v>
      </c>
      <c r="N27" s="10">
        <f t="shared" si="4"/>
        <v>0</v>
      </c>
    </row>
    <row r="28" spans="1:18" x14ac:dyDescent="0.25">
      <c r="A28" s="10">
        <v>14</v>
      </c>
      <c r="B28" s="10">
        <v>137</v>
      </c>
      <c r="C28" s="11">
        <f t="shared" si="0"/>
        <v>43.608454407179323</v>
      </c>
      <c r="D28" s="123">
        <v>11</v>
      </c>
      <c r="E28" s="121">
        <f t="shared" si="1"/>
        <v>0.81490246581607861</v>
      </c>
      <c r="F28" s="122">
        <f t="shared" si="2"/>
        <v>145.05263891526198</v>
      </c>
      <c r="G28" s="108">
        <f t="shared" si="3"/>
        <v>449.92976735174295</v>
      </c>
      <c r="J28" s="10">
        <v>12</v>
      </c>
      <c r="K28" s="10">
        <v>0</v>
      </c>
      <c r="L28" s="10">
        <v>0</v>
      </c>
      <c r="M28" s="10">
        <v>0</v>
      </c>
      <c r="N28" s="10">
        <f t="shared" si="4"/>
        <v>0</v>
      </c>
    </row>
    <row r="29" spans="1:18" x14ac:dyDescent="0.25">
      <c r="A29" s="10">
        <v>15</v>
      </c>
      <c r="B29" s="10">
        <v>130</v>
      </c>
      <c r="C29" s="11">
        <f t="shared" si="0"/>
        <v>41.38028520389279</v>
      </c>
      <c r="D29" s="123">
        <v>11</v>
      </c>
      <c r="E29" s="121">
        <f t="shared" si="1"/>
        <v>0.73375521723542703</v>
      </c>
      <c r="F29" s="122">
        <f t="shared" si="2"/>
        <v>130.608428667906</v>
      </c>
      <c r="G29" s="108">
        <f t="shared" si="3"/>
        <v>434.0336255711689</v>
      </c>
      <c r="J29" s="10">
        <v>13</v>
      </c>
      <c r="K29" s="10">
        <v>0</v>
      </c>
      <c r="L29" s="10">
        <v>0</v>
      </c>
      <c r="M29" s="10">
        <v>0</v>
      </c>
      <c r="N29" s="10">
        <f t="shared" si="4"/>
        <v>0</v>
      </c>
    </row>
    <row r="30" spans="1:18" x14ac:dyDescent="0.25">
      <c r="A30" s="10">
        <v>16</v>
      </c>
      <c r="B30" s="10">
        <v>135</v>
      </c>
      <c r="C30" s="11">
        <f t="shared" si="0"/>
        <v>42.971834634811742</v>
      </c>
      <c r="D30" s="123">
        <v>11</v>
      </c>
      <c r="E30" s="121">
        <f t="shared" si="1"/>
        <v>0.79128336296542356</v>
      </c>
      <c r="F30" s="122">
        <f t="shared" si="2"/>
        <v>140.8484386078454</v>
      </c>
      <c r="G30" s="108">
        <f t="shared" si="3"/>
        <v>447.39588454528291</v>
      </c>
      <c r="J30" s="10">
        <v>14</v>
      </c>
      <c r="K30" s="10">
        <v>0</v>
      </c>
      <c r="L30" s="10">
        <v>0</v>
      </c>
      <c r="M30" s="10">
        <v>0</v>
      </c>
      <c r="N30" s="10">
        <f t="shared" si="4"/>
        <v>0</v>
      </c>
    </row>
    <row r="31" spans="1:18" x14ac:dyDescent="0.25">
      <c r="A31" s="10">
        <v>17</v>
      </c>
      <c r="B31" s="10">
        <v>137</v>
      </c>
      <c r="C31" s="11">
        <f t="shared" si="0"/>
        <v>43.608454407179323</v>
      </c>
      <c r="D31" s="123">
        <v>12</v>
      </c>
      <c r="E31" s="121">
        <f t="shared" si="1"/>
        <v>0.88898450816299501</v>
      </c>
      <c r="F31" s="122">
        <f t="shared" si="2"/>
        <v>158.23924245301311</v>
      </c>
      <c r="G31" s="108">
        <f t="shared" si="3"/>
        <v>469.19015895440702</v>
      </c>
      <c r="J31" s="10">
        <v>15</v>
      </c>
      <c r="K31" s="10">
        <v>0</v>
      </c>
      <c r="L31" s="10">
        <v>0</v>
      </c>
      <c r="M31" s="10">
        <v>0</v>
      </c>
      <c r="N31" s="10">
        <f t="shared" si="4"/>
        <v>0</v>
      </c>
    </row>
    <row r="32" spans="1:18" x14ac:dyDescent="0.25">
      <c r="A32" s="10">
        <v>18</v>
      </c>
      <c r="B32" s="10">
        <v>140</v>
      </c>
      <c r="C32" s="11">
        <f t="shared" si="0"/>
        <v>44.563384065730695</v>
      </c>
      <c r="D32" s="123">
        <v>12</v>
      </c>
      <c r="E32" s="121">
        <f t="shared" si="1"/>
        <v>0.92834441685730174</v>
      </c>
      <c r="F32" s="122">
        <f t="shared" si="2"/>
        <v>165.24530620059971</v>
      </c>
      <c r="G32" s="108">
        <f t="shared" si="3"/>
        <v>478.68517490057593</v>
      </c>
      <c r="J32" s="10">
        <v>16</v>
      </c>
      <c r="K32" s="10">
        <v>0</v>
      </c>
      <c r="L32" s="10">
        <v>0</v>
      </c>
      <c r="M32" s="10">
        <v>0</v>
      </c>
      <c r="N32" s="10">
        <f t="shared" si="4"/>
        <v>0</v>
      </c>
    </row>
    <row r="33" spans="1:14" x14ac:dyDescent="0.25">
      <c r="A33" s="10">
        <v>19</v>
      </c>
      <c r="B33" s="10">
        <v>146</v>
      </c>
      <c r="C33" s="11">
        <f t="shared" si="0"/>
        <v>46.473243382833438</v>
      </c>
      <c r="D33" s="123">
        <v>12</v>
      </c>
      <c r="E33" s="121">
        <f t="shared" si="1"/>
        <v>1.0096219178433798</v>
      </c>
      <c r="F33" s="122">
        <f t="shared" si="2"/>
        <v>179.7127013761216</v>
      </c>
      <c r="G33" s="108">
        <f t="shared" si="3"/>
        <v>496.96587400113521</v>
      </c>
      <c r="J33" s="10">
        <v>17</v>
      </c>
      <c r="K33" s="10">
        <v>0</v>
      </c>
      <c r="L33" s="10">
        <v>0</v>
      </c>
      <c r="M33" s="10">
        <v>0</v>
      </c>
      <c r="N33" s="10">
        <f t="shared" si="4"/>
        <v>0</v>
      </c>
    </row>
    <row r="34" spans="1:14" x14ac:dyDescent="0.25">
      <c r="A34" s="10">
        <v>20</v>
      </c>
      <c r="B34" s="10">
        <v>147</v>
      </c>
      <c r="C34" s="11">
        <f t="shared" si="0"/>
        <v>46.791553269017228</v>
      </c>
      <c r="D34" s="123">
        <v>13</v>
      </c>
      <c r="E34" s="121">
        <f t="shared" si="1"/>
        <v>1.1087913628839396</v>
      </c>
      <c r="F34" s="122">
        <f t="shared" si="2"/>
        <v>197.36486259334126</v>
      </c>
      <c r="G34" s="108">
        <f t="shared" si="3"/>
        <v>518.96024279338724</v>
      </c>
      <c r="J34" s="10">
        <v>18</v>
      </c>
      <c r="K34" s="10">
        <v>0</v>
      </c>
      <c r="L34" s="10">
        <v>0</v>
      </c>
      <c r="M34" s="10">
        <v>0</v>
      </c>
      <c r="N34" s="10">
        <f t="shared" si="4"/>
        <v>0</v>
      </c>
    </row>
    <row r="35" spans="1:14" x14ac:dyDescent="0.25">
      <c r="A35" s="10">
        <v>21</v>
      </c>
      <c r="B35" s="10">
        <v>148</v>
      </c>
      <c r="C35" s="11">
        <f t="shared" si="0"/>
        <v>47.109863155201019</v>
      </c>
      <c r="D35" s="123">
        <v>13</v>
      </c>
      <c r="E35" s="121">
        <f t="shared" si="1"/>
        <v>1.1239282712115237</v>
      </c>
      <c r="F35" s="122">
        <f t="shared" si="2"/>
        <v>200.05923227565123</v>
      </c>
      <c r="G35" s="108">
        <f t="shared" si="3"/>
        <v>523.34932098202319</v>
      </c>
      <c r="J35" s="10">
        <v>19</v>
      </c>
      <c r="K35" s="10">
        <v>0</v>
      </c>
      <c r="L35" s="10">
        <v>0</v>
      </c>
      <c r="M35" s="10">
        <v>0</v>
      </c>
      <c r="N35" s="10">
        <f t="shared" si="4"/>
        <v>0</v>
      </c>
    </row>
    <row r="36" spans="1:14" x14ac:dyDescent="0.25">
      <c r="A36" s="10">
        <v>22</v>
      </c>
      <c r="B36" s="10">
        <v>149</v>
      </c>
      <c r="C36" s="11">
        <f t="shared" si="0"/>
        <v>47.428173041384809</v>
      </c>
      <c r="D36" s="123">
        <v>14</v>
      </c>
      <c r="E36" s="121">
        <f t="shared" si="1"/>
        <v>1.226796095157676</v>
      </c>
      <c r="F36" s="122">
        <f t="shared" si="2"/>
        <v>218.36970493806632</v>
      </c>
      <c r="G36" s="108">
        <f t="shared" si="3"/>
        <v>546.06855678810382</v>
      </c>
      <c r="J36" s="10">
        <v>20</v>
      </c>
      <c r="K36" s="10">
        <v>0</v>
      </c>
      <c r="L36" s="10">
        <v>0</v>
      </c>
      <c r="M36" s="10">
        <v>0</v>
      </c>
      <c r="N36" s="10">
        <f t="shared" si="4"/>
        <v>0</v>
      </c>
    </row>
    <row r="37" spans="1:14" x14ac:dyDescent="0.25">
      <c r="A37" s="10">
        <v>23</v>
      </c>
      <c r="B37" s="10">
        <v>150</v>
      </c>
      <c r="C37" s="11">
        <f t="shared" si="0"/>
        <v>47.7464829275686</v>
      </c>
      <c r="D37" s="123">
        <v>14</v>
      </c>
      <c r="E37" s="121">
        <f t="shared" si="1"/>
        <v>1.2433184154338865</v>
      </c>
      <c r="F37" s="122">
        <f t="shared" si="2"/>
        <v>221.3106779472318</v>
      </c>
      <c r="G37" s="108">
        <f t="shared" si="3"/>
        <v>550.73976582269313</v>
      </c>
      <c r="J37" s="10">
        <v>21</v>
      </c>
      <c r="K37" s="10">
        <v>0</v>
      </c>
      <c r="L37" s="10">
        <v>0</v>
      </c>
      <c r="M37" s="10">
        <v>0</v>
      </c>
      <c r="N37" s="10">
        <f t="shared" si="4"/>
        <v>0</v>
      </c>
    </row>
    <row r="38" spans="1:14" x14ac:dyDescent="0.25">
      <c r="A38" s="151" t="s">
        <v>152</v>
      </c>
      <c r="B38" s="151"/>
      <c r="C38" s="151"/>
      <c r="D38" s="151"/>
      <c r="E38" s="151"/>
      <c r="F38" s="151"/>
      <c r="G38" s="124">
        <f>SUM(G15:G37)</f>
        <v>9015.1870886767738</v>
      </c>
      <c r="J38" s="10">
        <v>22</v>
      </c>
      <c r="K38" s="10">
        <v>0</v>
      </c>
      <c r="L38" s="10">
        <v>0</v>
      </c>
      <c r="M38" s="10">
        <v>0</v>
      </c>
      <c r="N38" s="10">
        <f t="shared" si="4"/>
        <v>0</v>
      </c>
    </row>
    <row r="39" spans="1:14" x14ac:dyDescent="0.25">
      <c r="J39" s="10">
        <v>23</v>
      </c>
      <c r="K39" s="10">
        <f>((1-EXP(-(LN(2)/35)))/(LN(2)/35))*F37*B3*0.475*(44/12)*0.77</f>
        <v>102.85676164854966</v>
      </c>
      <c r="L39" s="10">
        <f>((1-EXP(-(LN(2)/25)))/(LN(2)/25))*F37*B3*0.475*(44/12)*0.21</f>
        <v>27.94139328721106</v>
      </c>
      <c r="M39" s="10">
        <v>0</v>
      </c>
      <c r="N39" s="10">
        <f>K39+L39-M39</f>
        <v>130.79815493576072</v>
      </c>
    </row>
    <row r="40" spans="1:14" x14ac:dyDescent="0.25">
      <c r="J40" s="10">
        <v>24</v>
      </c>
      <c r="K40" s="10">
        <f>EXP(-(LN(2))/35)*K39</f>
        <v>100.8398032890515</v>
      </c>
      <c r="L40" s="10">
        <f>EXP(-(LN(2))/25)*L39</f>
        <v>27.17733441839826</v>
      </c>
      <c r="M40" s="10">
        <v>0</v>
      </c>
      <c r="N40" s="10">
        <f t="shared" si="4"/>
        <v>128.01713770744976</v>
      </c>
    </row>
    <row r="41" spans="1:14" x14ac:dyDescent="0.25">
      <c r="J41" s="10">
        <v>25</v>
      </c>
      <c r="K41" s="10">
        <f t="shared" ref="K41:K46" si="5">EXP(-(LN(2))/35)*K40</f>
        <v>98.862396252759979</v>
      </c>
      <c r="L41" s="10">
        <f t="shared" ref="L41:L46" si="6">EXP(-(LN(2))/25)*L40</f>
        <v>26.434168779533259</v>
      </c>
      <c r="M41" s="10">
        <v>0</v>
      </c>
      <c r="N41" s="10">
        <f t="shared" si="4"/>
        <v>125.29656503229324</v>
      </c>
    </row>
    <row r="42" spans="1:14" x14ac:dyDescent="0.25">
      <c r="J42" s="10">
        <v>26</v>
      </c>
      <c r="K42" s="10">
        <f t="shared" si="5"/>
        <v>96.92376496235093</v>
      </c>
      <c r="L42" s="10">
        <f t="shared" si="6"/>
        <v>25.711325044144402</v>
      </c>
      <c r="M42" s="10">
        <v>0</v>
      </c>
      <c r="N42" s="10">
        <f t="shared" si="4"/>
        <v>122.63509000649533</v>
      </c>
    </row>
    <row r="43" spans="1:14" x14ac:dyDescent="0.25">
      <c r="J43" s="10">
        <v>27</v>
      </c>
      <c r="K43" s="10">
        <f t="shared" si="5"/>
        <v>95.023149049098478</v>
      </c>
      <c r="L43" s="10">
        <f t="shared" si="6"/>
        <v>25.008247508712454</v>
      </c>
      <c r="M43" s="10">
        <v>0</v>
      </c>
      <c r="N43" s="10">
        <f t="shared" si="4"/>
        <v>120.03139655781094</v>
      </c>
    </row>
    <row r="44" spans="1:14" x14ac:dyDescent="0.25">
      <c r="J44" s="10">
        <v>28</v>
      </c>
      <c r="K44" s="10">
        <f t="shared" si="5"/>
        <v>93.15980305464366</v>
      </c>
      <c r="L44" s="10">
        <f t="shared" si="6"/>
        <v>24.324395665460134</v>
      </c>
      <c r="M44" s="10">
        <v>0</v>
      </c>
      <c r="N44" s="10">
        <f t="shared" si="4"/>
        <v>117.48419872010379</v>
      </c>
    </row>
    <row r="45" spans="1:14" x14ac:dyDescent="0.25">
      <c r="J45" s="10">
        <v>29</v>
      </c>
      <c r="K45" s="10">
        <f t="shared" si="5"/>
        <v>91.332996138611264</v>
      </c>
      <c r="L45" s="10">
        <f t="shared" si="6"/>
        <v>23.659243786823755</v>
      </c>
      <c r="M45" s="10">
        <v>0</v>
      </c>
      <c r="N45" s="10">
        <f t="shared" si="4"/>
        <v>114.99223992543502</v>
      </c>
    </row>
    <row r="46" spans="1:14" x14ac:dyDescent="0.25">
      <c r="J46" s="10">
        <v>30</v>
      </c>
      <c r="K46" s="10">
        <f t="shared" si="5"/>
        <v>89.542011791960064</v>
      </c>
      <c r="L46" s="10">
        <f t="shared" si="6"/>
        <v>23.012280521287501</v>
      </c>
      <c r="M46" s="10">
        <v>0</v>
      </c>
      <c r="N46" s="10">
        <f t="shared" si="4"/>
        <v>112.55429231324757</v>
      </c>
    </row>
  </sheetData>
  <mergeCells count="5">
    <mergeCell ref="A1:H1"/>
    <mergeCell ref="A38:F38"/>
    <mergeCell ref="J8:K8"/>
    <mergeCell ref="M8:N8"/>
    <mergeCell ref="K15:L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theme="8" tint="0.59999389629810485"/>
  </sheetPr>
  <dimension ref="A1:T79"/>
  <sheetViews>
    <sheetView showGridLines="0" tabSelected="1" view="pageBreakPreview" topLeftCell="A10" zoomScale="70" zoomScaleNormal="55" zoomScaleSheetLayoutView="70" workbookViewId="0">
      <selection activeCell="G54" sqref="G54"/>
    </sheetView>
  </sheetViews>
  <sheetFormatPr baseColWidth="10" defaultRowHeight="15" x14ac:dyDescent="0.25"/>
  <cols>
    <col min="1" max="1" width="14.7109375" bestFit="1" customWidth="1"/>
    <col min="2" max="2" width="43.85546875" bestFit="1" customWidth="1"/>
    <col min="3" max="3" width="18.85546875" customWidth="1"/>
    <col min="4" max="4" width="16.5703125" customWidth="1"/>
    <col min="5" max="5" width="21" bestFit="1" customWidth="1"/>
    <col min="6" max="6" width="19.85546875" customWidth="1"/>
    <col min="7" max="7" width="43.85546875" bestFit="1" customWidth="1"/>
    <col min="9" max="9" width="11.5703125" bestFit="1" customWidth="1"/>
    <col min="11" max="11" width="20.5703125" customWidth="1"/>
    <col min="12" max="12" width="43.85546875" bestFit="1" customWidth="1"/>
    <col min="13" max="13" width="9.42578125" bestFit="1" customWidth="1"/>
    <col min="16" max="16" width="15.5703125" customWidth="1"/>
    <col min="17" max="17" width="43.85546875" bestFit="1" customWidth="1"/>
  </cols>
  <sheetData>
    <row r="1" spans="1:20" s="40" customFormat="1" ht="16.5" x14ac:dyDescent="0.3">
      <c r="A1" s="153" t="s">
        <v>83</v>
      </c>
      <c r="B1" s="153"/>
      <c r="C1" s="153"/>
      <c r="D1" s="153"/>
      <c r="E1" s="16"/>
      <c r="F1" s="16"/>
      <c r="G1" s="16"/>
      <c r="H1" s="16"/>
      <c r="I1" s="16"/>
      <c r="J1" s="16"/>
    </row>
    <row r="2" spans="1:20" ht="16.5" x14ac:dyDescent="0.3">
      <c r="D2" s="20"/>
      <c r="F2" s="37"/>
      <c r="G2" s="36"/>
      <c r="H2" s="17"/>
      <c r="I2" s="17"/>
      <c r="J2" s="17"/>
    </row>
    <row r="3" spans="1:20" ht="18" x14ac:dyDescent="0.25">
      <c r="A3" s="90" t="s">
        <v>49</v>
      </c>
      <c r="B3" s="91"/>
      <c r="G3" s="39" t="s">
        <v>104</v>
      </c>
      <c r="H3" s="47"/>
    </row>
    <row r="4" spans="1:20" ht="18" x14ac:dyDescent="0.25">
      <c r="A4" s="91"/>
      <c r="B4" s="90" t="s">
        <v>26</v>
      </c>
      <c r="G4" s="38" t="s">
        <v>20</v>
      </c>
      <c r="H4" s="38">
        <v>1</v>
      </c>
    </row>
    <row r="5" spans="1:20" ht="18" x14ac:dyDescent="0.25">
      <c r="A5" s="91"/>
      <c r="B5" s="90" t="s">
        <v>27</v>
      </c>
      <c r="G5" s="38" t="s">
        <v>103</v>
      </c>
      <c r="H5" s="38">
        <v>3</v>
      </c>
    </row>
    <row r="6" spans="1:20" ht="18" x14ac:dyDescent="0.25">
      <c r="A6" s="91"/>
      <c r="B6" s="90" t="s">
        <v>47</v>
      </c>
      <c r="G6" s="38" t="s">
        <v>23</v>
      </c>
      <c r="H6" s="38">
        <v>3</v>
      </c>
    </row>
    <row r="7" spans="1:20" ht="18" x14ac:dyDescent="0.25">
      <c r="A7" s="91"/>
      <c r="B7" s="90" t="s">
        <v>50</v>
      </c>
      <c r="G7" s="38" t="s">
        <v>22</v>
      </c>
      <c r="H7" s="38">
        <v>3</v>
      </c>
    </row>
    <row r="8" spans="1:20" ht="16.5" x14ac:dyDescent="0.3">
      <c r="B8" s="33"/>
      <c r="C8" s="20"/>
      <c r="D8" s="20"/>
      <c r="G8" s="38" t="s">
        <v>17</v>
      </c>
      <c r="H8" s="38">
        <v>5</v>
      </c>
    </row>
    <row r="9" spans="1:20" ht="16.5" x14ac:dyDescent="0.3">
      <c r="B9" s="33"/>
      <c r="C9" s="20"/>
      <c r="D9" s="20"/>
      <c r="G9" s="38" t="s">
        <v>33</v>
      </c>
      <c r="H9" s="38">
        <v>6</v>
      </c>
    </row>
    <row r="10" spans="1:20" ht="16.5" x14ac:dyDescent="0.3">
      <c r="B10" s="88" t="s">
        <v>55</v>
      </c>
      <c r="C10" s="89">
        <v>1.7705</v>
      </c>
      <c r="D10" s="20"/>
      <c r="G10" s="38" t="s">
        <v>31</v>
      </c>
      <c r="H10" s="38">
        <v>3</v>
      </c>
    </row>
    <row r="11" spans="1:20" ht="16.5" x14ac:dyDescent="0.3">
      <c r="B11" s="33"/>
      <c r="C11" s="20"/>
      <c r="D11" s="20"/>
      <c r="F11" s="37"/>
      <c r="G11" s="36"/>
      <c r="H11" s="17"/>
      <c r="I11" s="17"/>
      <c r="J11" s="17"/>
    </row>
    <row r="12" spans="1:20" s="40" customFormat="1" ht="16.5" x14ac:dyDescent="0.3">
      <c r="A12" s="153" t="s">
        <v>116</v>
      </c>
      <c r="B12" s="153"/>
      <c r="C12" s="153"/>
      <c r="D12" s="153"/>
      <c r="E12" s="16"/>
      <c r="F12" s="16"/>
      <c r="G12" s="16"/>
      <c r="H12" s="16"/>
      <c r="I12" s="16"/>
      <c r="J12" s="16"/>
    </row>
    <row r="13" spans="1:20" ht="16.5" x14ac:dyDescent="0.3">
      <c r="B13" s="33"/>
      <c r="C13" s="20"/>
      <c r="D13" s="20"/>
      <c r="F13" s="135"/>
      <c r="G13" s="136"/>
      <c r="H13" s="134"/>
      <c r="I13" s="134"/>
      <c r="J13" s="134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x14ac:dyDescent="0.25">
      <c r="C14" s="6" t="s">
        <v>41</v>
      </c>
      <c r="F14" s="21"/>
      <c r="G14" s="21"/>
      <c r="H14" s="77"/>
      <c r="I14" s="21"/>
      <c r="J14" s="21"/>
      <c r="K14" s="21"/>
      <c r="L14" s="21"/>
      <c r="M14" s="77"/>
      <c r="N14" s="21"/>
      <c r="O14" s="21"/>
      <c r="P14" s="21"/>
      <c r="Q14" s="21"/>
      <c r="R14" s="77"/>
      <c r="S14" s="77"/>
      <c r="T14" s="21"/>
    </row>
    <row r="15" spans="1:20" x14ac:dyDescent="0.25">
      <c r="A15" s="6" t="s">
        <v>44</v>
      </c>
      <c r="B15" s="51" t="s">
        <v>145</v>
      </c>
      <c r="C15" s="52">
        <v>2</v>
      </c>
      <c r="F15" s="77"/>
      <c r="G15" s="77"/>
      <c r="H15" s="136"/>
      <c r="I15" s="21"/>
      <c r="J15" s="21"/>
      <c r="K15" s="77"/>
      <c r="L15" s="77"/>
      <c r="M15" s="136"/>
      <c r="N15" s="21"/>
      <c r="O15" s="21"/>
      <c r="P15" s="77"/>
      <c r="Q15" s="77"/>
      <c r="R15" s="136"/>
      <c r="S15" s="21"/>
      <c r="T15" s="21"/>
    </row>
    <row r="16" spans="1:20" x14ac:dyDescent="0.25">
      <c r="A16" s="5" t="s">
        <v>25</v>
      </c>
      <c r="B16" s="51">
        <v>1.7705</v>
      </c>
      <c r="F16" s="77"/>
      <c r="G16" s="77"/>
      <c r="H16" s="21"/>
      <c r="I16" s="21"/>
      <c r="J16" s="21"/>
      <c r="K16" s="77"/>
      <c r="L16" s="77"/>
      <c r="M16" s="21"/>
      <c r="N16" s="21"/>
      <c r="O16" s="21"/>
      <c r="P16" s="77"/>
      <c r="Q16" s="77"/>
      <c r="R16" s="21"/>
      <c r="S16" s="21"/>
      <c r="T16" s="21"/>
    </row>
    <row r="17" spans="1:20" x14ac:dyDescent="0.25"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x14ac:dyDescent="0.25">
      <c r="A18" s="31"/>
      <c r="B18" s="31"/>
      <c r="C18" s="32"/>
      <c r="F18" s="76"/>
      <c r="G18" s="76"/>
      <c r="H18" s="137"/>
      <c r="I18" s="21"/>
      <c r="J18" s="21"/>
      <c r="K18" s="76"/>
      <c r="L18" s="76"/>
      <c r="M18" s="137"/>
      <c r="N18" s="21"/>
      <c r="O18" s="21"/>
      <c r="P18" s="76"/>
      <c r="Q18" s="76"/>
      <c r="R18" s="137"/>
      <c r="S18" s="137"/>
      <c r="T18" s="21"/>
    </row>
    <row r="19" spans="1:20" x14ac:dyDescent="0.25">
      <c r="B19" s="28" t="s">
        <v>52</v>
      </c>
      <c r="C19" s="30">
        <f>Peuplier!A10</f>
        <v>391.96465602942493</v>
      </c>
      <c r="D19" t="s">
        <v>53</v>
      </c>
      <c r="F19" s="21"/>
      <c r="G19" s="76"/>
      <c r="H19" s="138"/>
      <c r="I19" s="21"/>
      <c r="J19" s="21"/>
      <c r="K19" s="21"/>
      <c r="L19" s="76"/>
      <c r="M19" s="138"/>
      <c r="N19" s="21"/>
      <c r="O19" s="21"/>
      <c r="P19" s="21"/>
      <c r="Q19" s="76"/>
      <c r="R19" s="138"/>
      <c r="S19" s="21"/>
      <c r="T19" s="21"/>
    </row>
    <row r="20" spans="1:20" ht="15.75" x14ac:dyDescent="0.25">
      <c r="B20" s="5" t="s">
        <v>51</v>
      </c>
      <c r="C20" s="29">
        <f>C19*B16</f>
        <v>693.97342350009683</v>
      </c>
      <c r="D20" s="29" t="s">
        <v>54</v>
      </c>
      <c r="E20" s="82">
        <f>IF(ISNA(C20),"0",C20)</f>
        <v>693.97342350009683</v>
      </c>
      <c r="F20" s="21"/>
      <c r="G20" s="77"/>
      <c r="H20" s="139"/>
      <c r="I20" s="139"/>
      <c r="J20" s="140"/>
      <c r="K20" s="21"/>
      <c r="L20" s="77"/>
      <c r="M20" s="139"/>
      <c r="N20" s="139"/>
      <c r="O20" s="140"/>
      <c r="P20" s="21"/>
      <c r="Q20" s="77"/>
      <c r="R20" s="139"/>
      <c r="S20" s="139"/>
      <c r="T20" s="140"/>
    </row>
    <row r="21" spans="1:20" ht="15.75" x14ac:dyDescent="0.25">
      <c r="B21" s="5"/>
      <c r="C21" s="29"/>
      <c r="D21" s="29"/>
      <c r="E21" s="82"/>
      <c r="F21" s="79"/>
      <c r="G21" s="77"/>
      <c r="H21" s="139"/>
      <c r="I21" s="139"/>
      <c r="J21" s="140"/>
      <c r="K21" s="21"/>
      <c r="L21" s="77"/>
      <c r="M21" s="139"/>
      <c r="N21" s="139"/>
      <c r="O21" s="140"/>
      <c r="P21" s="21"/>
      <c r="Q21" s="77"/>
      <c r="R21" s="139"/>
      <c r="S21" s="139"/>
      <c r="T21" s="140"/>
    </row>
    <row r="22" spans="1:20" s="14" customFormat="1" ht="16.5" x14ac:dyDescent="0.3">
      <c r="A22" s="15" t="s">
        <v>56</v>
      </c>
      <c r="B22" s="15"/>
      <c r="C22" s="15"/>
      <c r="D22" s="15"/>
      <c r="M22"/>
      <c r="R22"/>
      <c r="S22"/>
    </row>
    <row r="23" spans="1:20" ht="16.5" x14ac:dyDescent="0.3">
      <c r="A23" s="18"/>
      <c r="B23" s="18"/>
      <c r="C23" s="18"/>
      <c r="D23" s="18"/>
      <c r="F23" s="14"/>
      <c r="G23" s="14"/>
      <c r="H23" s="14"/>
      <c r="I23" s="14"/>
      <c r="J23" s="14"/>
      <c r="K23" s="14"/>
      <c r="L23" s="14"/>
      <c r="M23" s="14"/>
      <c r="R23" s="14"/>
      <c r="S23" s="14"/>
    </row>
    <row r="24" spans="1:20" x14ac:dyDescent="0.25">
      <c r="C24" s="5" t="s">
        <v>48</v>
      </c>
      <c r="D24" s="5" t="s">
        <v>128</v>
      </c>
      <c r="E24" s="5" t="s">
        <v>28</v>
      </c>
      <c r="F24" s="6" t="s">
        <v>129</v>
      </c>
      <c r="G24" s="6" t="s">
        <v>144</v>
      </c>
      <c r="H24" s="14"/>
      <c r="K24" s="14"/>
      <c r="L24" s="14"/>
    </row>
    <row r="25" spans="1:20" x14ac:dyDescent="0.25">
      <c r="A25" s="4" t="b">
        <v>1</v>
      </c>
      <c r="B25" s="4" t="s">
        <v>27</v>
      </c>
      <c r="C25" s="8">
        <v>70</v>
      </c>
      <c r="D25" s="8">
        <v>70</v>
      </c>
      <c r="E25" s="8">
        <f>D25*44/12</f>
        <v>256.66666666666669</v>
      </c>
      <c r="F25" s="8">
        <f>E25*1.7705</f>
        <v>454.42833333333334</v>
      </c>
      <c r="G25" s="8">
        <f>F25</f>
        <v>454.42833333333334</v>
      </c>
    </row>
    <row r="26" spans="1:20" x14ac:dyDescent="0.25">
      <c r="G26" s="14"/>
      <c r="H26" s="14"/>
      <c r="I26" s="14"/>
      <c r="J26" s="14"/>
    </row>
    <row r="28" spans="1:20" ht="16.5" x14ac:dyDescent="0.3">
      <c r="A28" s="46" t="s">
        <v>34</v>
      </c>
      <c r="B28" s="46"/>
      <c r="C28" s="46"/>
      <c r="D28" s="46"/>
    </row>
    <row r="30" spans="1:20" x14ac:dyDescent="0.25">
      <c r="A30" s="154" t="s">
        <v>173</v>
      </c>
      <c r="B30" s="155"/>
      <c r="C30" s="156"/>
      <c r="D30" s="92">
        <v>0</v>
      </c>
    </row>
    <row r="31" spans="1:20" x14ac:dyDescent="0.25">
      <c r="A31" s="157" t="s">
        <v>35</v>
      </c>
      <c r="B31" s="158"/>
      <c r="C31" s="159"/>
      <c r="D31" s="93">
        <v>0.1</v>
      </c>
    </row>
    <row r="32" spans="1:20" x14ac:dyDescent="0.25">
      <c r="A32" s="154" t="s">
        <v>36</v>
      </c>
      <c r="B32" s="155"/>
      <c r="C32" s="156"/>
      <c r="D32" s="92">
        <v>0</v>
      </c>
    </row>
    <row r="33" spans="1:14" x14ac:dyDescent="0.25">
      <c r="A33" s="157" t="s">
        <v>37</v>
      </c>
      <c r="B33" s="158"/>
      <c r="C33" s="159"/>
      <c r="D33" s="93">
        <v>0</v>
      </c>
    </row>
    <row r="36" spans="1:14" ht="16.5" x14ac:dyDescent="0.3">
      <c r="E36" s="14"/>
      <c r="G36" s="14"/>
      <c r="H36" s="14"/>
      <c r="I36" s="74"/>
      <c r="J36" s="74"/>
    </row>
    <row r="37" spans="1:14" ht="16.5" x14ac:dyDescent="0.3">
      <c r="A37" s="153" t="s">
        <v>79</v>
      </c>
      <c r="B37" s="153"/>
      <c r="C37" s="153"/>
      <c r="D37" s="153"/>
      <c r="F37" s="73" t="s">
        <v>118</v>
      </c>
      <c r="G37" s="73"/>
      <c r="H37" s="73"/>
      <c r="I37" s="73"/>
      <c r="J37" s="14"/>
      <c r="K37" s="14"/>
      <c r="L37" s="14"/>
    </row>
    <row r="38" spans="1:14" ht="15.75" thickBot="1" x14ac:dyDescent="0.3">
      <c r="J38" s="14"/>
    </row>
    <row r="39" spans="1:14" x14ac:dyDescent="0.25">
      <c r="A39" s="111" t="s">
        <v>78</v>
      </c>
      <c r="B39" s="112">
        <f>C20+J20+O20+T20</f>
        <v>693.97342350009683</v>
      </c>
      <c r="C39" s="113" t="s">
        <v>28</v>
      </c>
      <c r="J39" s="14"/>
    </row>
    <row r="40" spans="1:14" x14ac:dyDescent="0.25">
      <c r="A40" s="114" t="s">
        <v>80</v>
      </c>
      <c r="B40" s="8">
        <f>VLOOKUP(TRUE,A25:F25,6,FALSE)</f>
        <v>454.42833333333334</v>
      </c>
      <c r="C40" s="115" t="s">
        <v>28</v>
      </c>
      <c r="J40" s="14"/>
    </row>
    <row r="41" spans="1:14" ht="15.75" thickBot="1" x14ac:dyDescent="0.3">
      <c r="A41" s="116" t="s">
        <v>143</v>
      </c>
      <c r="B41" s="117">
        <f>B39-B40</f>
        <v>239.54509016676349</v>
      </c>
      <c r="C41" s="118" t="s">
        <v>28</v>
      </c>
      <c r="J41" s="14"/>
    </row>
    <row r="42" spans="1:14" x14ac:dyDescent="0.25">
      <c r="A42" s="111" t="s">
        <v>140</v>
      </c>
      <c r="B42" s="112">
        <v>759</v>
      </c>
      <c r="C42" s="113" t="s">
        <v>28</v>
      </c>
      <c r="F42" s="34" t="s">
        <v>117</v>
      </c>
      <c r="G42" s="35">
        <f>Peuplier!J11</f>
        <v>57.336735436717177</v>
      </c>
      <c r="H42" s="35" t="s">
        <v>28</v>
      </c>
      <c r="J42" s="14"/>
      <c r="K42" s="34" t="s">
        <v>167</v>
      </c>
      <c r="L42" s="35">
        <f>Peuplier!M11</f>
        <v>403.58547196474109</v>
      </c>
      <c r="M42" s="35" t="s">
        <v>28</v>
      </c>
    </row>
    <row r="43" spans="1:14" ht="16.5" x14ac:dyDescent="0.3">
      <c r="A43" s="114" t="s">
        <v>141</v>
      </c>
      <c r="B43" s="8">
        <f>VLOOKUP(TRUE,A25:G25,7,FALSE)</f>
        <v>454.42833333333334</v>
      </c>
      <c r="C43" s="115" t="s">
        <v>28</v>
      </c>
      <c r="D43" s="18"/>
    </row>
    <row r="44" spans="1:14" ht="15.75" thickBot="1" x14ac:dyDescent="0.3">
      <c r="A44" s="116" t="s">
        <v>142</v>
      </c>
      <c r="B44" s="117">
        <f>B42-B43</f>
        <v>304.57166666666666</v>
      </c>
      <c r="C44" s="118" t="s">
        <v>28</v>
      </c>
      <c r="G44" s="48" t="s">
        <v>126</v>
      </c>
      <c r="H44" s="49">
        <f>G42*(1-D30)*(1-D31)*(1-D32)*(1-D33)</f>
        <v>51.603061893045464</v>
      </c>
      <c r="I44" s="5" t="s">
        <v>106</v>
      </c>
      <c r="L44" s="48" t="s">
        <v>168</v>
      </c>
      <c r="M44" s="148">
        <f>L42*(1-D30)*(1-D31)*(1-D32)*(1-D33)</f>
        <v>363.226924768267</v>
      </c>
      <c r="N44" s="5" t="s">
        <v>106</v>
      </c>
    </row>
    <row r="46" spans="1:14" x14ac:dyDescent="0.25">
      <c r="G46" s="19"/>
      <c r="H46" s="19"/>
      <c r="L46" s="19"/>
      <c r="M46" s="19"/>
    </row>
    <row r="48" spans="1:14" x14ac:dyDescent="0.25">
      <c r="B48" s="48" t="s">
        <v>79</v>
      </c>
      <c r="C48" s="119">
        <f>MIN(B41,B44)</f>
        <v>239.54509016676349</v>
      </c>
      <c r="D48" s="5" t="s">
        <v>106</v>
      </c>
    </row>
    <row r="50" spans="1:20" x14ac:dyDescent="0.25">
      <c r="B50" s="48" t="s">
        <v>105</v>
      </c>
      <c r="C50" s="49">
        <f>C48*(1-D30)*(1-D31)*(1-D32)*(1-D33)</f>
        <v>215.59058115008713</v>
      </c>
      <c r="D50" s="5" t="s">
        <v>106</v>
      </c>
    </row>
    <row r="52" spans="1:20" x14ac:dyDescent="0.25">
      <c r="F52" t="s">
        <v>174</v>
      </c>
      <c r="G52" s="149">
        <f>C50+H44+M44</f>
        <v>630.42056781139968</v>
      </c>
    </row>
    <row r="53" spans="1:20" x14ac:dyDescent="0.25">
      <c r="G53">
        <f>G52/C10</f>
        <v>356.06922779519891</v>
      </c>
    </row>
    <row r="54" spans="1:20" x14ac:dyDescent="0.25">
      <c r="I54" s="14"/>
    </row>
    <row r="55" spans="1:20" x14ac:dyDescent="0.25">
      <c r="F55" s="14"/>
      <c r="G55" s="14"/>
      <c r="H55" s="14"/>
      <c r="I55" s="14"/>
    </row>
    <row r="56" spans="1:20" x14ac:dyDescent="0.25">
      <c r="D56" s="14"/>
      <c r="E56" s="14"/>
      <c r="F56" s="14"/>
      <c r="G56" s="14"/>
      <c r="H56" s="14"/>
      <c r="I56" s="14"/>
      <c r="J56" s="14"/>
      <c r="N56" s="14"/>
      <c r="O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K62" s="14"/>
      <c r="L62" s="14"/>
      <c r="M62" s="14"/>
      <c r="P62" s="14"/>
      <c r="Q62" s="14"/>
      <c r="R62" s="14"/>
      <c r="S62" s="14"/>
    </row>
    <row r="79" spans="3:3" x14ac:dyDescent="0.25">
      <c r="C79" t="s">
        <v>113</v>
      </c>
    </row>
  </sheetData>
  <mergeCells count="7">
    <mergeCell ref="A1:D1"/>
    <mergeCell ref="A12:D12"/>
    <mergeCell ref="A37:D37"/>
    <mergeCell ref="A30:C30"/>
    <mergeCell ref="A31:C31"/>
    <mergeCell ref="A32:C32"/>
    <mergeCell ref="A33:C33"/>
  </mergeCells>
  <dataValidations count="3">
    <dataValidation type="list" allowBlank="1" showInputMessage="1" showErrorMessage="1" sqref="Q15 G15 L15">
      <formula1>ESS</formula1>
    </dataValidation>
    <dataValidation type="list" allowBlank="1" showInputMessage="1" showErrorMessage="1" sqref="D30 D32:D33">
      <formula1>Rab</formula1>
    </dataValidation>
    <dataValidation type="list" allowBlank="1" showInputMessage="1" showErrorMessage="1" sqref="H15 M15 R15">
      <formula1>$A$46:$A$51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71" r:id="rId4" name="Check Box 7">
              <controlPr defaultSize="0" autoFill="0" autoLine="0" autoPict="0">
                <anchor moveWithCells="1">
                  <from>
                    <xdr:col>0</xdr:col>
                    <xdr:colOff>676275</xdr:colOff>
                    <xdr:row>3</xdr:row>
                    <xdr:rowOff>19050</xdr:rowOff>
                  </from>
                  <to>
                    <xdr:col>0</xdr:col>
                    <xdr:colOff>962025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5" name="Check Box 8">
              <controlPr defaultSize="0" autoFill="0" autoLine="0" autoPict="0">
                <anchor moveWithCells="1">
                  <from>
                    <xdr:col>0</xdr:col>
                    <xdr:colOff>676275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6" name="Check Box 9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9525</xdr:rowOff>
                  </from>
                  <to>
                    <xdr:col>0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7" name="Check Box 10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190500</xdr:rowOff>
                  </from>
                  <to>
                    <xdr:col>0</xdr:col>
                    <xdr:colOff>942975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Inputs!$A$99:$A$104</xm:f>
          </x14:formula1>
          <xm:sqref>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19"/>
  <sheetViews>
    <sheetView showGridLines="0" view="pageBreakPreview" zoomScaleNormal="100" zoomScaleSheetLayoutView="100" workbookViewId="0">
      <selection activeCell="H7" sqref="H7:M9"/>
    </sheetView>
  </sheetViews>
  <sheetFormatPr baseColWidth="10" defaultRowHeight="15" x14ac:dyDescent="0.25"/>
  <cols>
    <col min="1" max="1" width="5" customWidth="1"/>
    <col min="2" max="2" width="41.85546875" bestFit="1" customWidth="1"/>
    <col min="3" max="3" width="18" bestFit="1" customWidth="1"/>
    <col min="4" max="4" width="11.7109375" customWidth="1"/>
    <col min="5" max="5" width="17.5703125" bestFit="1" customWidth="1"/>
    <col min="6" max="8" width="13.28515625" bestFit="1" customWidth="1"/>
  </cols>
  <sheetData>
    <row r="1" spans="1:14" x14ac:dyDescent="0.25">
      <c r="A1" s="21"/>
      <c r="B1" s="76"/>
      <c r="C1" s="96"/>
      <c r="D1" s="94"/>
      <c r="E1" s="95"/>
      <c r="F1" s="95"/>
      <c r="G1" s="95"/>
      <c r="H1" s="95"/>
      <c r="I1" s="21"/>
      <c r="J1" s="14"/>
      <c r="K1" s="14"/>
      <c r="L1" s="14"/>
      <c r="M1" s="14"/>
    </row>
    <row r="2" spans="1:14" ht="14.45" customHeight="1" x14ac:dyDescent="0.25">
      <c r="A2" s="21"/>
      <c r="B2" s="76"/>
      <c r="C2" s="97" t="s">
        <v>130</v>
      </c>
      <c r="D2" s="97" t="s">
        <v>131</v>
      </c>
      <c r="E2" s="97" t="s">
        <v>132</v>
      </c>
      <c r="F2" s="97" t="s">
        <v>77</v>
      </c>
      <c r="G2" s="95"/>
      <c r="H2" s="95" t="s">
        <v>169</v>
      </c>
      <c r="I2" s="144">
        <v>4.4999999999999998E-2</v>
      </c>
      <c r="J2" s="14"/>
      <c r="K2" s="14"/>
      <c r="L2" s="14"/>
      <c r="M2" s="14"/>
      <c r="N2" s="141"/>
    </row>
    <row r="3" spans="1:14" x14ac:dyDescent="0.25">
      <c r="A3" s="21"/>
      <c r="B3" s="98" t="s">
        <v>133</v>
      </c>
      <c r="C3" s="99">
        <v>1</v>
      </c>
      <c r="D3" s="100">
        <v>0</v>
      </c>
      <c r="E3" s="97">
        <f>(861.3+861.3+1128.6+341.55)/1.5</f>
        <v>2128.5</v>
      </c>
      <c r="F3" s="101">
        <f>(D3-E3)/((1+$I$2)^C3)</f>
        <v>-2036.8421052631581</v>
      </c>
      <c r="G3" s="95"/>
      <c r="H3" s="14"/>
      <c r="I3" s="14"/>
      <c r="J3" s="14"/>
      <c r="K3" s="14"/>
      <c r="L3" s="14"/>
      <c r="M3" s="14"/>
      <c r="N3" s="141"/>
    </row>
    <row r="4" spans="1:14" x14ac:dyDescent="0.25">
      <c r="A4" s="21"/>
      <c r="B4" s="98" t="s">
        <v>134</v>
      </c>
      <c r="C4" s="99">
        <v>2</v>
      </c>
      <c r="D4" s="100">
        <v>0</v>
      </c>
      <c r="E4" s="97">
        <f>825/2</f>
        <v>412.5</v>
      </c>
      <c r="F4" s="101">
        <f t="shared" ref="F4:F24" si="0">(D4-E4)/((1+$I$2)^C4)</f>
        <v>-377.73860488541936</v>
      </c>
      <c r="G4" s="95"/>
      <c r="H4" s="14"/>
      <c r="I4" s="14"/>
      <c r="J4" s="14"/>
      <c r="K4" s="14"/>
      <c r="L4" s="14"/>
      <c r="M4" s="14"/>
      <c r="N4" s="141"/>
    </row>
    <row r="5" spans="1:14" x14ac:dyDescent="0.25">
      <c r="A5" s="21"/>
      <c r="B5" s="98" t="s">
        <v>135</v>
      </c>
      <c r="C5" s="99">
        <v>3</v>
      </c>
      <c r="D5" s="100">
        <v>0</v>
      </c>
      <c r="E5" s="97">
        <f>825/2</f>
        <v>412.5</v>
      </c>
      <c r="F5" s="101">
        <f t="shared" si="0"/>
        <v>-361.47234917265013</v>
      </c>
      <c r="G5" s="95"/>
      <c r="H5" s="142"/>
      <c r="I5" s="142"/>
      <c r="J5" s="142"/>
      <c r="K5" s="142"/>
      <c r="L5" s="142"/>
      <c r="M5" s="142"/>
      <c r="N5" s="141"/>
    </row>
    <row r="6" spans="1:14" x14ac:dyDescent="0.25">
      <c r="A6" s="21"/>
      <c r="B6" s="98" t="s">
        <v>136</v>
      </c>
      <c r="C6" s="99"/>
      <c r="D6" s="100">
        <v>0</v>
      </c>
      <c r="E6" s="97">
        <v>413</v>
      </c>
      <c r="F6" s="101">
        <f t="shared" si="0"/>
        <v>-413</v>
      </c>
      <c r="G6" s="95"/>
      <c r="H6" s="142"/>
      <c r="I6" s="142"/>
      <c r="J6" s="142"/>
      <c r="K6" s="142"/>
      <c r="L6" s="142"/>
      <c r="M6" s="142"/>
      <c r="N6" s="141"/>
    </row>
    <row r="7" spans="1:14" x14ac:dyDescent="0.25">
      <c r="A7" s="21"/>
      <c r="B7" s="98" t="s">
        <v>137</v>
      </c>
      <c r="C7" s="99">
        <v>5</v>
      </c>
      <c r="D7" s="102"/>
      <c r="E7" s="97">
        <v>0</v>
      </c>
      <c r="F7" s="101">
        <f t="shared" si="0"/>
        <v>0</v>
      </c>
      <c r="G7" s="95"/>
      <c r="H7" s="161"/>
      <c r="I7" s="161"/>
      <c r="J7" s="161"/>
      <c r="K7" s="161"/>
      <c r="L7" s="161"/>
      <c r="M7" s="161"/>
      <c r="N7" s="14"/>
    </row>
    <row r="8" spans="1:14" x14ac:dyDescent="0.25">
      <c r="A8" s="21"/>
      <c r="B8" s="98" t="s">
        <v>14</v>
      </c>
      <c r="C8" s="99">
        <v>6</v>
      </c>
      <c r="D8" s="102"/>
      <c r="E8" s="97">
        <v>0</v>
      </c>
      <c r="F8" s="101">
        <f t="shared" si="0"/>
        <v>0</v>
      </c>
      <c r="G8" s="95"/>
      <c r="H8" s="161"/>
      <c r="I8" s="161"/>
      <c r="J8" s="161"/>
      <c r="K8" s="161"/>
      <c r="L8" s="161"/>
      <c r="M8" s="161"/>
      <c r="N8" s="14"/>
    </row>
    <row r="9" spans="1:14" x14ac:dyDescent="0.25">
      <c r="A9" s="21"/>
      <c r="B9" s="98" t="s">
        <v>15</v>
      </c>
      <c r="C9" s="99">
        <v>7</v>
      </c>
      <c r="D9" s="102"/>
      <c r="E9" s="97">
        <v>0</v>
      </c>
      <c r="F9" s="101">
        <f t="shared" si="0"/>
        <v>0</v>
      </c>
      <c r="G9" s="95"/>
      <c r="H9" s="161"/>
      <c r="I9" s="161"/>
      <c r="J9" s="161"/>
      <c r="K9" s="161"/>
      <c r="L9" s="161"/>
      <c r="M9" s="161"/>
      <c r="N9" s="14"/>
    </row>
    <row r="10" spans="1:14" x14ac:dyDescent="0.25">
      <c r="A10" s="21"/>
      <c r="B10" s="98" t="s">
        <v>57</v>
      </c>
      <c r="C10" s="99">
        <v>8</v>
      </c>
      <c r="D10" s="102"/>
      <c r="E10" s="97">
        <v>0</v>
      </c>
      <c r="F10" s="101">
        <f t="shared" si="0"/>
        <v>0</v>
      </c>
      <c r="H10" s="14"/>
      <c r="I10" s="21"/>
      <c r="J10" s="14"/>
      <c r="K10" s="14"/>
      <c r="L10" s="14"/>
      <c r="M10" s="14"/>
      <c r="N10" s="14"/>
    </row>
    <row r="11" spans="1:14" x14ac:dyDescent="0.25">
      <c r="A11" s="21"/>
      <c r="B11" s="98" t="s">
        <v>58</v>
      </c>
      <c r="C11" s="99">
        <v>9</v>
      </c>
      <c r="D11" s="102"/>
      <c r="E11" s="97">
        <v>0</v>
      </c>
      <c r="F11" s="101">
        <f t="shared" si="0"/>
        <v>0</v>
      </c>
      <c r="G11" s="95"/>
      <c r="H11" s="162"/>
      <c r="I11" s="162"/>
      <c r="J11" s="162"/>
      <c r="K11" s="6"/>
      <c r="L11" s="14"/>
      <c r="M11" s="14"/>
      <c r="N11" s="14"/>
    </row>
    <row r="12" spans="1:14" x14ac:dyDescent="0.25">
      <c r="A12" s="21"/>
      <c r="B12" s="98" t="s">
        <v>59</v>
      </c>
      <c r="C12" s="99">
        <v>10</v>
      </c>
      <c r="D12" s="102"/>
      <c r="E12" s="97">
        <v>0</v>
      </c>
      <c r="F12" s="101">
        <f t="shared" si="0"/>
        <v>0</v>
      </c>
      <c r="G12" s="95"/>
      <c r="H12" s="95"/>
      <c r="I12" s="77"/>
      <c r="J12" s="143"/>
      <c r="K12" s="14"/>
      <c r="L12" s="14"/>
      <c r="M12" s="14"/>
      <c r="N12" s="14"/>
    </row>
    <row r="13" spans="1:14" x14ac:dyDescent="0.25">
      <c r="A13" s="21"/>
      <c r="B13" s="98" t="s">
        <v>60</v>
      </c>
      <c r="C13" s="99">
        <v>11</v>
      </c>
      <c r="D13" s="102"/>
      <c r="E13" s="97">
        <v>0</v>
      </c>
      <c r="F13" s="101">
        <f t="shared" si="0"/>
        <v>0</v>
      </c>
      <c r="G13" s="95"/>
      <c r="H13" s="95"/>
      <c r="I13" s="21"/>
    </row>
    <row r="14" spans="1:14" x14ac:dyDescent="0.25">
      <c r="A14" s="21"/>
      <c r="B14" s="98" t="s">
        <v>61</v>
      </c>
      <c r="C14" s="99">
        <v>12</v>
      </c>
      <c r="D14" s="102"/>
      <c r="E14" s="97">
        <v>0</v>
      </c>
      <c r="F14" s="101">
        <f t="shared" si="0"/>
        <v>0</v>
      </c>
      <c r="G14" s="95"/>
      <c r="H14" s="95"/>
      <c r="I14" s="21"/>
    </row>
    <row r="15" spans="1:14" x14ac:dyDescent="0.25">
      <c r="A15" s="21"/>
      <c r="B15" s="98" t="s">
        <v>62</v>
      </c>
      <c r="C15" s="99">
        <v>13</v>
      </c>
      <c r="D15" s="102"/>
      <c r="E15" s="97">
        <v>0</v>
      </c>
      <c r="F15" s="101">
        <f t="shared" si="0"/>
        <v>0</v>
      </c>
      <c r="G15" s="95"/>
      <c r="H15" s="95"/>
      <c r="I15" s="21"/>
    </row>
    <row r="16" spans="1:14" x14ac:dyDescent="0.25">
      <c r="A16" s="21"/>
      <c r="B16" s="98" t="s">
        <v>63</v>
      </c>
      <c r="C16" s="99">
        <v>14</v>
      </c>
      <c r="D16" s="102"/>
      <c r="E16" s="97">
        <v>0</v>
      </c>
      <c r="F16" s="101">
        <f t="shared" si="0"/>
        <v>0</v>
      </c>
      <c r="G16" s="95"/>
      <c r="H16" s="95"/>
      <c r="I16" s="21"/>
    </row>
    <row r="17" spans="1:11" x14ac:dyDescent="0.25">
      <c r="A17" s="21"/>
      <c r="B17" s="98" t="s">
        <v>64</v>
      </c>
      <c r="C17" s="99">
        <v>15</v>
      </c>
      <c r="D17" s="102"/>
      <c r="E17" s="97">
        <v>0</v>
      </c>
      <c r="F17" s="101">
        <f t="shared" si="0"/>
        <v>0</v>
      </c>
      <c r="G17" s="95"/>
      <c r="H17" s="95"/>
      <c r="I17" s="21"/>
    </row>
    <row r="18" spans="1:11" x14ac:dyDescent="0.25">
      <c r="A18" s="21"/>
      <c r="B18" s="98" t="s">
        <v>65</v>
      </c>
      <c r="C18" s="99">
        <v>16</v>
      </c>
      <c r="D18" s="103"/>
      <c r="E18" s="97">
        <v>0</v>
      </c>
      <c r="F18" s="101">
        <f t="shared" si="0"/>
        <v>0</v>
      </c>
      <c r="G18" s="21"/>
      <c r="H18" s="21"/>
      <c r="I18" s="21"/>
    </row>
    <row r="19" spans="1:11" x14ac:dyDescent="0.25">
      <c r="A19" s="21"/>
      <c r="B19" s="98" t="s">
        <v>66</v>
      </c>
      <c r="C19" s="99">
        <v>17</v>
      </c>
      <c r="D19" s="103"/>
      <c r="E19" s="97">
        <v>0</v>
      </c>
      <c r="F19" s="101">
        <f t="shared" si="0"/>
        <v>0</v>
      </c>
      <c r="G19" s="21"/>
      <c r="H19" s="21"/>
      <c r="I19" s="21"/>
    </row>
    <row r="20" spans="1:11" s="12" customFormat="1" ht="16.5" x14ac:dyDescent="0.3">
      <c r="A20" s="104"/>
      <c r="B20" s="98" t="s">
        <v>67</v>
      </c>
      <c r="C20" s="99">
        <v>18</v>
      </c>
      <c r="D20" s="105"/>
      <c r="E20" s="97">
        <v>0</v>
      </c>
      <c r="F20" s="101">
        <f t="shared" si="0"/>
        <v>0</v>
      </c>
      <c r="G20" s="104"/>
      <c r="H20" s="145" t="s">
        <v>170</v>
      </c>
      <c r="I20" s="146">
        <f>SUM(F3:F25)</f>
        <v>-374.58883449410041</v>
      </c>
    </row>
    <row r="21" spans="1:11" s="12" customFormat="1" ht="16.5" x14ac:dyDescent="0.3">
      <c r="A21" s="104"/>
      <c r="B21" s="98" t="s">
        <v>68</v>
      </c>
      <c r="C21" s="99">
        <v>19</v>
      </c>
      <c r="D21" s="105"/>
      <c r="E21" s="97">
        <v>0</v>
      </c>
      <c r="F21" s="101">
        <f t="shared" si="0"/>
        <v>0</v>
      </c>
      <c r="G21" s="104"/>
      <c r="H21" s="104"/>
      <c r="I21" s="104"/>
    </row>
    <row r="22" spans="1:11" s="12" customFormat="1" ht="16.5" x14ac:dyDescent="0.3">
      <c r="A22" s="106"/>
      <c r="B22" s="98" t="s">
        <v>69</v>
      </c>
      <c r="C22" s="99">
        <v>20</v>
      </c>
      <c r="D22" s="105"/>
      <c r="E22" s="97">
        <v>0</v>
      </c>
      <c r="F22" s="101">
        <f t="shared" si="0"/>
        <v>0</v>
      </c>
      <c r="G22" s="106"/>
      <c r="H22" s="106"/>
      <c r="I22" s="106"/>
    </row>
    <row r="23" spans="1:11" s="12" customFormat="1" ht="16.5" x14ac:dyDescent="0.3">
      <c r="A23" s="106"/>
      <c r="B23" s="98" t="s">
        <v>70</v>
      </c>
      <c r="C23" s="99">
        <v>21</v>
      </c>
      <c r="D23" s="105"/>
      <c r="E23" s="97">
        <v>0</v>
      </c>
      <c r="F23" s="101">
        <f t="shared" si="0"/>
        <v>0</v>
      </c>
      <c r="G23" s="106"/>
      <c r="H23" s="106"/>
      <c r="I23" s="106"/>
    </row>
    <row r="24" spans="1:11" s="12" customFormat="1" ht="16.5" x14ac:dyDescent="0.3">
      <c r="B24" s="98" t="s">
        <v>71</v>
      </c>
      <c r="C24" s="99">
        <v>22</v>
      </c>
      <c r="D24" s="105"/>
      <c r="E24" s="97">
        <v>0</v>
      </c>
      <c r="F24" s="101">
        <f t="shared" si="0"/>
        <v>0</v>
      </c>
    </row>
    <row r="25" spans="1:11" s="12" customFormat="1" ht="16.5" x14ac:dyDescent="0.3">
      <c r="A25" s="104"/>
      <c r="B25" s="98" t="s">
        <v>72</v>
      </c>
      <c r="C25" s="99">
        <v>23</v>
      </c>
      <c r="D25" s="97">
        <f>Peuplier!F37*35</f>
        <v>7745.873728153113</v>
      </c>
      <c r="E25" s="97">
        <v>0</v>
      </c>
      <c r="F25" s="101">
        <f>(D25-E25)/((1+$I$2)^C25)</f>
        <v>2814.4642248271271</v>
      </c>
      <c r="G25" s="104"/>
      <c r="H25" s="104"/>
      <c r="I25" s="104"/>
    </row>
    <row r="26" spans="1:11" s="12" customFormat="1" ht="16.5" x14ac:dyDescent="0.3">
      <c r="A26" s="106"/>
      <c r="B26" s="98"/>
      <c r="C26" s="76"/>
      <c r="D26" s="147"/>
      <c r="E26" s="95"/>
      <c r="F26" s="107"/>
      <c r="G26" s="106"/>
      <c r="H26" s="106"/>
      <c r="I26" s="106"/>
    </row>
    <row r="27" spans="1:11" s="12" customFormat="1" ht="16.5" x14ac:dyDescent="0.3">
      <c r="A27" s="106"/>
      <c r="B27" s="98"/>
      <c r="C27" s="76"/>
      <c r="D27" s="147"/>
      <c r="E27" s="95"/>
      <c r="F27" s="107"/>
      <c r="G27" s="106"/>
      <c r="H27" s="106"/>
      <c r="I27" s="106"/>
    </row>
    <row r="28" spans="1:11" s="12" customFormat="1" ht="16.5" x14ac:dyDescent="0.3">
      <c r="B28" s="98"/>
      <c r="C28" s="76"/>
      <c r="D28" s="147"/>
      <c r="E28" s="95"/>
      <c r="F28" s="107"/>
    </row>
    <row r="29" spans="1:11" s="12" customFormat="1" x14ac:dyDescent="0.25">
      <c r="B29" s="98"/>
      <c r="C29" s="76"/>
      <c r="D29" s="21"/>
      <c r="E29" s="21"/>
      <c r="F29" s="21"/>
    </row>
    <row r="30" spans="1:11" s="12" customFormat="1" ht="15" customHeight="1" x14ac:dyDescent="0.25">
      <c r="A30" s="163"/>
      <c r="B30" s="163"/>
      <c r="C30" s="163"/>
      <c r="D30" s="163"/>
      <c r="E30" s="163"/>
      <c r="G30" s="163"/>
      <c r="H30" s="163"/>
      <c r="I30" s="163"/>
      <c r="J30" s="163"/>
      <c r="K30" s="163"/>
    </row>
    <row r="31" spans="1:11" s="12" customFormat="1" x14ac:dyDescent="0.25"/>
    <row r="32" spans="1:11" s="12" customFormat="1" x14ac:dyDescent="0.25"/>
    <row r="33" spans="4:10" s="12" customFormat="1" x14ac:dyDescent="0.25">
      <c r="D33" s="13"/>
      <c r="J33" s="13"/>
    </row>
    <row r="34" spans="4:10" s="12" customFormat="1" x14ac:dyDescent="0.25"/>
    <row r="35" spans="4:10" s="12" customFormat="1" x14ac:dyDescent="0.25"/>
    <row r="36" spans="4:10" s="12" customFormat="1" x14ac:dyDescent="0.25"/>
    <row r="37" spans="4:10" s="12" customFormat="1" x14ac:dyDescent="0.25"/>
    <row r="38" spans="4:10" s="12" customFormat="1" x14ac:dyDescent="0.25"/>
    <row r="39" spans="4:10" s="12" customFormat="1" x14ac:dyDescent="0.25"/>
    <row r="40" spans="4:10" s="12" customFormat="1" x14ac:dyDescent="0.25"/>
    <row r="41" spans="4:10" s="12" customFormat="1" x14ac:dyDescent="0.25"/>
    <row r="42" spans="4:10" s="12" customFormat="1" x14ac:dyDescent="0.25"/>
    <row r="43" spans="4:10" s="12" customFormat="1" x14ac:dyDescent="0.25"/>
    <row r="44" spans="4:10" s="12" customFormat="1" x14ac:dyDescent="0.25"/>
    <row r="45" spans="4:10" s="12" customFormat="1" x14ac:dyDescent="0.25"/>
    <row r="46" spans="4:10" s="12" customFormat="1" x14ac:dyDescent="0.25"/>
    <row r="47" spans="4:10" s="12" customFormat="1" x14ac:dyDescent="0.25">
      <c r="G47" s="160"/>
      <c r="H47" s="160"/>
      <c r="I47" s="160"/>
      <c r="J47" s="160"/>
    </row>
    <row r="48" spans="4:10" s="12" customFormat="1" x14ac:dyDescent="0.25"/>
    <row r="49" spans="3:3" s="12" customFormat="1" x14ac:dyDescent="0.25"/>
    <row r="50" spans="3:3" s="12" customFormat="1" x14ac:dyDescent="0.25"/>
    <row r="51" spans="3:3" s="12" customFormat="1" x14ac:dyDescent="0.25"/>
    <row r="52" spans="3:3" s="12" customFormat="1" x14ac:dyDescent="0.25"/>
    <row r="53" spans="3:3" s="12" customFormat="1" x14ac:dyDescent="0.25"/>
    <row r="54" spans="3:3" s="12" customFormat="1" x14ac:dyDescent="0.25"/>
    <row r="55" spans="3:3" s="12" customFormat="1" x14ac:dyDescent="0.25"/>
    <row r="56" spans="3:3" s="12" customFormat="1" x14ac:dyDescent="0.25"/>
    <row r="57" spans="3:3" s="12" customFormat="1" x14ac:dyDescent="0.25"/>
    <row r="58" spans="3:3" s="12" customFormat="1" x14ac:dyDescent="0.25"/>
    <row r="59" spans="3:3" s="12" customFormat="1" x14ac:dyDescent="0.25"/>
    <row r="60" spans="3:3" s="12" customFormat="1" x14ac:dyDescent="0.25"/>
    <row r="61" spans="3:3" s="12" customFormat="1" x14ac:dyDescent="0.25"/>
    <row r="62" spans="3:3" s="12" customFormat="1" x14ac:dyDescent="0.25">
      <c r="C62" s="43"/>
    </row>
    <row r="63" spans="3:3" s="12" customFormat="1" x14ac:dyDescent="0.25">
      <c r="C63" s="43"/>
    </row>
    <row r="64" spans="3:3" s="12" customFormat="1" x14ac:dyDescent="0.25"/>
    <row r="65" spans="2:3" s="12" customFormat="1" x14ac:dyDescent="0.25"/>
    <row r="66" spans="2:3" s="12" customFormat="1" x14ac:dyDescent="0.25"/>
    <row r="67" spans="2:3" s="12" customFormat="1" x14ac:dyDescent="0.25">
      <c r="C67" s="44"/>
    </row>
    <row r="68" spans="2:3" s="12" customFormat="1" x14ac:dyDescent="0.25">
      <c r="C68" s="44"/>
    </row>
    <row r="69" spans="2:3" s="12" customFormat="1" x14ac:dyDescent="0.25"/>
    <row r="70" spans="2:3" s="12" customFormat="1" x14ac:dyDescent="0.25">
      <c r="B70" s="45"/>
      <c r="C70" s="44"/>
    </row>
    <row r="71" spans="2:3" s="12" customFormat="1" x14ac:dyDescent="0.25"/>
    <row r="72" spans="2:3" s="12" customFormat="1" x14ac:dyDescent="0.25"/>
    <row r="73" spans="2:3" s="12" customFormat="1" x14ac:dyDescent="0.25"/>
    <row r="74" spans="2:3" s="12" customFormat="1" x14ac:dyDescent="0.25"/>
    <row r="75" spans="2:3" s="12" customFormat="1" x14ac:dyDescent="0.25"/>
    <row r="76" spans="2:3" s="12" customFormat="1" x14ac:dyDescent="0.25"/>
    <row r="77" spans="2:3" s="12" customFormat="1" x14ac:dyDescent="0.25"/>
    <row r="78" spans="2:3" s="12" customFormat="1" x14ac:dyDescent="0.25"/>
    <row r="79" spans="2:3" s="12" customFormat="1" x14ac:dyDescent="0.25"/>
    <row r="80" spans="2:3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="12" customFormat="1" x14ac:dyDescent="0.25"/>
    <row r="98" s="12" customFormat="1" x14ac:dyDescent="0.25"/>
    <row r="99" s="12" customFormat="1" x14ac:dyDescent="0.25"/>
    <row r="100" s="12" customFormat="1" x14ac:dyDescent="0.25"/>
    <row r="101" s="12" customFormat="1" x14ac:dyDescent="0.25"/>
    <row r="102" s="12" customFormat="1" x14ac:dyDescent="0.25"/>
    <row r="103" s="12" customFormat="1" x14ac:dyDescent="0.25"/>
    <row r="104" s="12" customFormat="1" x14ac:dyDescent="0.25"/>
    <row r="105" s="12" customFormat="1" x14ac:dyDescent="0.25"/>
    <row r="106" s="12" customFormat="1" x14ac:dyDescent="0.25"/>
    <row r="107" s="12" customFormat="1" x14ac:dyDescent="0.25"/>
    <row r="108" s="12" customFormat="1" x14ac:dyDescent="0.25"/>
    <row r="109" s="12" customFormat="1" x14ac:dyDescent="0.25"/>
    <row r="110" s="12" customFormat="1" x14ac:dyDescent="0.25"/>
    <row r="111" s="12" customFormat="1" x14ac:dyDescent="0.25"/>
    <row r="112" s="12" customFormat="1" x14ac:dyDescent="0.25"/>
    <row r="113" s="12" customFormat="1" x14ac:dyDescent="0.25"/>
    <row r="114" s="12" customFormat="1" x14ac:dyDescent="0.25"/>
    <row r="115" s="12" customFormat="1" x14ac:dyDescent="0.25"/>
    <row r="116" s="12" customFormat="1" x14ac:dyDescent="0.25"/>
    <row r="117" s="12" customFormat="1" x14ac:dyDescent="0.25"/>
    <row r="118" s="12" customFormat="1" x14ac:dyDescent="0.25"/>
    <row r="119" s="12" customFormat="1" x14ac:dyDescent="0.25"/>
  </sheetData>
  <mergeCells count="5">
    <mergeCell ref="G47:J47"/>
    <mergeCell ref="H7:M9"/>
    <mergeCell ref="H11:J11"/>
    <mergeCell ref="A30:E30"/>
    <mergeCell ref="G30:K30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148"/>
  <sheetViews>
    <sheetView showGridLines="0" view="pageBreakPreview" zoomScale="60" zoomScaleNormal="100" workbookViewId="0">
      <selection activeCell="I22" sqref="I22"/>
    </sheetView>
  </sheetViews>
  <sheetFormatPr baseColWidth="10" defaultRowHeight="15" x14ac:dyDescent="0.25"/>
  <cols>
    <col min="1" max="1" width="46" customWidth="1"/>
    <col min="2" max="2" width="36.85546875" customWidth="1"/>
    <col min="3" max="3" width="16.140625" customWidth="1"/>
    <col min="4" max="4" width="15.7109375" customWidth="1"/>
    <col min="9" max="9" width="27.85546875" bestFit="1" customWidth="1"/>
    <col min="10" max="10" width="13.5703125" bestFit="1" customWidth="1"/>
    <col min="11" max="11" width="14.140625" bestFit="1" customWidth="1"/>
    <col min="12" max="12" width="15" bestFit="1" customWidth="1"/>
    <col min="13" max="15" width="13.28515625" bestFit="1" customWidth="1"/>
    <col min="16" max="16" width="6.28515625" bestFit="1" customWidth="1"/>
  </cols>
  <sheetData>
    <row r="1" spans="1:23" x14ac:dyDescent="0.25">
      <c r="A1" s="22" t="s">
        <v>29</v>
      </c>
      <c r="B1" s="22">
        <v>1</v>
      </c>
      <c r="C1" s="23">
        <v>2</v>
      </c>
      <c r="D1" s="23">
        <v>3</v>
      </c>
      <c r="E1" s="24">
        <v>4</v>
      </c>
      <c r="F1" s="23">
        <v>5</v>
      </c>
      <c r="G1" s="24">
        <v>6</v>
      </c>
      <c r="I1" s="22" t="s">
        <v>77</v>
      </c>
      <c r="J1" s="22">
        <v>1</v>
      </c>
      <c r="K1" s="22">
        <v>2</v>
      </c>
      <c r="L1" s="22">
        <v>3</v>
      </c>
      <c r="M1" s="22">
        <v>4</v>
      </c>
      <c r="N1" s="23">
        <v>5</v>
      </c>
      <c r="O1" s="24">
        <v>6</v>
      </c>
      <c r="Q1" s="22" t="s">
        <v>114</v>
      </c>
      <c r="R1" s="22">
        <v>1</v>
      </c>
      <c r="S1" s="23">
        <v>2</v>
      </c>
      <c r="T1" s="23">
        <v>3</v>
      </c>
      <c r="U1" s="24">
        <v>4</v>
      </c>
      <c r="V1" s="23">
        <v>5</v>
      </c>
      <c r="W1" s="24">
        <v>6</v>
      </c>
    </row>
    <row r="2" spans="1:23" x14ac:dyDescent="0.25">
      <c r="A2" s="25" t="s">
        <v>20</v>
      </c>
      <c r="B2" s="53" t="e">
        <f>#REF!</f>
        <v>#REF!</v>
      </c>
      <c r="C2" s="53"/>
      <c r="D2" s="53"/>
      <c r="E2" s="53"/>
      <c r="F2" s="53"/>
      <c r="G2" s="53"/>
      <c r="I2" s="25" t="s">
        <v>20</v>
      </c>
      <c r="J2" s="56" t="e">
        <f>#REF!</f>
        <v>#REF!</v>
      </c>
      <c r="K2" s="56"/>
      <c r="L2" s="56"/>
      <c r="M2" s="56"/>
      <c r="N2" s="56"/>
      <c r="O2" s="56"/>
      <c r="Q2" s="25" t="s">
        <v>20</v>
      </c>
      <c r="R2" s="53" t="e">
        <f>#REF!</f>
        <v>#REF!</v>
      </c>
      <c r="S2" s="53"/>
      <c r="T2" s="53"/>
      <c r="U2" s="53"/>
      <c r="V2" s="53"/>
      <c r="W2" s="53"/>
    </row>
    <row r="3" spans="1:23" x14ac:dyDescent="0.25">
      <c r="A3" s="26" t="s">
        <v>96</v>
      </c>
      <c r="B3" s="75" t="e">
        <f>#REF!</f>
        <v>#REF!</v>
      </c>
      <c r="C3" s="75" t="e">
        <f>#REF!</f>
        <v>#REF!</v>
      </c>
      <c r="D3" s="75"/>
      <c r="E3" s="54"/>
      <c r="F3" s="54"/>
      <c r="G3" s="54"/>
      <c r="I3" s="26" t="s">
        <v>96</v>
      </c>
      <c r="J3" s="57"/>
      <c r="K3" s="57"/>
      <c r="L3" s="57"/>
      <c r="M3" s="57"/>
      <c r="N3" s="57"/>
      <c r="O3" s="57"/>
      <c r="Q3" s="26" t="s">
        <v>96</v>
      </c>
      <c r="R3" s="75">
        <v>0</v>
      </c>
      <c r="S3" s="75">
        <v>0</v>
      </c>
      <c r="T3" s="75">
        <v>0</v>
      </c>
      <c r="U3" s="54"/>
      <c r="V3" s="54"/>
      <c r="W3" s="54"/>
    </row>
    <row r="4" spans="1:23" x14ac:dyDescent="0.25">
      <c r="A4" s="25" t="s">
        <v>46</v>
      </c>
      <c r="B4" s="53" t="e">
        <f>#REF!</f>
        <v>#REF!</v>
      </c>
      <c r="C4" s="53" t="e">
        <f>#REF!</f>
        <v>#REF!</v>
      </c>
      <c r="D4" s="53" t="e">
        <f>#REF!</f>
        <v>#REF!</v>
      </c>
      <c r="E4" s="53"/>
      <c r="F4" s="53"/>
      <c r="G4" s="53"/>
      <c r="I4" s="25" t="s">
        <v>46</v>
      </c>
      <c r="J4" s="56" t="e">
        <f>#REF!</f>
        <v>#REF!</v>
      </c>
      <c r="K4" s="56" t="e">
        <f>#REF!</f>
        <v>#REF!</v>
      </c>
      <c r="L4" s="56" t="e">
        <f>#REF!</f>
        <v>#REF!</v>
      </c>
      <c r="M4" s="56"/>
      <c r="N4" s="56"/>
      <c r="O4" s="56"/>
      <c r="Q4" s="25" t="s">
        <v>46</v>
      </c>
      <c r="R4" s="53" t="e">
        <f>#REF!</f>
        <v>#REF!</v>
      </c>
      <c r="S4" s="53" t="e">
        <f>#REF!</f>
        <v>#REF!</v>
      </c>
      <c r="T4" s="53" t="e">
        <f>#REF!</f>
        <v>#REF!</v>
      </c>
      <c r="U4" s="53"/>
      <c r="V4" s="53"/>
      <c r="W4" s="53"/>
    </row>
    <row r="5" spans="1:23" x14ac:dyDescent="0.25">
      <c r="A5" s="26" t="s">
        <v>22</v>
      </c>
      <c r="B5" s="54" t="e">
        <f>#REF!</f>
        <v>#REF!</v>
      </c>
      <c r="C5" s="54" t="e">
        <f>#REF!</f>
        <v>#REF!</v>
      </c>
      <c r="D5" s="54" t="e">
        <f>#REF!</f>
        <v>#REF!</v>
      </c>
      <c r="E5" s="54"/>
      <c r="F5" s="54"/>
      <c r="G5" s="54"/>
      <c r="I5" s="26" t="s">
        <v>22</v>
      </c>
      <c r="J5" s="57" t="e">
        <f>#REF!</f>
        <v>#REF!</v>
      </c>
      <c r="K5" s="57" t="e">
        <f>#REF!</f>
        <v>#REF!</v>
      </c>
      <c r="L5" s="57" t="e">
        <f>#REF!</f>
        <v>#REF!</v>
      </c>
      <c r="M5" s="57"/>
      <c r="N5" s="57"/>
      <c r="O5" s="57"/>
      <c r="Q5" s="26" t="s">
        <v>22</v>
      </c>
      <c r="R5" s="54" t="e">
        <f>#REF!</f>
        <v>#REF!</v>
      </c>
      <c r="S5" s="54" t="e">
        <f>#REF!</f>
        <v>#REF!</v>
      </c>
      <c r="T5" s="54" t="e">
        <f>#REF!</f>
        <v>#REF!</v>
      </c>
      <c r="U5" s="54"/>
      <c r="V5" s="54"/>
      <c r="W5" s="54"/>
    </row>
    <row r="6" spans="1:23" x14ac:dyDescent="0.25">
      <c r="A6" s="25" t="s">
        <v>17</v>
      </c>
      <c r="B6" s="53" t="e">
        <f>#REF!</f>
        <v>#REF!</v>
      </c>
      <c r="C6" s="53" t="e">
        <f>#REF!</f>
        <v>#REF!</v>
      </c>
      <c r="D6" s="53" t="e">
        <f>#REF!</f>
        <v>#REF!</v>
      </c>
      <c r="E6" s="53" t="e">
        <f>#REF!</f>
        <v>#REF!</v>
      </c>
      <c r="F6" s="53" t="e">
        <f>#REF!</f>
        <v>#REF!</v>
      </c>
      <c r="G6" s="53"/>
      <c r="I6" s="25" t="s">
        <v>17</v>
      </c>
      <c r="J6" s="56" t="e">
        <f>#REF!</f>
        <v>#REF!</v>
      </c>
      <c r="K6" s="56" t="e">
        <f>#REF!</f>
        <v>#REF!</v>
      </c>
      <c r="L6" s="56" t="e">
        <f>#REF!</f>
        <v>#REF!</v>
      </c>
      <c r="M6" s="56"/>
      <c r="N6" s="56"/>
      <c r="O6" s="56"/>
      <c r="Q6" s="25" t="s">
        <v>17</v>
      </c>
      <c r="R6" s="53" t="e">
        <f>#REF!</f>
        <v>#REF!</v>
      </c>
      <c r="S6" s="53" t="e">
        <f>#REF!</f>
        <v>#REF!</v>
      </c>
      <c r="T6" s="53" t="e">
        <f>#REF!</f>
        <v>#REF!</v>
      </c>
      <c r="U6" s="53" t="e">
        <f>#REF!</f>
        <v>#REF!</v>
      </c>
      <c r="V6" s="53" t="e">
        <f>#REF!</f>
        <v>#REF!</v>
      </c>
      <c r="W6" s="53"/>
    </row>
    <row r="7" spans="1:23" x14ac:dyDescent="0.25">
      <c r="A7" s="25" t="s">
        <v>120</v>
      </c>
      <c r="B7" s="53" t="e">
        <f>#REF!</f>
        <v>#REF!</v>
      </c>
      <c r="C7" s="53" t="e">
        <f>#REF!</f>
        <v>#REF!</v>
      </c>
      <c r="D7" s="53" t="e">
        <f>#REF!</f>
        <v>#REF!</v>
      </c>
      <c r="E7" s="53" t="e">
        <f>#REF!</f>
        <v>#REF!</v>
      </c>
      <c r="F7" s="53" t="e">
        <f>#REF!</f>
        <v>#REF!</v>
      </c>
      <c r="G7" s="53"/>
      <c r="I7" s="25" t="s">
        <v>120</v>
      </c>
      <c r="J7" s="56" t="e">
        <f>#REF!</f>
        <v>#REF!</v>
      </c>
      <c r="K7" s="56" t="e">
        <f>#REF!</f>
        <v>#REF!</v>
      </c>
      <c r="L7" s="56" t="e">
        <f>#REF!</f>
        <v>#REF!</v>
      </c>
      <c r="M7" s="56"/>
      <c r="N7" s="56"/>
      <c r="O7" s="56"/>
      <c r="Q7" s="25" t="s">
        <v>120</v>
      </c>
      <c r="R7" s="53" t="e">
        <f>#REF!</f>
        <v>#REF!</v>
      </c>
      <c r="S7" s="53" t="e">
        <f>#REF!</f>
        <v>#REF!</v>
      </c>
      <c r="T7" s="53" t="e">
        <f>#REF!</f>
        <v>#REF!</v>
      </c>
      <c r="U7" s="53" t="e">
        <f>#REF!</f>
        <v>#REF!</v>
      </c>
      <c r="V7" s="53" t="e">
        <f>#REF!</f>
        <v>#REF!</v>
      </c>
      <c r="W7" s="53"/>
    </row>
    <row r="8" spans="1:23" x14ac:dyDescent="0.25">
      <c r="A8" s="26" t="s">
        <v>21</v>
      </c>
      <c r="B8" s="54" t="e">
        <f>#REF!</f>
        <v>#REF!</v>
      </c>
      <c r="C8" s="54" t="e">
        <f>#REF!</f>
        <v>#REF!</v>
      </c>
      <c r="D8" s="54" t="e">
        <f>#REF!</f>
        <v>#REF!</v>
      </c>
      <c r="E8" s="54"/>
      <c r="F8" s="54"/>
      <c r="G8" s="54"/>
      <c r="I8" s="26" t="s">
        <v>21</v>
      </c>
      <c r="J8" s="57" t="e">
        <f>#REF!</f>
        <v>#REF!</v>
      </c>
      <c r="K8" s="57" t="e">
        <f>#REF!</f>
        <v>#REF!</v>
      </c>
      <c r="L8" s="57" t="e">
        <f>#REF!</f>
        <v>#REF!</v>
      </c>
      <c r="M8" s="57"/>
      <c r="N8" s="57"/>
      <c r="O8" s="57"/>
      <c r="Q8" s="26" t="s">
        <v>21</v>
      </c>
      <c r="R8" s="54" t="e">
        <f>#REF!</f>
        <v>#REF!</v>
      </c>
      <c r="S8" s="54" t="e">
        <f>#REF!</f>
        <v>#REF!</v>
      </c>
      <c r="T8" s="54" t="e">
        <f>#REF!</f>
        <v>#REF!</v>
      </c>
      <c r="U8" s="54"/>
      <c r="V8" s="54"/>
      <c r="W8" s="54"/>
    </row>
    <row r="9" spans="1:23" x14ac:dyDescent="0.25">
      <c r="A9" s="25" t="s">
        <v>38</v>
      </c>
      <c r="B9" s="53" t="e">
        <f>#REF!</f>
        <v>#REF!</v>
      </c>
      <c r="C9" s="53" t="e">
        <f>#REF!</f>
        <v>#REF!</v>
      </c>
      <c r="D9" s="53" t="e">
        <f>#REF!</f>
        <v>#REF!</v>
      </c>
      <c r="E9" s="53" t="e">
        <f>#REF!</f>
        <v>#REF!</v>
      </c>
      <c r="F9" s="53"/>
      <c r="G9" s="53"/>
      <c r="I9" s="25" t="s">
        <v>38</v>
      </c>
      <c r="J9" s="56" t="e">
        <f>#REF!</f>
        <v>#REF!</v>
      </c>
      <c r="K9" s="56" t="e">
        <f>#REF!</f>
        <v>#REF!</v>
      </c>
      <c r="L9" s="56" t="e">
        <f>#REF!</f>
        <v>#REF!</v>
      </c>
      <c r="M9" s="56" t="e">
        <f>#REF!</f>
        <v>#REF!</v>
      </c>
      <c r="N9" s="56"/>
      <c r="O9" s="56"/>
      <c r="Q9" s="25" t="s">
        <v>38</v>
      </c>
      <c r="R9" s="53" t="e">
        <f>#REF!</f>
        <v>#REF!</v>
      </c>
      <c r="S9" s="53" t="e">
        <f>#REF!</f>
        <v>#REF!</v>
      </c>
      <c r="T9" s="53" t="e">
        <f>#REF!</f>
        <v>#REF!</v>
      </c>
      <c r="U9" s="53" t="e">
        <f>#REF!</f>
        <v>#REF!</v>
      </c>
      <c r="V9" s="53"/>
      <c r="W9" s="53"/>
    </row>
    <row r="10" spans="1:23" x14ac:dyDescent="0.25">
      <c r="A10" s="26" t="s">
        <v>39</v>
      </c>
      <c r="B10" s="54" t="e">
        <f>#REF!</f>
        <v>#REF!</v>
      </c>
      <c r="C10" s="54" t="e">
        <f>#REF!</f>
        <v>#REF!</v>
      </c>
      <c r="D10" s="54"/>
      <c r="E10" s="54"/>
      <c r="F10" s="54"/>
      <c r="G10" s="54"/>
      <c r="I10" s="26" t="s">
        <v>30</v>
      </c>
      <c r="J10" s="57" t="e">
        <f>#REF!</f>
        <v>#REF!</v>
      </c>
      <c r="K10" s="57" t="e">
        <f>#REF!</f>
        <v>#REF!</v>
      </c>
      <c r="L10" s="57"/>
      <c r="M10" s="57"/>
      <c r="N10" s="57"/>
      <c r="O10" s="57"/>
      <c r="Q10" s="26" t="s">
        <v>39</v>
      </c>
      <c r="R10" s="54" t="e">
        <f>#REF!</f>
        <v>#REF!</v>
      </c>
      <c r="S10" s="54" t="e">
        <f>#REF!</f>
        <v>#REF!</v>
      </c>
      <c r="T10" s="54"/>
      <c r="U10" s="54"/>
      <c r="V10" s="54"/>
      <c r="W10" s="54"/>
    </row>
    <row r="11" spans="1:23" x14ac:dyDescent="0.25">
      <c r="A11" s="25" t="s">
        <v>33</v>
      </c>
      <c r="B11" s="53" t="e">
        <f>#REF!</f>
        <v>#REF!</v>
      </c>
      <c r="C11" s="53" t="e">
        <f>#REF!</f>
        <v>#REF!</v>
      </c>
      <c r="D11" s="53" t="e">
        <f>#REF!</f>
        <v>#REF!</v>
      </c>
      <c r="E11" s="53" t="e">
        <f>#REF!</f>
        <v>#REF!</v>
      </c>
      <c r="F11" s="53" t="e">
        <f>#REF!</f>
        <v>#REF!</v>
      </c>
      <c r="G11" s="53" t="e">
        <f>#REF!</f>
        <v>#REF!</v>
      </c>
      <c r="I11" s="25" t="s">
        <v>33</v>
      </c>
      <c r="J11" s="56" t="e">
        <f>#REF!</f>
        <v>#REF!</v>
      </c>
      <c r="K11" s="56" t="e">
        <f>#REF!</f>
        <v>#REF!</v>
      </c>
      <c r="L11" s="56" t="e">
        <f>#REF!</f>
        <v>#REF!</v>
      </c>
      <c r="M11" s="56" t="e">
        <f>#REF!</f>
        <v>#REF!</v>
      </c>
      <c r="N11" s="56" t="e">
        <f>#REF!</f>
        <v>#REF!</v>
      </c>
      <c r="O11" s="56" t="e">
        <f>#REF!</f>
        <v>#REF!</v>
      </c>
      <c r="Q11" s="25" t="s">
        <v>33</v>
      </c>
      <c r="R11" s="53" t="e">
        <f>#REF!</f>
        <v>#REF!</v>
      </c>
      <c r="S11" s="53" t="e">
        <f>#REF!</f>
        <v>#REF!</v>
      </c>
      <c r="T11" s="53" t="e">
        <f>#REF!</f>
        <v>#REF!</v>
      </c>
      <c r="U11" s="53" t="e">
        <f>#REF!</f>
        <v>#REF!</v>
      </c>
      <c r="V11" s="53" t="e">
        <f>#REF!</f>
        <v>#REF!</v>
      </c>
      <c r="W11" s="53" t="e">
        <f>#REF!</f>
        <v>#REF!</v>
      </c>
    </row>
    <row r="12" spans="1:23" x14ac:dyDescent="0.25">
      <c r="A12" s="26" t="s">
        <v>32</v>
      </c>
      <c r="B12" s="75" t="e">
        <f>B4</f>
        <v>#REF!</v>
      </c>
      <c r="C12" s="75" t="e">
        <f>C4</f>
        <v>#REF!</v>
      </c>
      <c r="D12" s="75" t="e">
        <f>D4</f>
        <v>#REF!</v>
      </c>
      <c r="E12" s="54"/>
      <c r="F12" s="54"/>
      <c r="G12" s="54"/>
      <c r="I12" s="26" t="s">
        <v>32</v>
      </c>
      <c r="J12" s="56" t="e">
        <f>#REF!</f>
        <v>#REF!</v>
      </c>
      <c r="K12" s="56" t="e">
        <f>#REF!</f>
        <v>#REF!</v>
      </c>
      <c r="L12" s="56" t="e">
        <f>#REF!</f>
        <v>#REF!</v>
      </c>
      <c r="M12" s="57"/>
      <c r="N12" s="57"/>
      <c r="O12" s="57"/>
      <c r="Q12" s="26" t="s">
        <v>32</v>
      </c>
      <c r="R12" s="54" t="e">
        <f>#REF!</f>
        <v>#REF!</v>
      </c>
      <c r="S12" s="54" t="e">
        <f>#REF!</f>
        <v>#REF!</v>
      </c>
      <c r="T12" s="54" t="e">
        <f>#REF!</f>
        <v>#REF!</v>
      </c>
      <c r="U12" s="54"/>
      <c r="V12" s="54"/>
      <c r="W12" s="54"/>
    </row>
    <row r="13" spans="1:23" x14ac:dyDescent="0.25">
      <c r="A13" s="25" t="s">
        <v>31</v>
      </c>
      <c r="B13" s="53" t="e">
        <f>B4</f>
        <v>#REF!</v>
      </c>
      <c r="C13" s="53" t="e">
        <f>C4</f>
        <v>#REF!</v>
      </c>
      <c r="D13" s="53" t="e">
        <f>D4</f>
        <v>#REF!</v>
      </c>
      <c r="E13" s="53"/>
      <c r="F13" s="53"/>
      <c r="G13" s="53"/>
      <c r="I13" s="25" t="s">
        <v>31</v>
      </c>
      <c r="J13" s="56" t="e">
        <f>J4</f>
        <v>#REF!</v>
      </c>
      <c r="K13" s="56" t="e">
        <f>K4</f>
        <v>#REF!</v>
      </c>
      <c r="L13" s="56" t="e">
        <f>L4</f>
        <v>#REF!</v>
      </c>
      <c r="M13" s="56"/>
      <c r="N13" s="56"/>
      <c r="O13" s="56"/>
      <c r="Q13" s="25" t="s">
        <v>31</v>
      </c>
      <c r="R13" s="53" t="e">
        <f>#REF!</f>
        <v>#REF!</v>
      </c>
      <c r="S13" s="53" t="e">
        <f>#REF!</f>
        <v>#REF!</v>
      </c>
      <c r="T13" s="53" t="e">
        <f>#REF!</f>
        <v>#REF!</v>
      </c>
      <c r="U13" s="53"/>
      <c r="V13" s="53"/>
      <c r="W13" s="53"/>
    </row>
    <row r="14" spans="1:23" x14ac:dyDescent="0.25">
      <c r="A14" s="85"/>
      <c r="B14" s="86"/>
      <c r="C14" s="86"/>
      <c r="D14" s="86"/>
      <c r="E14" s="86"/>
      <c r="F14" s="86"/>
      <c r="G14" s="86"/>
      <c r="I14" s="85"/>
      <c r="J14" s="87"/>
      <c r="K14" s="87"/>
      <c r="L14" s="87"/>
      <c r="M14" s="87"/>
      <c r="N14" s="87"/>
      <c r="O14" s="87"/>
      <c r="Q14" s="85"/>
      <c r="R14" s="86"/>
      <c r="S14" s="86"/>
      <c r="T14" s="86"/>
      <c r="U14" s="86"/>
      <c r="V14" s="86"/>
      <c r="W14" s="86"/>
    </row>
    <row r="16" spans="1:23" x14ac:dyDescent="0.25">
      <c r="A16" s="22" t="s">
        <v>139</v>
      </c>
      <c r="B16" s="22">
        <v>1</v>
      </c>
      <c r="C16" s="23">
        <v>2</v>
      </c>
      <c r="D16" s="23">
        <v>3</v>
      </c>
      <c r="E16" s="24">
        <v>4</v>
      </c>
      <c r="F16" s="23">
        <v>5</v>
      </c>
      <c r="G16" s="24">
        <v>6</v>
      </c>
    </row>
    <row r="17" spans="1:23" x14ac:dyDescent="0.25">
      <c r="A17" s="25" t="s">
        <v>20</v>
      </c>
      <c r="B17" s="53"/>
      <c r="C17" s="53"/>
      <c r="D17" s="53"/>
      <c r="E17" s="53"/>
      <c r="F17" s="53"/>
      <c r="G17" s="53"/>
    </row>
    <row r="18" spans="1:23" x14ac:dyDescent="0.25">
      <c r="A18" s="26" t="s">
        <v>96</v>
      </c>
      <c r="B18" s="75" t="e">
        <f>#REF!</f>
        <v>#REF!</v>
      </c>
      <c r="C18" s="75" t="e">
        <f>#REF!</f>
        <v>#REF!</v>
      </c>
      <c r="D18" s="75" t="e">
        <f>#REF!</f>
        <v>#REF!</v>
      </c>
      <c r="E18" s="54"/>
      <c r="F18" s="54"/>
      <c r="G18" s="54"/>
    </row>
    <row r="19" spans="1:23" x14ac:dyDescent="0.25">
      <c r="A19" s="25" t="s">
        <v>46</v>
      </c>
      <c r="B19" s="53"/>
      <c r="C19" s="53"/>
      <c r="D19" s="53"/>
      <c r="E19" s="53"/>
      <c r="F19" s="53"/>
      <c r="G19" s="53"/>
    </row>
    <row r="20" spans="1:23" x14ac:dyDescent="0.25">
      <c r="A20" s="26" t="s">
        <v>22</v>
      </c>
      <c r="B20" s="54" t="e">
        <f>#REF!</f>
        <v>#REF!</v>
      </c>
      <c r="C20" s="54" t="e">
        <f>#REF!</f>
        <v>#REF!</v>
      </c>
      <c r="D20" s="54" t="e">
        <f>#REF!</f>
        <v>#REF!</v>
      </c>
      <c r="E20" s="54"/>
      <c r="F20" s="54"/>
      <c r="G20" s="54"/>
    </row>
    <row r="21" spans="1:23" x14ac:dyDescent="0.25">
      <c r="A21" s="25" t="s">
        <v>17</v>
      </c>
      <c r="B21" s="53" t="e">
        <f>#REF!</f>
        <v>#REF!</v>
      </c>
      <c r="C21" s="53" t="e">
        <f>#REF!</f>
        <v>#REF!</v>
      </c>
      <c r="D21" s="53" t="e">
        <f>#REF!</f>
        <v>#REF!</v>
      </c>
      <c r="E21" s="53"/>
      <c r="F21" s="53"/>
      <c r="G21" s="53"/>
    </row>
    <row r="22" spans="1:23" x14ac:dyDescent="0.25">
      <c r="A22" s="25" t="s">
        <v>120</v>
      </c>
      <c r="B22" s="53"/>
      <c r="C22" s="53"/>
      <c r="D22" s="53"/>
      <c r="E22" s="53"/>
      <c r="F22" s="53"/>
      <c r="G22" s="53"/>
    </row>
    <row r="23" spans="1:23" x14ac:dyDescent="0.25">
      <c r="A23" s="26" t="s">
        <v>21</v>
      </c>
      <c r="B23" s="54" t="e">
        <f>#REF!</f>
        <v>#REF!</v>
      </c>
      <c r="C23" s="54" t="e">
        <f>#REF!</f>
        <v>#REF!</v>
      </c>
      <c r="D23" s="54" t="e">
        <f>#REF!</f>
        <v>#REF!</v>
      </c>
      <c r="E23" s="54"/>
      <c r="F23" s="54"/>
      <c r="G23" s="54"/>
    </row>
    <row r="24" spans="1:23" x14ac:dyDescent="0.25">
      <c r="A24" s="25" t="s">
        <v>38</v>
      </c>
      <c r="B24" s="53"/>
      <c r="C24" s="53"/>
      <c r="D24" s="53"/>
      <c r="E24" s="53"/>
      <c r="F24" s="53"/>
      <c r="G24" s="53"/>
    </row>
    <row r="25" spans="1:23" x14ac:dyDescent="0.25">
      <c r="A25" s="26" t="s">
        <v>39</v>
      </c>
      <c r="B25" s="54"/>
      <c r="C25" s="54"/>
      <c r="D25" s="54"/>
      <c r="E25" s="54"/>
      <c r="F25" s="54"/>
      <c r="G25" s="54"/>
    </row>
    <row r="26" spans="1:23" x14ac:dyDescent="0.25">
      <c r="A26" s="25" t="s">
        <v>33</v>
      </c>
      <c r="B26" s="53"/>
      <c r="C26" s="53"/>
      <c r="D26" s="53"/>
      <c r="E26" s="53"/>
      <c r="F26" s="53"/>
      <c r="G26" s="53"/>
    </row>
    <row r="27" spans="1:23" x14ac:dyDescent="0.25">
      <c r="A27" s="26" t="s">
        <v>32</v>
      </c>
      <c r="B27" s="75"/>
      <c r="C27" s="75"/>
      <c r="D27" s="75"/>
      <c r="E27" s="54"/>
      <c r="F27" s="54"/>
      <c r="G27" s="54"/>
    </row>
    <row r="28" spans="1:23" x14ac:dyDescent="0.25">
      <c r="A28" s="25" t="s">
        <v>31</v>
      </c>
      <c r="B28" s="53"/>
      <c r="C28" s="53"/>
      <c r="D28" s="53"/>
      <c r="E28" s="53"/>
      <c r="F28" s="53"/>
      <c r="G28" s="53"/>
    </row>
    <row r="29" spans="1:23" x14ac:dyDescent="0.25">
      <c r="I29" t="e">
        <f>INDEX(Inputs!K32:L41,MATCH(MIN(ABS(G15-Inputs!J32:J41)),ABS(ValeurCherchee-Inputs!K31:L31),0))</f>
        <v>#VALUE!</v>
      </c>
    </row>
    <row r="30" spans="1:23" x14ac:dyDescent="0.25">
      <c r="A30" t="s">
        <v>40</v>
      </c>
      <c r="B30" t="s">
        <v>16</v>
      </c>
      <c r="D30" t="s">
        <v>119</v>
      </c>
      <c r="F30" s="166" t="s">
        <v>17</v>
      </c>
      <c r="G30" s="166"/>
      <c r="H30" s="166"/>
      <c r="J30" s="166" t="s">
        <v>20</v>
      </c>
      <c r="K30" s="166"/>
      <c r="L30" s="166"/>
      <c r="Q30" s="22" t="s">
        <v>115</v>
      </c>
      <c r="R30" s="22">
        <v>1</v>
      </c>
      <c r="S30" s="23">
        <v>2</v>
      </c>
      <c r="T30" s="23">
        <v>3</v>
      </c>
      <c r="U30" s="24">
        <v>4</v>
      </c>
      <c r="V30" s="23">
        <v>5</v>
      </c>
      <c r="W30" s="24">
        <v>6</v>
      </c>
    </row>
    <row r="31" spans="1:23" x14ac:dyDescent="0.25">
      <c r="A31" t="s">
        <v>20</v>
      </c>
      <c r="B31">
        <v>0.57999999999999996</v>
      </c>
      <c r="D31">
        <v>5</v>
      </c>
      <c r="F31" s="22" t="s">
        <v>121</v>
      </c>
      <c r="G31" s="22">
        <v>1</v>
      </c>
      <c r="H31" s="22">
        <v>2</v>
      </c>
      <c r="J31" s="22" t="s">
        <v>125</v>
      </c>
      <c r="K31" s="22">
        <v>1</v>
      </c>
      <c r="L31" s="22">
        <v>2</v>
      </c>
      <c r="Q31" s="25" t="s">
        <v>20</v>
      </c>
      <c r="R31" s="53" t="e">
        <f>#REF!</f>
        <v>#REF!</v>
      </c>
      <c r="S31" s="53"/>
      <c r="T31" s="53"/>
      <c r="U31" s="53"/>
      <c r="V31" s="53"/>
      <c r="W31" s="53"/>
    </row>
    <row r="32" spans="1:23" x14ac:dyDescent="0.25">
      <c r="A32" s="26" t="s">
        <v>96</v>
      </c>
      <c r="B32">
        <v>0.57999999999999996</v>
      </c>
      <c r="D32">
        <v>10</v>
      </c>
      <c r="F32" s="25">
        <v>15</v>
      </c>
      <c r="G32" s="56" t="e">
        <f>#REF!</f>
        <v>#REF!</v>
      </c>
      <c r="H32" s="56" t="e">
        <f>#REF!</f>
        <v>#REF!</v>
      </c>
      <c r="J32" s="25">
        <v>29</v>
      </c>
      <c r="K32" s="56">
        <v>132.202</v>
      </c>
      <c r="L32" s="56"/>
      <c r="Q32" s="26" t="s">
        <v>96</v>
      </c>
      <c r="R32" s="75">
        <v>0</v>
      </c>
      <c r="S32" s="75">
        <v>0</v>
      </c>
      <c r="T32" s="75">
        <v>0</v>
      </c>
      <c r="U32" s="54"/>
      <c r="V32" s="54"/>
      <c r="W32" s="54"/>
    </row>
    <row r="33" spans="1:23" x14ac:dyDescent="0.25">
      <c r="A33" t="str">
        <f>A4</f>
        <v xml:space="preserve">Douglas </v>
      </c>
      <c r="B33">
        <v>0.43</v>
      </c>
      <c r="D33">
        <v>15</v>
      </c>
      <c r="F33" s="26">
        <v>20</v>
      </c>
      <c r="G33" s="57" t="e">
        <f>#REF!</f>
        <v>#REF!</v>
      </c>
      <c r="H33" s="57" t="e">
        <f>#REF!</f>
        <v>#REF!</v>
      </c>
      <c r="J33" s="26">
        <v>37</v>
      </c>
      <c r="K33" s="57">
        <v>167.1096</v>
      </c>
      <c r="L33" s="57">
        <v>125.244</v>
      </c>
      <c r="Q33" s="25" t="s">
        <v>46</v>
      </c>
      <c r="R33" s="53">
        <v>0</v>
      </c>
      <c r="S33" s="53">
        <v>0</v>
      </c>
      <c r="T33" s="53">
        <v>0</v>
      </c>
      <c r="U33" s="53"/>
      <c r="V33" s="53"/>
      <c r="W33" s="53"/>
    </row>
    <row r="34" spans="1:23" x14ac:dyDescent="0.25">
      <c r="A34" t="s">
        <v>22</v>
      </c>
      <c r="B34">
        <v>0.46</v>
      </c>
      <c r="D34">
        <v>20</v>
      </c>
      <c r="F34" s="25">
        <v>25</v>
      </c>
      <c r="G34" s="56" t="e">
        <f>#REF!</f>
        <v>#REF!</v>
      </c>
      <c r="H34" s="56" t="e">
        <f>#REF!</f>
        <v>#REF!</v>
      </c>
      <c r="J34" s="25">
        <v>45</v>
      </c>
      <c r="K34" s="56">
        <v>144</v>
      </c>
      <c r="L34" s="56">
        <v>152.10580000000002</v>
      </c>
      <c r="Q34" s="26" t="s">
        <v>22</v>
      </c>
      <c r="R34" s="54">
        <v>0</v>
      </c>
      <c r="S34" s="54">
        <v>0</v>
      </c>
      <c r="T34" s="54">
        <v>0</v>
      </c>
      <c r="U34" s="54"/>
      <c r="V34" s="54"/>
      <c r="W34" s="54"/>
    </row>
    <row r="35" spans="1:23" x14ac:dyDescent="0.25">
      <c r="A35" t="s">
        <v>17</v>
      </c>
      <c r="B35">
        <v>0.47</v>
      </c>
      <c r="D35">
        <v>25</v>
      </c>
      <c r="F35" s="26">
        <v>30</v>
      </c>
      <c r="G35" s="57" t="e">
        <f>#REF!</f>
        <v>#REF!</v>
      </c>
      <c r="H35" s="57" t="e">
        <f>#REF!</f>
        <v>#REF!</v>
      </c>
      <c r="J35" s="26">
        <v>53</v>
      </c>
      <c r="K35" s="57">
        <v>171</v>
      </c>
      <c r="L35" s="57">
        <v>127</v>
      </c>
      <c r="Q35" s="25" t="s">
        <v>17</v>
      </c>
      <c r="R35" s="53" t="e">
        <f>#REF!</f>
        <v>#REF!</v>
      </c>
      <c r="S35" s="53" t="e">
        <f>#REF!</f>
        <v>#REF!</v>
      </c>
      <c r="T35" s="53" t="e">
        <f>#REF!</f>
        <v>#REF!</v>
      </c>
      <c r="U35" s="53" t="e">
        <f>#REF!</f>
        <v>#REF!</v>
      </c>
      <c r="V35" s="53" t="e">
        <f>#REF!</f>
        <v>#REF!</v>
      </c>
      <c r="W35" s="53"/>
    </row>
    <row r="36" spans="1:23" x14ac:dyDescent="0.25">
      <c r="A36" t="s">
        <v>120</v>
      </c>
      <c r="B36">
        <f>0.58</f>
        <v>0.57999999999999996</v>
      </c>
      <c r="D36">
        <v>30</v>
      </c>
      <c r="F36" s="25">
        <v>35</v>
      </c>
      <c r="G36" s="78" t="e">
        <f>#REF!</f>
        <v>#REF!</v>
      </c>
      <c r="H36" s="78" t="e">
        <f>#REF!</f>
        <v>#REF!</v>
      </c>
      <c r="J36" s="25">
        <v>61</v>
      </c>
      <c r="K36" s="78">
        <v>197</v>
      </c>
      <c r="L36" s="78">
        <v>147</v>
      </c>
      <c r="Q36" s="84" t="s">
        <v>120</v>
      </c>
      <c r="R36" s="53" t="e">
        <f>#REF!</f>
        <v>#REF!</v>
      </c>
      <c r="S36" s="53" t="e">
        <f>#REF!</f>
        <v>#REF!</v>
      </c>
      <c r="T36" s="53" t="e">
        <f>#REF!</f>
        <v>#REF!</v>
      </c>
      <c r="U36" s="53" t="e">
        <f>#REF!</f>
        <v>#REF!</v>
      </c>
      <c r="V36" s="53" t="e">
        <f>#REF!</f>
        <v>#REF!</v>
      </c>
      <c r="W36" s="53"/>
    </row>
    <row r="37" spans="1:23" x14ac:dyDescent="0.25">
      <c r="A37" t="s">
        <v>21</v>
      </c>
      <c r="B37">
        <v>0.46</v>
      </c>
      <c r="D37">
        <v>35</v>
      </c>
      <c r="F37" s="26">
        <v>40</v>
      </c>
      <c r="G37" s="57" t="e">
        <f>#REF!</f>
        <v>#REF!</v>
      </c>
      <c r="H37" s="57" t="e">
        <f>#REF!</f>
        <v>#REF!</v>
      </c>
      <c r="J37" s="26">
        <v>69</v>
      </c>
      <c r="K37" s="57">
        <v>218</v>
      </c>
      <c r="L37" s="57">
        <v>165</v>
      </c>
      <c r="Q37" s="26" t="s">
        <v>21</v>
      </c>
      <c r="R37" s="54" t="e">
        <f>#REF!</f>
        <v>#REF!</v>
      </c>
      <c r="S37" s="54" t="e">
        <f>#REF!</f>
        <v>#REF!</v>
      </c>
      <c r="T37" s="54" t="e">
        <f>#REF!</f>
        <v>#REF!</v>
      </c>
      <c r="U37" s="54"/>
      <c r="V37" s="54"/>
      <c r="W37" s="54"/>
    </row>
    <row r="38" spans="1:23" x14ac:dyDescent="0.25">
      <c r="A38" t="s">
        <v>38</v>
      </c>
      <c r="B38">
        <v>0.44</v>
      </c>
      <c r="D38">
        <v>40</v>
      </c>
      <c r="F38" s="25">
        <v>45</v>
      </c>
      <c r="G38" s="56" t="e">
        <f>#REF!</f>
        <v>#REF!</v>
      </c>
      <c r="H38" s="56" t="e">
        <f>#REF!</f>
        <v>#REF!</v>
      </c>
      <c r="J38" s="25">
        <v>77</v>
      </c>
      <c r="K38" s="56">
        <v>238</v>
      </c>
      <c r="L38" s="56">
        <v>194</v>
      </c>
      <c r="Q38" s="25" t="s">
        <v>38</v>
      </c>
      <c r="R38" s="53" t="e">
        <f>#REF!</f>
        <v>#REF!</v>
      </c>
      <c r="S38" s="53" t="e">
        <f>#REF!</f>
        <v>#REF!</v>
      </c>
      <c r="T38" s="53" t="e">
        <f>#REF!</f>
        <v>#REF!</v>
      </c>
      <c r="U38" s="53" t="e">
        <f>#REF!</f>
        <v>#REF!</v>
      </c>
      <c r="V38" s="53"/>
      <c r="W38" s="53"/>
    </row>
    <row r="39" spans="1:23" x14ac:dyDescent="0.25">
      <c r="A39" t="s">
        <v>39</v>
      </c>
      <c r="B39">
        <v>0.36</v>
      </c>
      <c r="D39">
        <v>45</v>
      </c>
      <c r="F39" s="26">
        <v>50</v>
      </c>
      <c r="G39" s="57" t="e">
        <f>#REF!</f>
        <v>#REF!</v>
      </c>
      <c r="H39" s="57" t="e">
        <f>#REF!</f>
        <v>#REF!</v>
      </c>
      <c r="J39" s="26">
        <v>85</v>
      </c>
      <c r="K39" s="57">
        <v>251</v>
      </c>
      <c r="L39" s="57">
        <v>219</v>
      </c>
      <c r="Q39" s="26" t="s">
        <v>39</v>
      </c>
      <c r="R39" s="54">
        <v>0</v>
      </c>
      <c r="S39" s="54">
        <v>0</v>
      </c>
      <c r="T39" s="54"/>
      <c r="U39" s="54"/>
      <c r="V39" s="54"/>
      <c r="W39" s="54"/>
    </row>
    <row r="40" spans="1:23" x14ac:dyDescent="0.25">
      <c r="A40" t="s">
        <v>33</v>
      </c>
      <c r="B40">
        <v>0.36</v>
      </c>
      <c r="D40">
        <v>50</v>
      </c>
      <c r="F40" s="25">
        <v>55</v>
      </c>
      <c r="G40" s="56" t="e">
        <f>#REF!</f>
        <v>#REF!</v>
      </c>
      <c r="H40" s="56" t="e">
        <f>#REF!</f>
        <v>#REF!</v>
      </c>
      <c r="J40" s="25">
        <v>95</v>
      </c>
      <c r="K40" s="56">
        <v>287</v>
      </c>
      <c r="L40" s="56">
        <v>241</v>
      </c>
      <c r="Q40" s="25" t="s">
        <v>33</v>
      </c>
      <c r="R40" s="53" t="e">
        <f>#REF!</f>
        <v>#REF!</v>
      </c>
      <c r="S40" s="53" t="e">
        <f>#REF!</f>
        <v>#REF!</v>
      </c>
      <c r="T40" s="53" t="e">
        <f>#REF!</f>
        <v>#REF!</v>
      </c>
      <c r="U40" s="53" t="e">
        <f>#REF!</f>
        <v>#REF!</v>
      </c>
      <c r="V40" s="53" t="e">
        <f>#REF!</f>
        <v>#REF!</v>
      </c>
      <c r="W40" s="53" t="e">
        <f>#REF!</f>
        <v>#REF!</v>
      </c>
    </row>
    <row r="41" spans="1:23" x14ac:dyDescent="0.25">
      <c r="A41" t="s">
        <v>31</v>
      </c>
      <c r="B41">
        <v>0.43</v>
      </c>
      <c r="F41" s="26">
        <v>60</v>
      </c>
      <c r="G41" s="57" t="e">
        <f>#REF!</f>
        <v>#REF!</v>
      </c>
      <c r="H41" s="57" t="e">
        <f>#REF!</f>
        <v>#REF!</v>
      </c>
      <c r="J41" s="26">
        <v>105</v>
      </c>
      <c r="K41" s="57">
        <v>323</v>
      </c>
      <c r="L41" s="57">
        <v>263</v>
      </c>
      <c r="Q41" s="26" t="s">
        <v>32</v>
      </c>
      <c r="R41" s="54">
        <v>0</v>
      </c>
      <c r="S41" s="54">
        <v>0</v>
      </c>
      <c r="T41" s="54">
        <v>0</v>
      </c>
      <c r="U41" s="54"/>
      <c r="V41" s="54"/>
      <c r="W41" s="54"/>
    </row>
    <row r="42" spans="1:23" x14ac:dyDescent="0.25">
      <c r="A42" t="s">
        <v>32</v>
      </c>
      <c r="B42">
        <v>0.48</v>
      </c>
      <c r="F42" s="25">
        <v>65</v>
      </c>
      <c r="G42" s="56" t="e">
        <f>#REF!</f>
        <v>#REF!</v>
      </c>
      <c r="H42" s="56" t="e">
        <f>#REF!</f>
        <v>#REF!</v>
      </c>
      <c r="J42" s="76"/>
      <c r="K42" s="81"/>
      <c r="L42" s="81"/>
      <c r="Q42" s="25" t="s">
        <v>31</v>
      </c>
      <c r="R42" s="53">
        <v>0</v>
      </c>
      <c r="S42" s="53">
        <v>0</v>
      </c>
      <c r="T42" s="53">
        <v>0</v>
      </c>
      <c r="U42" s="53"/>
      <c r="V42" s="53"/>
      <c r="W42" s="53"/>
    </row>
    <row r="43" spans="1:23" x14ac:dyDescent="0.25">
      <c r="F43" s="25">
        <v>70</v>
      </c>
      <c r="G43" s="56" t="e">
        <f>#REF!</f>
        <v>#REF!</v>
      </c>
      <c r="H43" s="56" t="e">
        <f>#REF!</f>
        <v>#REF!</v>
      </c>
      <c r="J43" s="76"/>
      <c r="K43" s="81"/>
      <c r="L43" s="81"/>
    </row>
    <row r="44" spans="1:23" x14ac:dyDescent="0.25">
      <c r="A44" t="s">
        <v>42</v>
      </c>
      <c r="B44" t="s">
        <v>43</v>
      </c>
      <c r="H44" s="7"/>
      <c r="J44" s="12"/>
    </row>
    <row r="45" spans="1:23" x14ac:dyDescent="0.25">
      <c r="A45" t="s">
        <v>107</v>
      </c>
      <c r="B45">
        <v>1.52</v>
      </c>
      <c r="J45" s="12"/>
    </row>
    <row r="46" spans="1:23" x14ac:dyDescent="0.25">
      <c r="A46" t="s">
        <v>108</v>
      </c>
      <c r="B46">
        <f>0.77*0.56</f>
        <v>0.43120000000000003</v>
      </c>
      <c r="J46" s="12"/>
    </row>
    <row r="47" spans="1:23" x14ac:dyDescent="0.25">
      <c r="A47" t="s">
        <v>109</v>
      </c>
      <c r="B47">
        <f>0.25</f>
        <v>0.25</v>
      </c>
      <c r="J47" s="12"/>
    </row>
    <row r="48" spans="1:23" x14ac:dyDescent="0.25">
      <c r="J48" s="12"/>
    </row>
    <row r="49" spans="1:10" x14ac:dyDescent="0.25">
      <c r="A49" t="s">
        <v>110</v>
      </c>
      <c r="B49" s="55" t="s">
        <v>111</v>
      </c>
      <c r="J49" s="12"/>
    </row>
    <row r="50" spans="1:10" x14ac:dyDescent="0.25">
      <c r="A50" t="s">
        <v>20</v>
      </c>
      <c r="B50">
        <v>1</v>
      </c>
      <c r="J50" s="12"/>
    </row>
    <row r="51" spans="1:10" x14ac:dyDescent="0.25">
      <c r="A51" s="26" t="s">
        <v>96</v>
      </c>
      <c r="B51">
        <v>3</v>
      </c>
      <c r="J51" s="12"/>
    </row>
    <row r="52" spans="1:10" x14ac:dyDescent="0.25">
      <c r="A52" t="s">
        <v>23</v>
      </c>
      <c r="B52">
        <v>3</v>
      </c>
      <c r="J52" s="12"/>
    </row>
    <row r="53" spans="1:10" x14ac:dyDescent="0.25">
      <c r="A53" t="s">
        <v>22</v>
      </c>
      <c r="B53">
        <v>3</v>
      </c>
      <c r="J53" s="12"/>
    </row>
    <row r="54" spans="1:10" x14ac:dyDescent="0.25">
      <c r="A54" t="s">
        <v>17</v>
      </c>
      <c r="B54">
        <v>5</v>
      </c>
      <c r="J54" s="12"/>
    </row>
    <row r="55" spans="1:10" x14ac:dyDescent="0.25">
      <c r="A55" t="s">
        <v>21</v>
      </c>
      <c r="B55">
        <v>3</v>
      </c>
    </row>
    <row r="56" spans="1:10" x14ac:dyDescent="0.25">
      <c r="A56" t="s">
        <v>38</v>
      </c>
      <c r="B56">
        <v>5</v>
      </c>
    </row>
    <row r="57" spans="1:10" x14ac:dyDescent="0.25">
      <c r="A57" t="s">
        <v>30</v>
      </c>
      <c r="B57">
        <v>2</v>
      </c>
    </row>
    <row r="58" spans="1:10" x14ac:dyDescent="0.25">
      <c r="A58" t="s">
        <v>33</v>
      </c>
      <c r="B58">
        <v>6</v>
      </c>
    </row>
    <row r="59" spans="1:10" x14ac:dyDescent="0.25">
      <c r="A59" t="s">
        <v>32</v>
      </c>
    </row>
    <row r="60" spans="1:10" x14ac:dyDescent="0.25">
      <c r="A60" t="s">
        <v>31</v>
      </c>
      <c r="B60">
        <v>3</v>
      </c>
    </row>
    <row r="62" spans="1:10" x14ac:dyDescent="0.25">
      <c r="A62" s="25" t="s">
        <v>85</v>
      </c>
      <c r="B62" s="80"/>
      <c r="C62" s="80"/>
      <c r="D62" s="80"/>
      <c r="E62" s="80"/>
      <c r="F62" s="80"/>
    </row>
    <row r="63" spans="1:10" x14ac:dyDescent="0.25">
      <c r="A63" s="26" t="s">
        <v>98</v>
      </c>
      <c r="I63" t="s">
        <v>97</v>
      </c>
    </row>
    <row r="64" spans="1:10" x14ac:dyDescent="0.25">
      <c r="A64" s="25" t="s">
        <v>123</v>
      </c>
    </row>
    <row r="65" spans="1:1" x14ac:dyDescent="0.25">
      <c r="A65" s="26" t="s">
        <v>86</v>
      </c>
    </row>
    <row r="66" spans="1:1" x14ac:dyDescent="0.25">
      <c r="A66" s="25" t="s">
        <v>87</v>
      </c>
    </row>
    <row r="67" spans="1:1" x14ac:dyDescent="0.25">
      <c r="A67" s="27" t="s">
        <v>88</v>
      </c>
    </row>
    <row r="68" spans="1:1" x14ac:dyDescent="0.25">
      <c r="A68" s="83" t="s">
        <v>127</v>
      </c>
    </row>
    <row r="69" spans="1:1" x14ac:dyDescent="0.25">
      <c r="A69" s="26" t="s">
        <v>122</v>
      </c>
    </row>
    <row r="70" spans="1:1" x14ac:dyDescent="0.25">
      <c r="A70" s="25" t="s">
        <v>89</v>
      </c>
    </row>
    <row r="71" spans="1:1" x14ac:dyDescent="0.25">
      <c r="A71" s="26" t="s">
        <v>90</v>
      </c>
    </row>
    <row r="72" spans="1:1" x14ac:dyDescent="0.25">
      <c r="A72" s="25" t="s">
        <v>84</v>
      </c>
    </row>
    <row r="73" spans="1:1" x14ac:dyDescent="0.25">
      <c r="A73" s="27" t="s">
        <v>91</v>
      </c>
    </row>
    <row r="74" spans="1:1" x14ac:dyDescent="0.25">
      <c r="A74" s="25" t="s">
        <v>124</v>
      </c>
    </row>
    <row r="75" spans="1:1" x14ac:dyDescent="0.25">
      <c r="A75" s="27" t="s">
        <v>92</v>
      </c>
    </row>
    <row r="77" spans="1:1" x14ac:dyDescent="0.25">
      <c r="A77" t="s">
        <v>93</v>
      </c>
    </row>
    <row r="78" spans="1:1" x14ac:dyDescent="0.25">
      <c r="A78" s="1">
        <v>0</v>
      </c>
    </row>
    <row r="79" spans="1:1" x14ac:dyDescent="0.25">
      <c r="A79" s="1">
        <v>0.05</v>
      </c>
    </row>
    <row r="80" spans="1:1" x14ac:dyDescent="0.25">
      <c r="A80" s="1">
        <v>0.1</v>
      </c>
    </row>
    <row r="81" spans="1:3" x14ac:dyDescent="0.25">
      <c r="A81" s="1">
        <v>0.15</v>
      </c>
    </row>
    <row r="84" spans="1:3" x14ac:dyDescent="0.25">
      <c r="A84" t="s">
        <v>102</v>
      </c>
      <c r="B84" t="s">
        <v>99</v>
      </c>
      <c r="C84" t="s">
        <v>101</v>
      </c>
    </row>
    <row r="85" spans="1:3" x14ac:dyDescent="0.25">
      <c r="A85" s="25" t="s">
        <v>20</v>
      </c>
      <c r="B85" t="s">
        <v>19</v>
      </c>
      <c r="C85">
        <v>1</v>
      </c>
    </row>
    <row r="86" spans="1:3" x14ac:dyDescent="0.25">
      <c r="A86" s="26" t="s">
        <v>96</v>
      </c>
      <c r="B86" t="s">
        <v>19</v>
      </c>
      <c r="C86">
        <v>1</v>
      </c>
    </row>
    <row r="87" spans="1:3" x14ac:dyDescent="0.25">
      <c r="A87" s="25" t="s">
        <v>46</v>
      </c>
      <c r="B87" t="s">
        <v>100</v>
      </c>
      <c r="C87">
        <v>1.3</v>
      </c>
    </row>
    <row r="88" spans="1:3" x14ac:dyDescent="0.25">
      <c r="A88" s="26" t="s">
        <v>22</v>
      </c>
      <c r="B88" t="s">
        <v>100</v>
      </c>
      <c r="C88">
        <v>1.3</v>
      </c>
    </row>
    <row r="89" spans="1:3" x14ac:dyDescent="0.25">
      <c r="A89" s="25" t="s">
        <v>17</v>
      </c>
      <c r="B89" t="s">
        <v>100</v>
      </c>
      <c r="C89">
        <v>1.56</v>
      </c>
    </row>
    <row r="90" spans="1:3" x14ac:dyDescent="0.25">
      <c r="A90" s="25" t="s">
        <v>120</v>
      </c>
      <c r="B90" t="s">
        <v>100</v>
      </c>
      <c r="C90">
        <v>1.56</v>
      </c>
    </row>
    <row r="91" spans="1:3" x14ac:dyDescent="0.25">
      <c r="A91" s="26" t="s">
        <v>21</v>
      </c>
      <c r="B91" t="s">
        <v>100</v>
      </c>
      <c r="C91">
        <v>1.3</v>
      </c>
    </row>
    <row r="92" spans="1:3" x14ac:dyDescent="0.25">
      <c r="A92" s="25" t="s">
        <v>38</v>
      </c>
      <c r="B92" t="s">
        <v>100</v>
      </c>
      <c r="C92">
        <v>1.3</v>
      </c>
    </row>
    <row r="93" spans="1:3" x14ac:dyDescent="0.25">
      <c r="A93" s="26" t="s">
        <v>39</v>
      </c>
      <c r="B93" t="s">
        <v>100</v>
      </c>
      <c r="C93">
        <v>1.3</v>
      </c>
    </row>
    <row r="94" spans="1:3" x14ac:dyDescent="0.25">
      <c r="A94" s="25" t="s">
        <v>33</v>
      </c>
      <c r="B94" t="s">
        <v>100</v>
      </c>
      <c r="C94">
        <v>1.3</v>
      </c>
    </row>
    <row r="95" spans="1:3" x14ac:dyDescent="0.25">
      <c r="A95" s="26" t="s">
        <v>32</v>
      </c>
      <c r="B95" t="s">
        <v>100</v>
      </c>
      <c r="C95">
        <v>1.3</v>
      </c>
    </row>
    <row r="96" spans="1:3" x14ac:dyDescent="0.25">
      <c r="A96" s="25" t="s">
        <v>31</v>
      </c>
      <c r="B96" t="s">
        <v>100</v>
      </c>
      <c r="C96">
        <v>1.3</v>
      </c>
    </row>
    <row r="98" spans="1:16" x14ac:dyDescent="0.25">
      <c r="A98" t="s">
        <v>45</v>
      </c>
    </row>
    <row r="99" spans="1:16" x14ac:dyDescent="0.25">
      <c r="A99" s="50">
        <v>1</v>
      </c>
    </row>
    <row r="100" spans="1:16" x14ac:dyDescent="0.25">
      <c r="A100" s="50">
        <v>2</v>
      </c>
    </row>
    <row r="101" spans="1:16" x14ac:dyDescent="0.25">
      <c r="A101" s="50">
        <v>3</v>
      </c>
    </row>
    <row r="102" spans="1:16" x14ac:dyDescent="0.25">
      <c r="A102" s="50">
        <v>4</v>
      </c>
    </row>
    <row r="103" spans="1:16" x14ac:dyDescent="0.25">
      <c r="A103" s="50">
        <v>5</v>
      </c>
    </row>
    <row r="104" spans="1:16" x14ac:dyDescent="0.25">
      <c r="A104" s="50">
        <v>6</v>
      </c>
    </row>
    <row r="107" spans="1:16" x14ac:dyDescent="0.25">
      <c r="A107" s="72" t="s">
        <v>112</v>
      </c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</row>
    <row r="109" spans="1:16" x14ac:dyDescent="0.25">
      <c r="A109" s="2" t="s">
        <v>0</v>
      </c>
      <c r="B109" s="2" t="s">
        <v>16</v>
      </c>
    </row>
    <row r="110" spans="1:16" x14ac:dyDescent="0.25">
      <c r="A110" t="s">
        <v>1</v>
      </c>
      <c r="B110" s="3">
        <v>900</v>
      </c>
      <c r="E110" s="9"/>
    </row>
    <row r="111" spans="1:16" x14ac:dyDescent="0.25">
      <c r="A111" t="s">
        <v>2</v>
      </c>
      <c r="B111" s="3">
        <v>700</v>
      </c>
    </row>
    <row r="112" spans="1:16" x14ac:dyDescent="0.25">
      <c r="A112" t="s">
        <v>5</v>
      </c>
      <c r="B112" s="3">
        <v>1500</v>
      </c>
    </row>
    <row r="113" spans="1:23" x14ac:dyDescent="0.25">
      <c r="A113" t="s">
        <v>4</v>
      </c>
      <c r="B113" s="3">
        <v>400</v>
      </c>
      <c r="D113" s="9"/>
    </row>
    <row r="114" spans="1:23" x14ac:dyDescent="0.25">
      <c r="A114" t="s">
        <v>3</v>
      </c>
      <c r="B114" s="3">
        <v>150</v>
      </c>
    </row>
    <row r="115" spans="1:23" x14ac:dyDescent="0.25">
      <c r="A115" t="s">
        <v>7</v>
      </c>
      <c r="B115" s="3">
        <v>150</v>
      </c>
    </row>
    <row r="116" spans="1:23" x14ac:dyDescent="0.25">
      <c r="A116" t="s">
        <v>81</v>
      </c>
      <c r="B116" s="3">
        <v>1200</v>
      </c>
    </row>
    <row r="117" spans="1:23" x14ac:dyDescent="0.25">
      <c r="A117" t="s">
        <v>82</v>
      </c>
      <c r="B117" s="3">
        <v>2200</v>
      </c>
    </row>
    <row r="118" spans="1:23" x14ac:dyDescent="0.25">
      <c r="A118" t="s">
        <v>6</v>
      </c>
      <c r="B118" s="3">
        <v>250</v>
      </c>
    </row>
    <row r="119" spans="1:23" x14ac:dyDescent="0.25">
      <c r="A119" t="s">
        <v>8</v>
      </c>
      <c r="B119" s="3">
        <v>500</v>
      </c>
    </row>
    <row r="120" spans="1:23" x14ac:dyDescent="0.25">
      <c r="A120" t="s">
        <v>9</v>
      </c>
      <c r="B120" s="3">
        <v>500</v>
      </c>
    </row>
    <row r="121" spans="1:23" x14ac:dyDescent="0.25">
      <c r="A121" t="s">
        <v>10</v>
      </c>
      <c r="B121" s="3">
        <v>500</v>
      </c>
    </row>
    <row r="122" spans="1:23" x14ac:dyDescent="0.25">
      <c r="A122" t="s">
        <v>11</v>
      </c>
      <c r="B122" s="3">
        <v>60</v>
      </c>
    </row>
    <row r="123" spans="1:23" x14ac:dyDescent="0.25">
      <c r="A123" t="s">
        <v>12</v>
      </c>
      <c r="B123" s="3">
        <v>300</v>
      </c>
    </row>
    <row r="124" spans="1:23" x14ac:dyDescent="0.25">
      <c r="B124" s="164" t="s">
        <v>94</v>
      </c>
      <c r="C124" s="164"/>
      <c r="D124" s="164"/>
      <c r="E124" s="164"/>
      <c r="F124" s="164"/>
      <c r="G124" s="164"/>
      <c r="H124" s="164"/>
      <c r="I124" s="164"/>
      <c r="J124" s="164"/>
      <c r="K124" s="164"/>
      <c r="M124" s="165" t="s">
        <v>95</v>
      </c>
      <c r="N124" s="165"/>
      <c r="O124" s="165"/>
      <c r="P124" s="165"/>
      <c r="Q124" s="165"/>
      <c r="R124" s="165"/>
      <c r="S124" s="165"/>
      <c r="T124" s="165"/>
      <c r="U124" s="165"/>
      <c r="V124" s="165"/>
    </row>
    <row r="125" spans="1:23" x14ac:dyDescent="0.25">
      <c r="A125" s="65"/>
      <c r="B125" s="66" t="s">
        <v>20</v>
      </c>
      <c r="C125" s="66" t="s">
        <v>103</v>
      </c>
      <c r="D125" s="67" t="s">
        <v>46</v>
      </c>
      <c r="E125" s="66" t="s">
        <v>22</v>
      </c>
      <c r="F125" s="67" t="s">
        <v>17</v>
      </c>
      <c r="G125" s="66" t="s">
        <v>21</v>
      </c>
      <c r="H125" s="67" t="s">
        <v>38</v>
      </c>
      <c r="I125" s="66" t="s">
        <v>30</v>
      </c>
      <c r="J125" s="67" t="s">
        <v>33</v>
      </c>
      <c r="K125" s="66" t="s">
        <v>32</v>
      </c>
      <c r="L125" s="68" t="s">
        <v>31</v>
      </c>
      <c r="M125" s="69"/>
      <c r="N125" s="65" t="s">
        <v>20</v>
      </c>
      <c r="O125" s="70" t="s">
        <v>46</v>
      </c>
      <c r="P125" s="65" t="s">
        <v>22</v>
      </c>
      <c r="Q125" s="70" t="s">
        <v>17</v>
      </c>
      <c r="R125" s="65" t="s">
        <v>21</v>
      </c>
      <c r="S125" s="70" t="s">
        <v>38</v>
      </c>
      <c r="T125" s="65" t="s">
        <v>30</v>
      </c>
      <c r="U125" s="70" t="s">
        <v>33</v>
      </c>
      <c r="V125" s="65" t="s">
        <v>32</v>
      </c>
      <c r="W125" s="71" t="s">
        <v>31</v>
      </c>
    </row>
    <row r="126" spans="1:23" x14ac:dyDescent="0.25">
      <c r="A126" s="41" t="s">
        <v>13</v>
      </c>
      <c r="B126" s="58">
        <f t="shared" ref="B126:B148" si="0">N126*0.8</f>
        <v>8</v>
      </c>
      <c r="C126" s="58">
        <v>8</v>
      </c>
      <c r="D126" s="58">
        <f t="shared" ref="D126:D148" si="1">O126*0.8</f>
        <v>8</v>
      </c>
      <c r="E126" s="58">
        <f t="shared" ref="E126:E148" si="2">P126*0.8</f>
        <v>8</v>
      </c>
      <c r="F126" s="58">
        <f t="shared" ref="F126:F148" si="3">Q126*0.8</f>
        <v>4</v>
      </c>
      <c r="G126" s="58">
        <f t="shared" ref="G126:G148" si="4">R126*0.8</f>
        <v>8</v>
      </c>
      <c r="H126" s="58">
        <f t="shared" ref="H126:H148" si="5">S126*0.8</f>
        <v>8</v>
      </c>
      <c r="I126" s="58">
        <f t="shared" ref="I126:I148" si="6">T126*0.8</f>
        <v>8</v>
      </c>
      <c r="J126" s="58">
        <f t="shared" ref="J126:J148" si="7">U126*0.8</f>
        <v>8</v>
      </c>
      <c r="K126" s="58">
        <f t="shared" ref="K126:K148" si="8">V126*0.8</f>
        <v>0</v>
      </c>
      <c r="L126" s="58">
        <f t="shared" ref="L126:L148" si="9">W126*0.8</f>
        <v>8</v>
      </c>
      <c r="N126" s="59">
        <v>10</v>
      </c>
      <c r="O126" s="60">
        <v>10</v>
      </c>
      <c r="P126" s="60">
        <v>10</v>
      </c>
      <c r="Q126" s="60">
        <v>5</v>
      </c>
      <c r="R126" s="60">
        <v>10</v>
      </c>
      <c r="S126" s="60">
        <v>10</v>
      </c>
      <c r="T126" s="60">
        <v>10</v>
      </c>
      <c r="U126" s="60">
        <v>10</v>
      </c>
      <c r="V126" s="60"/>
      <c r="W126" s="61">
        <v>10</v>
      </c>
    </row>
    <row r="127" spans="1:23" x14ac:dyDescent="0.25">
      <c r="A127" s="42" t="s">
        <v>14</v>
      </c>
      <c r="B127" s="58">
        <f t="shared" si="0"/>
        <v>8</v>
      </c>
      <c r="C127" s="58">
        <v>20</v>
      </c>
      <c r="D127" s="58">
        <f t="shared" si="1"/>
        <v>8</v>
      </c>
      <c r="E127" s="58">
        <f t="shared" si="2"/>
        <v>8</v>
      </c>
      <c r="F127" s="58">
        <f t="shared" si="3"/>
        <v>4.8000000000000007</v>
      </c>
      <c r="G127" s="58">
        <f t="shared" si="4"/>
        <v>8</v>
      </c>
      <c r="H127" s="58">
        <f t="shared" si="5"/>
        <v>8</v>
      </c>
      <c r="I127" s="58">
        <f t="shared" si="6"/>
        <v>14.4</v>
      </c>
      <c r="J127" s="58">
        <f t="shared" si="7"/>
        <v>8</v>
      </c>
      <c r="K127" s="58">
        <f t="shared" si="8"/>
        <v>0</v>
      </c>
      <c r="L127" s="58">
        <f t="shared" si="9"/>
        <v>8</v>
      </c>
      <c r="N127" s="62">
        <v>10</v>
      </c>
      <c r="O127" s="63">
        <v>10</v>
      </c>
      <c r="P127" s="63">
        <v>10</v>
      </c>
      <c r="Q127" s="63">
        <v>6</v>
      </c>
      <c r="R127" s="63">
        <v>10</v>
      </c>
      <c r="S127" s="63">
        <v>10</v>
      </c>
      <c r="T127" s="63">
        <v>18</v>
      </c>
      <c r="U127" s="63">
        <v>10</v>
      </c>
      <c r="V127" s="63"/>
      <c r="W127" s="64">
        <v>10</v>
      </c>
    </row>
    <row r="128" spans="1:23" x14ac:dyDescent="0.25">
      <c r="A128" s="41" t="s">
        <v>15</v>
      </c>
      <c r="B128" s="58">
        <f t="shared" si="0"/>
        <v>8</v>
      </c>
      <c r="C128" s="58">
        <v>20</v>
      </c>
      <c r="D128" s="58">
        <f t="shared" si="1"/>
        <v>8</v>
      </c>
      <c r="E128" s="58">
        <f t="shared" si="2"/>
        <v>8</v>
      </c>
      <c r="F128" s="58">
        <f t="shared" si="3"/>
        <v>6.4</v>
      </c>
      <c r="G128" s="58">
        <f t="shared" si="4"/>
        <v>8</v>
      </c>
      <c r="H128" s="58">
        <f t="shared" si="5"/>
        <v>8</v>
      </c>
      <c r="I128" s="58">
        <f t="shared" si="6"/>
        <v>20</v>
      </c>
      <c r="J128" s="58">
        <f t="shared" si="7"/>
        <v>8</v>
      </c>
      <c r="K128" s="58">
        <f t="shared" si="8"/>
        <v>0</v>
      </c>
      <c r="L128" s="58">
        <f>W128*0.8</f>
        <v>8</v>
      </c>
      <c r="N128" s="59">
        <v>10</v>
      </c>
      <c r="O128" s="60">
        <v>10</v>
      </c>
      <c r="P128" s="60">
        <v>10</v>
      </c>
      <c r="Q128" s="60">
        <v>8</v>
      </c>
      <c r="R128" s="60">
        <v>10</v>
      </c>
      <c r="S128" s="60">
        <v>10</v>
      </c>
      <c r="T128" s="60">
        <v>25</v>
      </c>
      <c r="U128" s="60">
        <v>10</v>
      </c>
      <c r="V128" s="60"/>
      <c r="W128" s="61">
        <v>10</v>
      </c>
    </row>
    <row r="129" spans="1:23" x14ac:dyDescent="0.25">
      <c r="A129" s="42" t="s">
        <v>57</v>
      </c>
      <c r="B129" s="58">
        <f t="shared" si="0"/>
        <v>8</v>
      </c>
      <c r="C129" s="58">
        <v>40</v>
      </c>
      <c r="D129" s="58">
        <f t="shared" si="1"/>
        <v>14.4</v>
      </c>
      <c r="E129" s="58">
        <f t="shared" si="2"/>
        <v>14.4</v>
      </c>
      <c r="F129" s="58">
        <f t="shared" si="3"/>
        <v>16</v>
      </c>
      <c r="G129" s="58">
        <f t="shared" si="4"/>
        <v>12</v>
      </c>
      <c r="H129" s="58">
        <f t="shared" si="5"/>
        <v>14.4</v>
      </c>
      <c r="I129" s="58">
        <f t="shared" si="6"/>
        <v>28</v>
      </c>
      <c r="J129" s="58">
        <f t="shared" si="7"/>
        <v>14.4</v>
      </c>
      <c r="K129" s="58">
        <f t="shared" si="8"/>
        <v>0</v>
      </c>
      <c r="L129" s="58">
        <f t="shared" si="9"/>
        <v>14.4</v>
      </c>
      <c r="N129" s="62">
        <v>10</v>
      </c>
      <c r="O129" s="63">
        <v>18</v>
      </c>
      <c r="P129" s="63">
        <v>18</v>
      </c>
      <c r="Q129" s="63">
        <v>20</v>
      </c>
      <c r="R129" s="63">
        <v>15</v>
      </c>
      <c r="S129" s="63">
        <v>18</v>
      </c>
      <c r="T129" s="63">
        <v>35</v>
      </c>
      <c r="U129" s="63">
        <v>18</v>
      </c>
      <c r="V129" s="63"/>
      <c r="W129" s="64">
        <v>18</v>
      </c>
    </row>
    <row r="130" spans="1:23" x14ac:dyDescent="0.25">
      <c r="A130" s="41" t="s">
        <v>58</v>
      </c>
      <c r="B130" s="58">
        <f t="shared" si="0"/>
        <v>8</v>
      </c>
      <c r="C130" s="58">
        <v>40</v>
      </c>
      <c r="D130" s="58">
        <f t="shared" si="1"/>
        <v>20</v>
      </c>
      <c r="E130" s="58">
        <f t="shared" si="2"/>
        <v>20</v>
      </c>
      <c r="F130" s="58">
        <f t="shared" si="3"/>
        <v>24</v>
      </c>
      <c r="G130" s="58">
        <f t="shared" si="4"/>
        <v>20</v>
      </c>
      <c r="H130" s="58">
        <f t="shared" si="5"/>
        <v>20</v>
      </c>
      <c r="I130" s="58">
        <f t="shared" si="6"/>
        <v>32</v>
      </c>
      <c r="J130" s="58">
        <f t="shared" si="7"/>
        <v>20</v>
      </c>
      <c r="K130" s="58">
        <f t="shared" si="8"/>
        <v>0</v>
      </c>
      <c r="L130" s="58">
        <f t="shared" si="9"/>
        <v>20</v>
      </c>
      <c r="N130" s="59">
        <v>10</v>
      </c>
      <c r="O130" s="60">
        <v>25</v>
      </c>
      <c r="P130" s="60">
        <v>25</v>
      </c>
      <c r="Q130" s="60">
        <v>30</v>
      </c>
      <c r="R130" s="60">
        <v>25</v>
      </c>
      <c r="S130" s="60">
        <v>25</v>
      </c>
      <c r="T130" s="60">
        <v>40</v>
      </c>
      <c r="U130" s="60">
        <v>25</v>
      </c>
      <c r="V130" s="60"/>
      <c r="W130" s="61">
        <v>25</v>
      </c>
    </row>
    <row r="131" spans="1:23" x14ac:dyDescent="0.25">
      <c r="A131" s="42" t="s">
        <v>59</v>
      </c>
      <c r="B131" s="58">
        <f t="shared" si="0"/>
        <v>8</v>
      </c>
      <c r="C131" s="58">
        <v>60</v>
      </c>
      <c r="D131" s="58">
        <f t="shared" si="1"/>
        <v>20</v>
      </c>
      <c r="E131" s="58">
        <f t="shared" si="2"/>
        <v>20</v>
      </c>
      <c r="F131" s="58">
        <f t="shared" si="3"/>
        <v>32</v>
      </c>
      <c r="G131" s="58">
        <f t="shared" si="4"/>
        <v>20</v>
      </c>
      <c r="H131" s="58">
        <f t="shared" si="5"/>
        <v>20</v>
      </c>
      <c r="I131" s="58">
        <f t="shared" si="6"/>
        <v>36</v>
      </c>
      <c r="J131" s="58">
        <f t="shared" si="7"/>
        <v>24</v>
      </c>
      <c r="K131" s="58">
        <f t="shared" si="8"/>
        <v>0</v>
      </c>
      <c r="L131" s="58">
        <f t="shared" si="9"/>
        <v>20</v>
      </c>
      <c r="N131" s="62">
        <v>10</v>
      </c>
      <c r="O131" s="63">
        <v>25</v>
      </c>
      <c r="P131" s="63">
        <v>25</v>
      </c>
      <c r="Q131" s="63">
        <v>40</v>
      </c>
      <c r="R131" s="63">
        <v>25</v>
      </c>
      <c r="S131" s="63">
        <v>25</v>
      </c>
      <c r="T131" s="63">
        <v>45</v>
      </c>
      <c r="U131" s="63">
        <v>30</v>
      </c>
      <c r="V131" s="63"/>
      <c r="W131" s="64">
        <v>25</v>
      </c>
    </row>
    <row r="132" spans="1:23" x14ac:dyDescent="0.25">
      <c r="A132" s="41" t="s">
        <v>60</v>
      </c>
      <c r="B132" s="58">
        <f t="shared" si="0"/>
        <v>8</v>
      </c>
      <c r="C132" s="58">
        <v>120</v>
      </c>
      <c r="D132" s="58">
        <f t="shared" si="1"/>
        <v>28</v>
      </c>
      <c r="E132" s="58">
        <f t="shared" si="2"/>
        <v>28</v>
      </c>
      <c r="F132" s="58">
        <f t="shared" si="3"/>
        <v>40</v>
      </c>
      <c r="G132" s="58">
        <f t="shared" si="4"/>
        <v>20</v>
      </c>
      <c r="H132" s="58">
        <f t="shared" si="5"/>
        <v>21.6</v>
      </c>
      <c r="I132" s="58">
        <f t="shared" si="6"/>
        <v>36</v>
      </c>
      <c r="J132" s="58">
        <f t="shared" si="7"/>
        <v>32</v>
      </c>
      <c r="K132" s="58">
        <f t="shared" si="8"/>
        <v>0</v>
      </c>
      <c r="L132" s="58">
        <f t="shared" si="9"/>
        <v>28</v>
      </c>
      <c r="N132" s="59">
        <v>10</v>
      </c>
      <c r="O132" s="60">
        <v>35</v>
      </c>
      <c r="P132" s="60">
        <v>35</v>
      </c>
      <c r="Q132" s="60">
        <v>50</v>
      </c>
      <c r="R132" s="60">
        <v>25</v>
      </c>
      <c r="S132" s="60">
        <v>27</v>
      </c>
      <c r="T132" s="60">
        <v>45</v>
      </c>
      <c r="U132" s="60">
        <v>40</v>
      </c>
      <c r="V132" s="60"/>
      <c r="W132" s="61">
        <v>35</v>
      </c>
    </row>
    <row r="133" spans="1:23" x14ac:dyDescent="0.25">
      <c r="A133" s="42" t="s">
        <v>61</v>
      </c>
      <c r="B133" s="58">
        <f t="shared" si="0"/>
        <v>16</v>
      </c>
      <c r="C133" s="58">
        <v>120</v>
      </c>
      <c r="D133" s="58">
        <f t="shared" si="1"/>
        <v>32</v>
      </c>
      <c r="E133" s="58">
        <f t="shared" si="2"/>
        <v>28</v>
      </c>
      <c r="F133" s="58">
        <f t="shared" si="3"/>
        <v>48</v>
      </c>
      <c r="G133" s="58">
        <f t="shared" si="4"/>
        <v>20</v>
      </c>
      <c r="H133" s="58">
        <f t="shared" si="5"/>
        <v>21.6</v>
      </c>
      <c r="I133" s="58">
        <f t="shared" si="6"/>
        <v>44.800000000000004</v>
      </c>
      <c r="J133" s="58">
        <f t="shared" si="7"/>
        <v>0</v>
      </c>
      <c r="K133" s="58">
        <f t="shared" si="8"/>
        <v>0</v>
      </c>
      <c r="L133" s="58">
        <f t="shared" si="9"/>
        <v>32</v>
      </c>
      <c r="N133" s="62">
        <v>20</v>
      </c>
      <c r="O133" s="63">
        <v>40</v>
      </c>
      <c r="P133" s="63">
        <v>35</v>
      </c>
      <c r="Q133" s="63">
        <v>60</v>
      </c>
      <c r="R133" s="63">
        <v>25</v>
      </c>
      <c r="S133" s="63">
        <v>27</v>
      </c>
      <c r="T133" s="63">
        <v>56</v>
      </c>
      <c r="U133" s="63"/>
      <c r="V133" s="63"/>
      <c r="W133" s="64">
        <v>40</v>
      </c>
    </row>
    <row r="134" spans="1:23" x14ac:dyDescent="0.25">
      <c r="A134" s="41" t="s">
        <v>62</v>
      </c>
      <c r="B134" s="58">
        <f t="shared" si="0"/>
        <v>16</v>
      </c>
      <c r="C134" s="58">
        <v>120</v>
      </c>
      <c r="D134" s="58">
        <f t="shared" si="1"/>
        <v>36</v>
      </c>
      <c r="E134" s="58">
        <f t="shared" si="2"/>
        <v>28</v>
      </c>
      <c r="F134" s="58">
        <f>Q134*0.8</f>
        <v>56</v>
      </c>
      <c r="G134" s="58">
        <f t="shared" si="4"/>
        <v>24</v>
      </c>
      <c r="H134" s="58">
        <f t="shared" si="5"/>
        <v>24</v>
      </c>
      <c r="I134" s="58">
        <f t="shared" si="6"/>
        <v>44.800000000000004</v>
      </c>
      <c r="J134" s="58">
        <f t="shared" si="7"/>
        <v>0</v>
      </c>
      <c r="K134" s="58">
        <f t="shared" si="8"/>
        <v>0</v>
      </c>
      <c r="L134" s="58">
        <f t="shared" si="9"/>
        <v>36</v>
      </c>
      <c r="N134" s="59">
        <v>20</v>
      </c>
      <c r="O134" s="60">
        <v>45</v>
      </c>
      <c r="P134" s="60">
        <v>35</v>
      </c>
      <c r="Q134" s="60">
        <v>70</v>
      </c>
      <c r="R134" s="60">
        <v>30</v>
      </c>
      <c r="S134" s="60">
        <v>30</v>
      </c>
      <c r="T134" s="60">
        <v>56</v>
      </c>
      <c r="U134" s="60"/>
      <c r="V134" s="60"/>
      <c r="W134" s="61">
        <v>45</v>
      </c>
    </row>
    <row r="135" spans="1:23" x14ac:dyDescent="0.25">
      <c r="A135" s="42" t="s">
        <v>63</v>
      </c>
      <c r="B135" s="58">
        <f t="shared" si="0"/>
        <v>16</v>
      </c>
      <c r="C135" s="58">
        <v>120</v>
      </c>
      <c r="D135" s="58">
        <f t="shared" si="1"/>
        <v>44</v>
      </c>
      <c r="E135" s="58">
        <f t="shared" si="2"/>
        <v>28</v>
      </c>
      <c r="F135" s="58">
        <f t="shared" si="3"/>
        <v>56</v>
      </c>
      <c r="G135" s="58">
        <f t="shared" si="4"/>
        <v>28</v>
      </c>
      <c r="H135" s="58">
        <f t="shared" si="5"/>
        <v>28</v>
      </c>
      <c r="I135" s="58">
        <f t="shared" si="6"/>
        <v>0</v>
      </c>
      <c r="J135" s="58">
        <f t="shared" si="7"/>
        <v>0</v>
      </c>
      <c r="K135" s="58">
        <f t="shared" si="8"/>
        <v>0</v>
      </c>
      <c r="L135" s="58">
        <f t="shared" si="9"/>
        <v>44</v>
      </c>
      <c r="N135" s="62">
        <v>20</v>
      </c>
      <c r="O135" s="63">
        <v>55</v>
      </c>
      <c r="P135" s="63">
        <v>35</v>
      </c>
      <c r="Q135" s="63">
        <v>70</v>
      </c>
      <c r="R135" s="63">
        <v>35</v>
      </c>
      <c r="S135" s="63">
        <v>35</v>
      </c>
      <c r="T135" s="63"/>
      <c r="U135" s="63"/>
      <c r="V135" s="63"/>
      <c r="W135" s="64">
        <v>55</v>
      </c>
    </row>
    <row r="136" spans="1:23" x14ac:dyDescent="0.25">
      <c r="A136" s="41" t="s">
        <v>64</v>
      </c>
      <c r="B136" s="58">
        <f t="shared" si="0"/>
        <v>16</v>
      </c>
      <c r="C136" s="58">
        <v>120</v>
      </c>
      <c r="D136" s="58">
        <f t="shared" si="1"/>
        <v>44</v>
      </c>
      <c r="E136" s="58">
        <f t="shared" si="2"/>
        <v>28</v>
      </c>
      <c r="F136" s="58">
        <f t="shared" si="3"/>
        <v>56</v>
      </c>
      <c r="G136" s="58">
        <f t="shared" si="4"/>
        <v>32</v>
      </c>
      <c r="H136" s="58">
        <f t="shared" si="5"/>
        <v>30.400000000000002</v>
      </c>
      <c r="I136" s="58">
        <f t="shared" si="6"/>
        <v>0</v>
      </c>
      <c r="J136" s="58">
        <f t="shared" si="7"/>
        <v>0</v>
      </c>
      <c r="K136" s="58">
        <f t="shared" si="8"/>
        <v>0</v>
      </c>
      <c r="L136" s="58">
        <f t="shared" si="9"/>
        <v>44</v>
      </c>
      <c r="N136" s="59">
        <v>20</v>
      </c>
      <c r="O136" s="60">
        <v>55</v>
      </c>
      <c r="P136" s="60">
        <v>35</v>
      </c>
      <c r="Q136" s="60">
        <v>70</v>
      </c>
      <c r="R136" s="60">
        <v>40</v>
      </c>
      <c r="S136" s="60">
        <v>38</v>
      </c>
      <c r="T136" s="60"/>
      <c r="U136" s="60"/>
      <c r="V136" s="60"/>
      <c r="W136" s="61">
        <v>55</v>
      </c>
    </row>
    <row r="137" spans="1:23" x14ac:dyDescent="0.25">
      <c r="A137" s="42" t="s">
        <v>65</v>
      </c>
      <c r="B137" s="58">
        <f t="shared" si="0"/>
        <v>20</v>
      </c>
      <c r="C137" s="58">
        <v>120</v>
      </c>
      <c r="D137" s="58">
        <f t="shared" si="1"/>
        <v>0</v>
      </c>
      <c r="E137" s="58">
        <f t="shared" si="2"/>
        <v>0</v>
      </c>
      <c r="F137" s="58">
        <f t="shared" si="3"/>
        <v>56</v>
      </c>
      <c r="G137" s="58">
        <f t="shared" si="4"/>
        <v>0</v>
      </c>
      <c r="H137" s="58">
        <f t="shared" si="5"/>
        <v>0</v>
      </c>
      <c r="I137" s="58">
        <f t="shared" si="6"/>
        <v>0</v>
      </c>
      <c r="J137" s="58">
        <f t="shared" si="7"/>
        <v>0</v>
      </c>
      <c r="K137" s="58">
        <f t="shared" si="8"/>
        <v>0</v>
      </c>
      <c r="L137" s="58">
        <f t="shared" si="9"/>
        <v>0</v>
      </c>
      <c r="N137" s="62">
        <v>25</v>
      </c>
      <c r="O137" s="63"/>
      <c r="P137" s="63"/>
      <c r="Q137" s="63">
        <v>70</v>
      </c>
      <c r="R137" s="63"/>
      <c r="S137" s="63"/>
      <c r="T137" s="63"/>
      <c r="U137" s="63"/>
      <c r="V137" s="63"/>
      <c r="W137" s="64"/>
    </row>
    <row r="138" spans="1:23" x14ac:dyDescent="0.25">
      <c r="A138" s="41" t="s">
        <v>66</v>
      </c>
      <c r="B138" s="58">
        <f t="shared" si="0"/>
        <v>20</v>
      </c>
      <c r="C138" s="58">
        <v>160</v>
      </c>
      <c r="D138" s="58">
        <f t="shared" si="1"/>
        <v>0</v>
      </c>
      <c r="E138" s="58">
        <f t="shared" si="2"/>
        <v>0</v>
      </c>
      <c r="F138" s="58">
        <f t="shared" si="3"/>
        <v>56</v>
      </c>
      <c r="G138" s="58">
        <f t="shared" si="4"/>
        <v>0</v>
      </c>
      <c r="H138" s="58">
        <f t="shared" si="5"/>
        <v>0</v>
      </c>
      <c r="I138" s="58">
        <f t="shared" si="6"/>
        <v>0</v>
      </c>
      <c r="J138" s="58">
        <f t="shared" si="7"/>
        <v>0</v>
      </c>
      <c r="K138" s="58">
        <f t="shared" si="8"/>
        <v>0</v>
      </c>
      <c r="L138" s="58">
        <f t="shared" si="9"/>
        <v>0</v>
      </c>
      <c r="N138" s="59">
        <v>25</v>
      </c>
      <c r="O138" s="60"/>
      <c r="P138" s="60"/>
      <c r="Q138" s="60">
        <v>70</v>
      </c>
      <c r="R138" s="60"/>
      <c r="S138" s="60"/>
      <c r="T138" s="60"/>
      <c r="U138" s="60"/>
      <c r="V138" s="60"/>
      <c r="W138" s="61"/>
    </row>
    <row r="139" spans="1:23" x14ac:dyDescent="0.25">
      <c r="A139" s="42" t="s">
        <v>67</v>
      </c>
      <c r="B139" s="58">
        <f t="shared" si="0"/>
        <v>40</v>
      </c>
      <c r="C139" s="58">
        <v>160</v>
      </c>
      <c r="D139" s="58">
        <f t="shared" si="1"/>
        <v>0</v>
      </c>
      <c r="E139" s="58">
        <f t="shared" si="2"/>
        <v>0</v>
      </c>
      <c r="F139" s="58">
        <f t="shared" si="3"/>
        <v>56</v>
      </c>
      <c r="G139" s="58">
        <f t="shared" si="4"/>
        <v>0</v>
      </c>
      <c r="H139" s="58">
        <f t="shared" si="5"/>
        <v>0</v>
      </c>
      <c r="I139" s="58">
        <f t="shared" si="6"/>
        <v>0</v>
      </c>
      <c r="J139" s="58">
        <f t="shared" si="7"/>
        <v>0</v>
      </c>
      <c r="K139" s="58">
        <f t="shared" si="8"/>
        <v>0</v>
      </c>
      <c r="L139" s="58">
        <f t="shared" si="9"/>
        <v>0</v>
      </c>
      <c r="N139" s="62">
        <v>50</v>
      </c>
      <c r="O139" s="63"/>
      <c r="P139" s="63"/>
      <c r="Q139" s="63">
        <v>70</v>
      </c>
      <c r="R139" s="63"/>
      <c r="S139" s="63"/>
      <c r="T139" s="63"/>
      <c r="U139" s="63"/>
      <c r="V139" s="63"/>
      <c r="W139" s="64"/>
    </row>
    <row r="140" spans="1:23" x14ac:dyDescent="0.25">
      <c r="A140" s="41" t="s">
        <v>68</v>
      </c>
      <c r="B140" s="58">
        <f t="shared" si="0"/>
        <v>40</v>
      </c>
      <c r="C140" s="58">
        <v>160</v>
      </c>
      <c r="D140" s="58">
        <f t="shared" si="1"/>
        <v>0</v>
      </c>
      <c r="E140" s="58">
        <f t="shared" si="2"/>
        <v>0</v>
      </c>
      <c r="F140" s="58">
        <f t="shared" si="3"/>
        <v>56</v>
      </c>
      <c r="G140" s="58">
        <f t="shared" si="4"/>
        <v>0</v>
      </c>
      <c r="H140" s="58">
        <f t="shared" si="5"/>
        <v>0</v>
      </c>
      <c r="I140" s="58">
        <f t="shared" si="6"/>
        <v>0</v>
      </c>
      <c r="J140" s="58">
        <f t="shared" si="7"/>
        <v>0</v>
      </c>
      <c r="K140" s="58">
        <f t="shared" si="8"/>
        <v>0</v>
      </c>
      <c r="L140" s="58">
        <f t="shared" si="9"/>
        <v>0</v>
      </c>
      <c r="N140" s="59">
        <v>50</v>
      </c>
      <c r="O140" s="60"/>
      <c r="P140" s="60"/>
      <c r="Q140" s="60">
        <v>70</v>
      </c>
      <c r="R140" s="60"/>
      <c r="S140" s="60"/>
      <c r="T140" s="60"/>
      <c r="U140" s="60"/>
      <c r="V140" s="60"/>
      <c r="W140" s="61"/>
    </row>
    <row r="141" spans="1:23" x14ac:dyDescent="0.25">
      <c r="A141" s="42" t="s">
        <v>69</v>
      </c>
      <c r="B141" s="58">
        <f t="shared" si="0"/>
        <v>40</v>
      </c>
      <c r="C141" s="58">
        <v>160</v>
      </c>
      <c r="D141" s="58">
        <f t="shared" si="1"/>
        <v>0</v>
      </c>
      <c r="E141" s="58">
        <f t="shared" si="2"/>
        <v>0</v>
      </c>
      <c r="F141" s="58">
        <f t="shared" si="3"/>
        <v>56</v>
      </c>
      <c r="G141" s="58">
        <f t="shared" si="4"/>
        <v>0</v>
      </c>
      <c r="H141" s="58">
        <f t="shared" si="5"/>
        <v>0</v>
      </c>
      <c r="I141" s="58">
        <f t="shared" si="6"/>
        <v>0</v>
      </c>
      <c r="J141" s="58">
        <f t="shared" si="7"/>
        <v>0</v>
      </c>
      <c r="K141" s="58">
        <f t="shared" si="8"/>
        <v>0</v>
      </c>
      <c r="L141" s="58">
        <f t="shared" si="9"/>
        <v>0</v>
      </c>
      <c r="N141" s="62">
        <v>50</v>
      </c>
      <c r="O141" s="63"/>
      <c r="P141" s="63"/>
      <c r="Q141" s="63">
        <v>70</v>
      </c>
      <c r="R141" s="63"/>
      <c r="S141" s="63"/>
      <c r="T141" s="63"/>
      <c r="U141" s="63"/>
      <c r="V141" s="63"/>
      <c r="W141" s="64"/>
    </row>
    <row r="142" spans="1:23" x14ac:dyDescent="0.25">
      <c r="A142" s="41" t="s">
        <v>70</v>
      </c>
      <c r="B142" s="58">
        <f t="shared" si="0"/>
        <v>40</v>
      </c>
      <c r="C142" s="58">
        <v>160</v>
      </c>
      <c r="D142" s="58">
        <f t="shared" si="1"/>
        <v>0</v>
      </c>
      <c r="E142" s="58">
        <f t="shared" si="2"/>
        <v>0</v>
      </c>
      <c r="F142" s="58">
        <f t="shared" si="3"/>
        <v>56</v>
      </c>
      <c r="G142" s="58">
        <f t="shared" si="4"/>
        <v>0</v>
      </c>
      <c r="H142" s="58">
        <f t="shared" si="5"/>
        <v>0</v>
      </c>
      <c r="I142" s="58">
        <f t="shared" si="6"/>
        <v>0</v>
      </c>
      <c r="J142" s="58">
        <f t="shared" si="7"/>
        <v>0</v>
      </c>
      <c r="K142" s="58">
        <f t="shared" si="8"/>
        <v>0</v>
      </c>
      <c r="L142" s="58">
        <f t="shared" si="9"/>
        <v>0</v>
      </c>
      <c r="N142" s="59">
        <v>50</v>
      </c>
      <c r="O142" s="60"/>
      <c r="P142" s="60"/>
      <c r="Q142" s="60">
        <v>70</v>
      </c>
      <c r="R142" s="60"/>
      <c r="S142" s="60"/>
      <c r="T142" s="60"/>
      <c r="U142" s="60"/>
      <c r="V142" s="60"/>
      <c r="W142" s="61"/>
    </row>
    <row r="143" spans="1:23" x14ac:dyDescent="0.25">
      <c r="A143" s="42" t="s">
        <v>71</v>
      </c>
      <c r="B143" s="58">
        <f t="shared" si="0"/>
        <v>40</v>
      </c>
      <c r="C143" s="58"/>
      <c r="D143" s="58">
        <f t="shared" si="1"/>
        <v>0</v>
      </c>
      <c r="E143" s="58">
        <f t="shared" si="2"/>
        <v>0</v>
      </c>
      <c r="F143" s="58">
        <f t="shared" si="3"/>
        <v>56</v>
      </c>
      <c r="G143" s="58">
        <f t="shared" si="4"/>
        <v>0</v>
      </c>
      <c r="H143" s="58">
        <f t="shared" si="5"/>
        <v>0</v>
      </c>
      <c r="I143" s="58">
        <f t="shared" si="6"/>
        <v>0</v>
      </c>
      <c r="J143" s="58">
        <f t="shared" si="7"/>
        <v>0</v>
      </c>
      <c r="K143" s="58">
        <f t="shared" si="8"/>
        <v>0</v>
      </c>
      <c r="L143" s="58">
        <f t="shared" si="9"/>
        <v>0</v>
      </c>
      <c r="N143" s="62">
        <v>50</v>
      </c>
      <c r="O143" s="63"/>
      <c r="P143" s="63"/>
      <c r="Q143" s="63">
        <v>70</v>
      </c>
      <c r="R143" s="63"/>
      <c r="S143" s="63"/>
      <c r="T143" s="63"/>
      <c r="U143" s="63"/>
      <c r="V143" s="63"/>
      <c r="W143" s="64"/>
    </row>
    <row r="144" spans="1:23" x14ac:dyDescent="0.25">
      <c r="A144" s="41" t="s">
        <v>72</v>
      </c>
      <c r="B144" s="58">
        <f t="shared" si="0"/>
        <v>120</v>
      </c>
      <c r="C144" s="58"/>
      <c r="D144" s="58">
        <f t="shared" si="1"/>
        <v>0</v>
      </c>
      <c r="E144" s="58">
        <f t="shared" si="2"/>
        <v>0</v>
      </c>
      <c r="F144" s="58">
        <f t="shared" si="3"/>
        <v>56</v>
      </c>
      <c r="G144" s="58">
        <f t="shared" si="4"/>
        <v>0</v>
      </c>
      <c r="H144" s="58">
        <f t="shared" si="5"/>
        <v>0</v>
      </c>
      <c r="I144" s="58">
        <f t="shared" si="6"/>
        <v>0</v>
      </c>
      <c r="J144" s="58">
        <f t="shared" si="7"/>
        <v>0</v>
      </c>
      <c r="K144" s="58">
        <f t="shared" si="8"/>
        <v>0</v>
      </c>
      <c r="L144" s="58">
        <f t="shared" si="9"/>
        <v>0</v>
      </c>
      <c r="N144" s="59">
        <v>150</v>
      </c>
      <c r="O144" s="60"/>
      <c r="P144" s="60"/>
      <c r="Q144" s="60">
        <v>70</v>
      </c>
      <c r="R144" s="60"/>
      <c r="S144" s="60"/>
      <c r="T144" s="60"/>
      <c r="U144" s="60"/>
      <c r="V144" s="60"/>
      <c r="W144" s="61"/>
    </row>
    <row r="145" spans="1:23" x14ac:dyDescent="0.25">
      <c r="A145" s="42" t="s">
        <v>73</v>
      </c>
      <c r="B145" s="58">
        <f t="shared" si="0"/>
        <v>120</v>
      </c>
      <c r="C145" s="58"/>
      <c r="D145" s="58">
        <f t="shared" si="1"/>
        <v>0</v>
      </c>
      <c r="E145" s="58">
        <f t="shared" si="2"/>
        <v>0</v>
      </c>
      <c r="F145" s="58">
        <f t="shared" si="3"/>
        <v>56</v>
      </c>
      <c r="G145" s="58">
        <f t="shared" si="4"/>
        <v>0</v>
      </c>
      <c r="H145" s="58">
        <f t="shared" si="5"/>
        <v>0</v>
      </c>
      <c r="I145" s="58">
        <f t="shared" si="6"/>
        <v>0</v>
      </c>
      <c r="J145" s="58">
        <f t="shared" si="7"/>
        <v>0</v>
      </c>
      <c r="K145" s="58">
        <f t="shared" si="8"/>
        <v>0</v>
      </c>
      <c r="L145" s="58">
        <f t="shared" si="9"/>
        <v>0</v>
      </c>
      <c r="N145" s="62">
        <v>150</v>
      </c>
      <c r="O145" s="63"/>
      <c r="P145" s="63"/>
      <c r="Q145" s="63">
        <v>70</v>
      </c>
      <c r="R145" s="63"/>
      <c r="S145" s="63"/>
      <c r="T145" s="63"/>
      <c r="U145" s="63"/>
      <c r="V145" s="63"/>
      <c r="W145" s="64"/>
    </row>
    <row r="146" spans="1:23" x14ac:dyDescent="0.25">
      <c r="A146" s="41" t="s">
        <v>74</v>
      </c>
      <c r="B146" s="58">
        <f t="shared" si="0"/>
        <v>160</v>
      </c>
      <c r="C146" s="58"/>
      <c r="D146" s="58">
        <f t="shared" si="1"/>
        <v>0</v>
      </c>
      <c r="E146" s="58">
        <f t="shared" si="2"/>
        <v>0</v>
      </c>
      <c r="F146" s="58">
        <f t="shared" si="3"/>
        <v>56</v>
      </c>
      <c r="G146" s="58">
        <f t="shared" si="4"/>
        <v>0</v>
      </c>
      <c r="H146" s="58">
        <f t="shared" si="5"/>
        <v>0</v>
      </c>
      <c r="I146" s="58">
        <f t="shared" si="6"/>
        <v>0</v>
      </c>
      <c r="J146" s="58">
        <f t="shared" si="7"/>
        <v>0</v>
      </c>
      <c r="K146" s="58">
        <f t="shared" si="8"/>
        <v>0</v>
      </c>
      <c r="L146" s="58">
        <f t="shared" si="9"/>
        <v>0</v>
      </c>
      <c r="N146" s="59">
        <v>200</v>
      </c>
      <c r="O146" s="60"/>
      <c r="P146" s="60"/>
      <c r="Q146" s="60">
        <v>70</v>
      </c>
      <c r="R146" s="60"/>
      <c r="S146" s="60"/>
      <c r="T146" s="60"/>
      <c r="U146" s="60"/>
      <c r="V146" s="60"/>
      <c r="W146" s="61"/>
    </row>
    <row r="147" spans="1:23" x14ac:dyDescent="0.25">
      <c r="A147" s="42" t="s">
        <v>75</v>
      </c>
      <c r="B147" s="58">
        <f t="shared" si="0"/>
        <v>160</v>
      </c>
      <c r="C147" s="58"/>
      <c r="D147" s="58">
        <f t="shared" si="1"/>
        <v>0</v>
      </c>
      <c r="E147" s="58">
        <f t="shared" si="2"/>
        <v>0</v>
      </c>
      <c r="F147" s="58">
        <f t="shared" si="3"/>
        <v>56</v>
      </c>
      <c r="G147" s="58">
        <f t="shared" si="4"/>
        <v>0</v>
      </c>
      <c r="H147" s="58">
        <f t="shared" si="5"/>
        <v>0</v>
      </c>
      <c r="I147" s="58">
        <f t="shared" si="6"/>
        <v>0</v>
      </c>
      <c r="J147" s="58">
        <f t="shared" si="7"/>
        <v>0</v>
      </c>
      <c r="K147" s="58">
        <f t="shared" si="8"/>
        <v>0</v>
      </c>
      <c r="L147" s="58">
        <f t="shared" si="9"/>
        <v>0</v>
      </c>
      <c r="N147" s="62">
        <v>200</v>
      </c>
      <c r="O147" s="63"/>
      <c r="P147" s="63"/>
      <c r="Q147" s="63">
        <v>70</v>
      </c>
      <c r="R147" s="63"/>
      <c r="S147" s="63"/>
      <c r="T147" s="63"/>
      <c r="U147" s="63"/>
      <c r="V147" s="63"/>
      <c r="W147" s="64"/>
    </row>
    <row r="148" spans="1:23" x14ac:dyDescent="0.25">
      <c r="A148" s="41" t="s">
        <v>76</v>
      </c>
      <c r="B148" s="58">
        <f t="shared" si="0"/>
        <v>160</v>
      </c>
      <c r="C148" s="58"/>
      <c r="D148" s="58">
        <f t="shared" si="1"/>
        <v>0</v>
      </c>
      <c r="E148" s="58">
        <f t="shared" si="2"/>
        <v>0</v>
      </c>
      <c r="F148" s="58">
        <f t="shared" si="3"/>
        <v>56</v>
      </c>
      <c r="G148" s="58">
        <f t="shared" si="4"/>
        <v>0</v>
      </c>
      <c r="H148" s="58">
        <f t="shared" si="5"/>
        <v>0</v>
      </c>
      <c r="I148" s="58">
        <f t="shared" si="6"/>
        <v>0</v>
      </c>
      <c r="J148" s="58">
        <f t="shared" si="7"/>
        <v>0</v>
      </c>
      <c r="K148" s="58">
        <f t="shared" si="8"/>
        <v>0</v>
      </c>
      <c r="L148" s="58">
        <f t="shared" si="9"/>
        <v>0</v>
      </c>
      <c r="N148" s="59">
        <v>200</v>
      </c>
      <c r="O148" s="60"/>
      <c r="P148" s="60"/>
      <c r="Q148" s="60">
        <v>70</v>
      </c>
      <c r="R148" s="60"/>
      <c r="S148" s="60"/>
      <c r="T148" s="60"/>
      <c r="U148" s="60"/>
      <c r="V148" s="60"/>
      <c r="W148" s="61"/>
    </row>
  </sheetData>
  <mergeCells count="4">
    <mergeCell ref="B124:K124"/>
    <mergeCell ref="M124:V124"/>
    <mergeCell ref="F30:H30"/>
    <mergeCell ref="J30:L30"/>
  </mergeCells>
  <pageMargins left="0.7" right="0.7" top="0.75" bottom="0.75" header="0.3" footer="0.3"/>
  <pageSetup paperSize="9" scale="24" orientation="portrait" r:id="rId1"/>
  <colBreaks count="1" manualBreakCount="1">
    <brk id="23" max="165" man="1"/>
  </colBreaks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10</vt:i4>
      </vt:variant>
    </vt:vector>
  </HeadingPairs>
  <TitlesOfParts>
    <vt:vector size="14" baseType="lpstr">
      <vt:lpstr>Peuplier</vt:lpstr>
      <vt:lpstr>1-REA</vt:lpstr>
      <vt:lpstr>VAN </vt:lpstr>
      <vt:lpstr>Inputs</vt:lpstr>
      <vt:lpstr>CF</vt:lpstr>
      <vt:lpstr>ESS</vt:lpstr>
      <vt:lpstr>Rab</vt:lpstr>
      <vt:lpstr>SMLT</vt:lpstr>
      <vt:lpstr>TPR</vt:lpstr>
      <vt:lpstr>Vbi</vt:lpstr>
      <vt:lpstr>Vt</vt:lpstr>
      <vt:lpstr>'1-REA'!Zone_d_impression</vt:lpstr>
      <vt:lpstr>Inputs!Zone_d_impression</vt:lpstr>
      <vt:lpstr>'VAN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Lopez</dc:creator>
  <cp:lastModifiedBy>manon Lopez</cp:lastModifiedBy>
  <cp:lastPrinted>2020-10-08T12:42:10Z</cp:lastPrinted>
  <dcterms:created xsi:type="dcterms:W3CDTF">2019-10-04T15:03:08Z</dcterms:created>
  <dcterms:modified xsi:type="dcterms:W3CDTF">2020-12-21T17:42:58Z</dcterms:modified>
</cp:coreProperties>
</file>