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AVIVE SAS\Missions\Contadour\Label Bas-Carbone\Dossiers LBC\LBC Tranche 1\MTE_LBC Tranche 1\Dossier LBC Tranche1\Transmission MTE\Pièces complémentaires\"/>
    </mc:Choice>
  </mc:AlternateContent>
  <xr:revisionPtr revIDLastSave="0" documentId="13_ncr:1_{7980D8B2-7844-492E-9A77-EC568CFA7CE4}" xr6:coauthVersionLast="47" xr6:coauthVersionMax="47" xr10:uidLastSave="{00000000-0000-0000-0000-000000000000}"/>
  <bookViews>
    <workbookView xWindow="-120" yWindow="-120" windowWidth="20730" windowHeight="1116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7" i="1" l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70" i="1"/>
  <c r="B69" i="1"/>
  <c r="B68" i="1"/>
  <c r="B67" i="1"/>
  <c r="B66" i="1"/>
  <c r="B65" i="1"/>
  <c r="B64" i="1"/>
  <c r="B62" i="1"/>
  <c r="B63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R4" i="2"/>
  <c r="FQ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EB10" i="2"/>
  <c r="FS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HH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EW20" i="2"/>
  <c r="EC20" i="2"/>
  <c r="FS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HG33" i="2"/>
  <c r="EW33" i="2"/>
  <c r="HH33" i="2"/>
  <c r="EA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C85" i="2"/>
  <c r="HH85" i="2"/>
  <c r="EV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FQ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EC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HI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W124" i="2"/>
  <c r="HH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G130" i="2"/>
  <c r="HI130" i="2"/>
  <c r="EW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HH144" i="2"/>
  <c r="EX144" i="2"/>
  <c r="HG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EA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HG155" i="2"/>
  <c r="AC154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G156" i="2" l="1"/>
  <c r="DH156" i="2"/>
  <c r="HH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EA157" i="2"/>
  <c r="EX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EY159" i="2"/>
  <c r="FS160" i="2"/>
  <c r="HI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HH161" i="2"/>
  <c r="EB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G163" i="2" l="1"/>
  <c r="EV163" i="2"/>
  <c r="EB163" i="2"/>
  <c r="EA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G164" i="2"/>
  <c r="EA164" i="2"/>
  <c r="EX164" i="2"/>
  <c r="EV164" i="2"/>
  <c r="DI163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HH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A167" i="2"/>
  <c r="HH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H168" i="2"/>
  <c r="HI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A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A178" i="2"/>
  <c r="EW178" i="2"/>
  <c r="FQ178" i="2"/>
  <c r="HH178" i="2"/>
  <c r="HG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A179" i="2"/>
  <c r="EV179" i="2"/>
  <c r="HG179" i="2"/>
  <c r="HI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G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HG186" i="2"/>
  <c r="HH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W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B192" i="2"/>
  <c r="EW192" i="2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EA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HI195" i="2"/>
  <c r="AA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EW197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FS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DI200" i="2"/>
  <c r="EA201" i="2" l="1"/>
  <c r="EB201" i="2"/>
  <c r="HH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99" i="2" a="1"/>
  <c r="AH199" i="2" s="1"/>
  <c r="AH166" i="2" a="1"/>
  <c r="AH166" i="2" s="1"/>
  <c r="AH19" i="2" a="1"/>
  <c r="AH19" i="2" s="1"/>
  <c r="AH92" i="2" a="1"/>
  <c r="AH92" i="2" s="1"/>
  <c r="AH90" i="2" a="1"/>
  <c r="AH90" i="2" s="1"/>
  <c r="AH163" i="2" a="1"/>
  <c r="AH163" i="2" s="1"/>
  <c r="BC82" i="2" a="1"/>
  <c r="BC82" i="2" s="1"/>
  <c r="BC83" i="2" a="1"/>
  <c r="BC83" i="2" s="1"/>
  <c r="BC164" i="2" a="1"/>
  <c r="BC164" i="2" s="1"/>
  <c r="BC151" i="2" a="1"/>
  <c r="BC151" i="2" s="1"/>
  <c r="BC192" i="2" a="1"/>
  <c r="BC192" i="2" s="1"/>
  <c r="BC47" i="2" a="1"/>
  <c r="BC47" i="2" s="1"/>
  <c r="BC7" i="2" a="1"/>
  <c r="BC7" i="2" s="1"/>
  <c r="BD7" i="2" s="1"/>
  <c r="BC55" i="2" a="1"/>
  <c r="BC55" i="2" s="1"/>
  <c r="BC68" i="2" a="1"/>
  <c r="BC68" i="2" s="1"/>
  <c r="HG203" i="2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FR203" i="2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64" i="2" l="1"/>
  <c r="BI5" i="2"/>
  <c r="BI201" i="2"/>
  <c r="BI37" i="2"/>
  <c r="BI95" i="2"/>
  <c r="BI67" i="2"/>
  <c r="BI127" i="2"/>
  <c r="BI47" i="2"/>
  <c r="BI76" i="2"/>
  <c r="BI90" i="2"/>
  <c r="BI13" i="2"/>
  <c r="BI20" i="2"/>
  <c r="BI42" i="2"/>
  <c r="BI165" i="2"/>
  <c r="BI148" i="2"/>
  <c r="BI69" i="2"/>
  <c r="BI176" i="2"/>
  <c r="BI114" i="2"/>
  <c r="BI171" i="2"/>
  <c r="BI125" i="2"/>
  <c r="BI35" i="2"/>
  <c r="BI112" i="2"/>
  <c r="BI40" i="2"/>
  <c r="BI104" i="2"/>
  <c r="BI11" i="2"/>
  <c r="BI178" i="2"/>
  <c r="BI94" i="2"/>
  <c r="BI121" i="2"/>
  <c r="BI98" i="2"/>
  <c r="BI4" i="2"/>
  <c r="BI186" i="2"/>
  <c r="BI93" i="2"/>
  <c r="BI133" i="2"/>
  <c r="BI79" i="2"/>
  <c r="BI8" i="2"/>
  <c r="BI193" i="2"/>
  <c r="BI52" i="2"/>
  <c r="BI9" i="2"/>
  <c r="BI146" i="2"/>
  <c r="BI153" i="2"/>
  <c r="BI123" i="2"/>
  <c r="BI120" i="2"/>
  <c r="BI34" i="2"/>
  <c r="BI29" i="2"/>
  <c r="BI130" i="2"/>
  <c r="BI72" i="2"/>
  <c r="BI113" i="2"/>
  <c r="BI166" i="2"/>
  <c r="BI97" i="2"/>
  <c r="BI111" i="2"/>
  <c r="BI167" i="2"/>
  <c r="BI179" i="2"/>
  <c r="BI78" i="2"/>
  <c r="BI124" i="2"/>
  <c r="BI58" i="2"/>
  <c r="BI66" i="2"/>
  <c r="BI142" i="2"/>
  <c r="BI86" i="2"/>
  <c r="BI169" i="2"/>
  <c r="BI85" i="2"/>
  <c r="BI202" i="2"/>
  <c r="BI158" i="2"/>
  <c r="BI27" i="2"/>
  <c r="BI136" i="2"/>
  <c r="BI30" i="2"/>
  <c r="BI19" i="2"/>
  <c r="BI155" i="2"/>
  <c r="BI116" i="2"/>
  <c r="BI77" i="2"/>
  <c r="BI92" i="2"/>
  <c r="BI144" i="2"/>
  <c r="BI38" i="2"/>
  <c r="BI6" i="2"/>
  <c r="BI173" i="2"/>
  <c r="BI147" i="2"/>
  <c r="BI31" i="2"/>
  <c r="BI50" i="2"/>
  <c r="BI25" i="2"/>
  <c r="BI53" i="2"/>
  <c r="BI194" i="2"/>
  <c r="BI39" i="2"/>
  <c r="BI24" i="2"/>
  <c r="BI74" i="2"/>
  <c r="BI61" i="2"/>
  <c r="BI62" i="2"/>
  <c r="BI141" i="2"/>
  <c r="BI101" i="2"/>
  <c r="BI63" i="2"/>
  <c r="BI163" i="2"/>
  <c r="BI196" i="2"/>
  <c r="BI15" i="2"/>
  <c r="BI156" i="2"/>
  <c r="BI159" i="2"/>
  <c r="BI119" i="2"/>
  <c r="BI168" i="2"/>
  <c r="BI164" i="2"/>
  <c r="BI41" i="2"/>
  <c r="BI36" i="2"/>
  <c r="BI135" i="2"/>
  <c r="BI128" i="2"/>
  <c r="BI80" i="2"/>
  <c r="BI177" i="2"/>
  <c r="BI48" i="2"/>
  <c r="BI107" i="2"/>
  <c r="BI3" i="2"/>
  <c r="C8" i="4" s="1"/>
  <c r="E8" i="4" s="1"/>
  <c r="F8" i="4" s="1"/>
  <c r="G8" i="4" s="1"/>
  <c r="L8" i="4" s="1"/>
  <c r="BI44" i="2"/>
  <c r="BI14" i="2"/>
  <c r="BI26" i="2"/>
  <c r="BI126" i="2"/>
  <c r="BI161" i="2"/>
  <c r="BI56" i="2"/>
  <c r="BI82" i="2"/>
  <c r="BI118" i="2"/>
  <c r="BI129" i="2"/>
  <c r="BI45" i="2"/>
  <c r="BI49" i="2"/>
  <c r="BI22" i="2"/>
  <c r="BI59" i="2"/>
  <c r="BI162" i="2"/>
  <c r="BI170" i="2"/>
  <c r="BI187" i="2"/>
  <c r="BI71" i="2"/>
  <c r="BI191" i="2"/>
  <c r="BI68" i="2"/>
  <c r="BI7" i="2"/>
  <c r="BI87" i="2"/>
  <c r="BI192" i="2"/>
  <c r="BI199" i="2"/>
  <c r="BI60" i="2"/>
  <c r="BI140" i="2"/>
  <c r="BI89" i="2"/>
  <c r="BI46" i="2"/>
  <c r="BI100" i="2"/>
  <c r="BI57" i="2"/>
  <c r="BI73" i="2"/>
  <c r="BI32" i="2"/>
  <c r="BI175" i="2"/>
  <c r="BI172" i="2"/>
  <c r="BI105" i="2"/>
  <c r="BI106" i="2"/>
  <c r="BI184" i="2"/>
  <c r="BI16" i="2"/>
  <c r="BI160" i="2"/>
  <c r="BI55" i="2"/>
  <c r="BI143" i="2"/>
  <c r="BI197" i="2"/>
  <c r="BI96" i="2"/>
  <c r="BI70" i="2"/>
  <c r="BI180" i="2"/>
  <c r="BI84" i="2"/>
  <c r="BI109" i="2"/>
  <c r="BI43" i="2"/>
  <c r="BI149" i="2"/>
  <c r="BI139" i="2"/>
  <c r="BI54" i="2"/>
  <c r="BI151" i="2"/>
  <c r="BI33" i="2"/>
  <c r="BI200" i="2"/>
  <c r="BI182" i="2"/>
  <c r="BI10" i="2"/>
  <c r="BI88" i="2"/>
  <c r="BI137" i="2"/>
  <c r="BI12" i="2"/>
  <c r="BI117" i="2"/>
  <c r="BI108" i="2"/>
  <c r="BI18" i="2"/>
  <c r="BI198" i="2"/>
  <c r="BI75" i="2"/>
  <c r="BI190" i="2"/>
  <c r="BI150" i="2"/>
  <c r="BI181" i="2"/>
  <c r="BI154" i="2"/>
  <c r="BI115" i="2"/>
  <c r="BI65" i="2"/>
  <c r="BI110" i="2"/>
  <c r="BI132" i="2"/>
  <c r="BI189" i="2"/>
  <c r="BI83" i="2"/>
  <c r="BI21" i="2"/>
  <c r="BI102" i="2"/>
  <c r="BI188" i="2"/>
  <c r="BI99" i="2"/>
  <c r="BI103" i="2"/>
  <c r="BI183" i="2"/>
  <c r="BI134" i="2"/>
  <c r="BI157" i="2"/>
  <c r="BI203" i="2"/>
  <c r="BI23" i="2"/>
  <c r="BI138" i="2"/>
  <c r="BI145" i="2"/>
  <c r="BI17" i="2"/>
  <c r="BI131" i="2"/>
  <c r="BI195" i="2"/>
  <c r="BI28" i="2"/>
  <c r="BI91" i="2"/>
  <c r="BI185" i="2"/>
  <c r="BI81" i="2"/>
  <c r="BI51" i="2"/>
  <c r="BI122" i="2"/>
  <c r="BI152" i="2"/>
  <c r="BI174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<sst xmlns="http://schemas.openxmlformats.org/spreadsheetml/2006/main" count="1175" uniqueCount="327">
  <si>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</si>
  <si>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</si>
  <si>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</si>
  <si>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</si>
  <si>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</si>
  <si>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</si>
  <si>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</si>
  <si>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</si>
  <si>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</si>
  <si>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</si>
  <si>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</si>
  <si>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</si>
  <si>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</si>
  <si>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</si>
  <si>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</si>
  <si>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</si>
  <si>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</si>
  <si>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</si>
  <si>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</si>
  <si>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</si>
  <si>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</si>
  <si>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</si>
  <si>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</si>
  <si>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</si>
  <si>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</si>
  <si>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</si>
  <si>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</si>
  <si>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</si>
  <si>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</si>
  <si>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</si>
  <si>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</si>
  <si>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</si>
  <si>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</si>
  <si>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</si>
  <si>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</si>
  <si>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</si>
  <si>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</si>
  <si>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</si>
  <si>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</si>
  <si>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</si>
  <si>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</si>
  <si>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</si>
  <si>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</si>
  <si>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</si>
  <si>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</si>
  <si>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</si>
  <si>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</si>
  <si>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</si>
  <si>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</si>
  <si>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</si>
  <si>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</si>
  <si>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</si>
  <si>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</si>
  <si>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</si>
  <si>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</si>
  <si>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</si>
  <si>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</si>
  <si>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</si>
  <si>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</si>
  <si>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</si>
  <si>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</si>
  <si>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</si>
  <si>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</si>
  <si>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</si>
  <si>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</si>
  <si>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</si>
  <si>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</si>
  <si>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</si>
  <si>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</si>
  <si>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</si>
  <si>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</si>
  <si>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</si>
  <si>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</si>
  <si>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</si>
  <si>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</si>
  <si>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</si>
  <si>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</si>
  <si>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</si>
  <si>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</si>
  <si>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</si>
  <si>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</si>
  <si>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</si>
  <si>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</si>
  <si>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</si>
  <si>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</si>
  <si>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</si>
  <si>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</si>
  <si>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</si>
  <si>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</si>
  <si>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</si>
  <si>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</si>
  <si>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</si>
  <si>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</si>
  <si>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</si>
  <si>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</si>
  <si>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</si>
  <si>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</si>
  <si>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</si>
  <si>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</si>
  <si>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</si>
  <si>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</si>
  <si>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</si>
  <si>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</si>
  <si>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</si>
  <si>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</si>
  <si>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</si>
  <si>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</si>
  <si>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</si>
  <si>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</si>
  <si>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</si>
  <si>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</si>
  <si>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</si>
  <si>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</si>
  <si>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</si>
  <si>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</si>
  <si>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</si>
  <si>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</si>
  <si>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</si>
  <si>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</si>
  <si>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</si>
  <si>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</si>
  <si>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</si>
  <si>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</si>
  <si>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</si>
  <si>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</si>
  <si>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</si>
  <si>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</si>
  <si>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</si>
  <si>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</si>
  <si>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</si>
  <si>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</si>
  <si>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</si>
  <si>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</si>
  <si>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</si>
  <si>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</si>
  <si>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</si>
  <si>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</si>
  <si>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</si>
  <si>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</si>
  <si>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</si>
  <si>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</si>
  <si>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</si>
  <si>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</si>
  <si>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</si>
  <si>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</si>
  <si>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</si>
  <si>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</si>
  <si>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</si>
  <si>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</si>
  <si>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</si>
  <si>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</si>
  <si>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</si>
  <si>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</si>
  <si>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</si>
  <si>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</si>
  <si>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</si>
  <si>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</si>
  <si>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</si>
  <si>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</si>
  <si>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</si>
  <si>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</si>
  <si>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</si>
  <si>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</si>
  <si>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</si>
  <si>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</si>
  <si>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</si>
  <si>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</si>
  <si>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</si>
  <si>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</si>
  <si>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</si>
  <si>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</si>
  <si>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</si>
  <si>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</si>
  <si>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</si>
  <si>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</si>
  <si>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</si>
  <si>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</si>
  <si>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</si>
  <si>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</si>
  <si>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</si>
  <si>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</si>
  <si>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</si>
  <si>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</si>
  <si>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</si>
  <si>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</si>
  <si>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</si>
  <si>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</si>
  <si>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</si>
  <si>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</si>
  <si>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</si>
  <si>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</si>
  <si>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</si>
  <si>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</si>
  <si>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</si>
  <si>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</si>
  <si>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</si>
  <si>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</si>
  <si>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</si>
  <si>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</si>
  <si>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</si>
  <si>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</si>
  <si>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</si>
  <si>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</si>
  <si>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</si>
  <si>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</si>
  <si>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</si>
  <si>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</si>
  <si>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</si>
  <si>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</si>
  <si>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</si>
  <si>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</si>
  <si>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</si>
  <si>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</si>
  <si>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</si>
  <si>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</si>
  <si>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</si>
  <si>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</si>
  <si>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</si>
  <si>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</si>
  <si>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</si>
  <si>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</si>
  <si>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</si>
  <si>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</si>
  <si>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</si>
  <si>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</si>
  <si>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</si>
  <si>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</si>
  <si>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</si>
  <si>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</si>
  <si>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</si>
  <si>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</si>
  <si>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</si>
  <si>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</si>
  <si>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</si>
  <si>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</si>
  <si>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</si>
  <si>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</si>
  <si>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</si>
  <si>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</si>
  <si>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</si>
  <si>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</si>
  <si>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</si>
  <si>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</si>
  <si>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</si>
  <si>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</si>
  <si>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</si>
  <si>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</si>
  <si>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</si>
  <si>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</si>
  <si>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</si>
  <si>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</si>
  <si>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</si>
  <si>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</si>
  <si>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</si>
  <si>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</si>
  <si>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</si>
  <si>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</si>
  <si>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</si>
  <si>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</si>
  <si>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</si>
  <si>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</si>
  <si>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</si>
  <si>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</si>
  <si>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</si>
  <si>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</si>
  <si>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</si>
  <si>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</si>
  <si>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</si>
  <si>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</si>
  <si>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</si>
  <si>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</si>
  <si>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</si>
  <si>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</si>
  <si>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</si>
  <si>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</si>
  <si>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</si>
  <si>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</si>
  <si>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</si>
  <si>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</si>
  <si>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</si>
  <si>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</si>
  <si>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</si>
  <si>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</si>
  <si>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</si>
  <si>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</si>
  <si>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</si>
  <si>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</si>
  <si>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</si>
  <si>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</si>
  <si>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</si>
  <si>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</si>
  <si>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</si>
  <si>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</si>
  <si>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</si>
  <si>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</si>
  <si>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</si>
  <si>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</si>
  <si>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</si>
  <si>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</si>
  <si>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</si>
  <si>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</si>
  <si>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</si>
  <si>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</si>
  <si>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</si>
  <si>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</si>
  <si>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</si>
  <si>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</si>
  <si>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</si>
  <si>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</si>
  <si>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</si>
  <si>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</si>
  <si>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</si>
  <si>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</si>
  <si>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</si>
  <si>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</si>
  <si>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</si>
  <si>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</si>
  <si>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</si>
  <si>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</si>
  <si>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</si>
  <si>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</si>
  <si>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</si>
  <si>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</si>
  <si>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</si>
  <si>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Table "Première approche de la production potentielle du Cèdre de l'Atlas dans le Sud de la France", J. Toth (interpolation des données Classe I (Rialsesse "moyen") et Classe III (Ventoux "moyen")</t>
  </si>
  <si>
    <t>Table n°70 "Oak Yield class 4", découpe 7 cm fin-bout, in Forest Management Tables (metric)</t>
  </si>
  <si>
    <t>Table "Pin noir d'Autriche - Sud Est", JM Ottorini et J. Toth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</si>
</sst>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0" fillId="0" borderId="0" xfId="0" applyNumberForma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1.5524024281388942</c:v>
                </c:pt>
                <c:pt idx="2">
                  <c:v>1.9669543893311816</c:v>
                </c:pt>
                <c:pt idx="3">
                  <c:v>2.4926541846934445</c:v>
                </c:pt>
                <c:pt idx="4">
                  <c:v>3.1594154519397741</c:v>
                </c:pt>
                <c:pt idx="5">
                  <c:v>4.0052311826549785</c:v>
                </c:pt>
                <c:pt idx="6">
                  <c:v>5.0783630611543886</c:v>
                </c:pt>
                <c:pt idx="7">
                  <c:v>6.4401258722625672</c:v>
                </c:pt>
                <c:pt idx="8">
                  <c:v>8.1684291701183387</c:v>
                </c:pt>
                <c:pt idx="9">
                  <c:v>10.362282719482435</c:v>
                </c:pt>
                <c:pt idx="10">
                  <c:v>13.147528678652145</c:v>
                </c:pt>
                <c:pt idx="11">
                  <c:v>16.684135420331433</c:v>
                </c:pt>
                <c:pt idx="12">
                  <c:v>21.175479531025065</c:v>
                </c:pt>
                <c:pt idx="13">
                  <c:v>26.880159306373283</c:v>
                </c:pt>
                <c:pt idx="14">
                  <c:v>34.127031875143771</c:v>
                </c:pt>
                <c:pt idx="15">
                  <c:v>43.334355745037378</c:v>
                </c:pt>
                <c:pt idx="16">
                  <c:v>55.034162300632524</c:v>
                </c:pt>
                <c:pt idx="17">
                  <c:v>69.903287922892247</c:v>
                </c:pt>
                <c:pt idx="18">
                  <c:v>88.802891212865731</c:v>
                </c:pt>
                <c:pt idx="19">
                  <c:v>112.82878059777619</c:v>
                </c:pt>
                <c:pt idx="20">
                  <c:v>143.37551610986998</c:v>
                </c:pt>
                <c:pt idx="21">
                  <c:v>130.92304770905511</c:v>
                </c:pt>
                <c:pt idx="22">
                  <c:v>138.88758525267167</c:v>
                </c:pt>
                <c:pt idx="23">
                  <c:v>146.84115213350654</c:v>
                </c:pt>
                <c:pt idx="24">
                  <c:v>154.78442729853825</c:v>
                </c:pt>
                <c:pt idx="25">
                  <c:v>162.71801419014258</c:v>
                </c:pt>
                <c:pt idx="26">
                  <c:v>170.64245249764215</c:v>
                </c:pt>
                <c:pt idx="27">
                  <c:v>178.55822760704464</c:v>
                </c:pt>
                <c:pt idx="28">
                  <c:v>186.4657782840786</c:v>
                </c:pt>
                <c:pt idx="29">
                  <c:v>194.3655029833466</c:v>
                </c:pt>
                <c:pt idx="30">
                  <c:v>202.25776507632247</c:v>
                </c:pt>
                <c:pt idx="31">
                  <c:v>170.33782955280512</c:v>
                </c:pt>
                <c:pt idx="32">
                  <c:v>178.96393954042534</c:v>
                </c:pt>
                <c:pt idx="33">
                  <c:v>187.58030730824376</c:v>
                </c:pt>
                <c:pt idx="34">
                  <c:v>196.18744401776087</c:v>
                </c:pt>
                <c:pt idx="35">
                  <c:v>204.78581225380518</c:v>
                </c:pt>
                <c:pt idx="36">
                  <c:v>213.37583253186372</c:v>
                </c:pt>
                <c:pt idx="37">
                  <c:v>221.9578887011302</c:v>
                </c:pt>
                <c:pt idx="38">
                  <c:v>230.53233246702442</c:v>
                </c:pt>
                <c:pt idx="39">
                  <c:v>239.09948720478678</c:v>
                </c:pt>
                <c:pt idx="40">
                  <c:v>247.65965119723444</c:v>
                </c:pt>
                <c:pt idx="41">
                  <c:v>196.49106252927675</c:v>
                </c:pt>
                <c:pt idx="42">
                  <c:v>205.89792371213812</c:v>
                </c:pt>
                <c:pt idx="43">
                  <c:v>215.2948527158554</c:v>
                </c:pt>
                <c:pt idx="44">
                  <c:v>224.68234460131839</c:v>
                </c:pt>
                <c:pt idx="45">
                  <c:v>234.06084963689617</c:v>
                </c:pt>
                <c:pt idx="46">
                  <c:v>243.43077902299001</c:v>
                </c:pt>
                <c:pt idx="47">
                  <c:v>252.79250968806392</c:v>
                </c:pt>
                <c:pt idx="48">
                  <c:v>262.14638833628783</c:v>
                </c:pt>
                <c:pt idx="49">
                  <c:v>271.49273488667268</c:v>
                </c:pt>
                <c:pt idx="50">
                  <c:v>280.83184541341717</c:v>
                </c:pt>
                <c:pt idx="51">
                  <c:v>211.05227547104309</c:v>
                </c:pt>
                <c:pt idx="52">
                  <c:v>221.85696824700904</c:v>
                </c:pt>
                <c:pt idx="53">
                  <c:v>232.64958965766968</c:v>
                </c:pt>
                <c:pt idx="54">
                  <c:v>243.43077902299001</c:v>
                </c:pt>
                <c:pt idx="55">
                  <c:v>254.20111436174784</c:v>
                </c:pt>
                <c:pt idx="56">
                  <c:v>264.96112067399929</c:v>
                </c:pt>
                <c:pt idx="57">
                  <c:v>275.71127680644457</c:v>
                </c:pt>
                <c:pt idx="58">
                  <c:v>286.45202119010264</c:v>
                </c:pt>
                <c:pt idx="59">
                  <c:v>297.18375667174178</c:v>
                </c:pt>
                <c:pt idx="60">
                  <c:v>307.90685461043876</c:v>
                </c:pt>
                <c:pt idx="61">
                  <c:v>229.01973385636336</c:v>
                </c:pt>
                <c:pt idx="62">
                  <c:v>240.61060421870187</c:v>
                </c:pt>
                <c:pt idx="63">
                  <c:v>252.18876758094348</c:v>
                </c:pt>
                <c:pt idx="64">
                  <c:v>263.7548898616709</c:v>
                </c:pt>
                <c:pt idx="65">
                  <c:v>275.30957376859971</c:v>
                </c:pt>
                <c:pt idx="66">
                  <c:v>286.85336725699216</c:v>
                </c:pt>
                <c:pt idx="67">
                  <c:v>298.38677055421078</c:v>
                </c:pt>
                <c:pt idx="68">
                  <c:v>309.91024204064519</c:v>
                </c:pt>
                <c:pt idx="69">
                  <c:v>321.42420320967722</c:v>
                </c:pt>
                <c:pt idx="70">
                  <c:v>332.92904287941286</c:v>
                </c:pt>
                <c:pt idx="71">
                  <c:v>245.04197327167265</c:v>
                </c:pt>
                <c:pt idx="72">
                  <c:v>257.5206994156996</c:v>
                </c:pt>
                <c:pt idx="73">
                  <c:v>269.98575654902908</c:v>
                </c:pt>
                <c:pt idx="74">
                  <c:v>282.43786492013311</c:v>
                </c:pt>
                <c:pt idx="75">
                  <c:v>294.87767605242163</c:v>
                </c:pt>
                <c:pt idx="76">
                  <c:v>307.30578198650721</c:v>
                </c:pt>
                <c:pt idx="77">
                  <c:v>319.72272294821823</c:v>
                </c:pt>
                <c:pt idx="78">
                  <c:v>332.12899376248009</c:v>
                </c:pt>
                <c:pt idx="79">
                  <c:v>344.52504925832585</c:v>
                </c:pt>
                <c:pt idx="80">
                  <c:v>356.91130885505936</c:v>
                </c:pt>
                <c:pt idx="81">
                  <c:v>259.63265790885885</c:v>
                </c:pt>
                <c:pt idx="82">
                  <c:v>272.59773265718604</c:v>
                </c:pt>
                <c:pt idx="83">
                  <c:v>285.54894649013414</c:v>
                </c:pt>
                <c:pt idx="84">
                  <c:v>298.48701682427884</c:v>
                </c:pt>
                <c:pt idx="85">
                  <c:v>311.41259378150136</c:v>
                </c:pt>
                <c:pt idx="86">
                  <c:v>324.32626909194659</c:v>
                </c:pt>
                <c:pt idx="87">
                  <c:v>337.22858350415589</c:v>
                </c:pt>
                <c:pt idx="88">
                  <c:v>350.12003300139122</c:v>
                </c:pt>
                <c:pt idx="89">
                  <c:v>363.00107405424791</c:v>
                </c:pt>
                <c:pt idx="90">
                  <c:v>375.87212808855367</c:v>
                </c:pt>
                <c:pt idx="91">
                  <c:v>269.18195740266776</c:v>
                </c:pt>
                <c:pt idx="92">
                  <c:v>282.6386029410362</c:v>
                </c:pt>
                <c:pt idx="93">
                  <c:v>296.08089854762119</c:v>
                </c:pt>
                <c:pt idx="94">
                  <c:v>309.50958762804493</c:v>
                </c:pt>
                <c:pt idx="95">
                  <c:v>322.92534379451791</c:v>
                </c:pt>
                <c:pt idx="96">
                  <c:v>336.32878010709959</c:v>
                </c:pt>
                <c:pt idx="97">
                  <c:v>349.72045676416309</c:v>
                </c:pt>
                <c:pt idx="98">
                  <c:v>363.10088755293231</c:v>
                </c:pt>
                <c:pt idx="99">
                  <c:v>376.4705452992564</c:v>
                </c:pt>
                <c:pt idx="100">
                  <c:v>389.82986650263246</c:v>
                </c:pt>
                <c:pt idx="101">
                  <c:v>271.79410793232552</c:v>
                </c:pt>
                <c:pt idx="102">
                  <c:v>283.84296405810665</c:v>
                </c:pt>
                <c:pt idx="103">
                  <c:v>295.88036905328863</c:v>
                </c:pt>
                <c:pt idx="104">
                  <c:v>307.90685461043819</c:v>
                </c:pt>
                <c:pt idx="105">
                  <c:v>319.92290747907646</c:v>
                </c:pt>
                <c:pt idx="106">
                  <c:v>331.92897484605106</c:v>
                </c:pt>
                <c:pt idx="107">
                  <c:v>343.9254688964067</c:v>
                </c:pt>
                <c:pt idx="108">
                  <c:v>355.91277070439452</c:v>
                </c:pt>
                <c:pt idx="109">
                  <c:v>367.89123357271245</c:v>
                </c:pt>
                <c:pt idx="110">
                  <c:v>379.86118591400481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1.8872166199460507</c:v>
                </c:pt>
                <c:pt idx="2">
                  <c:v>2.2964597670016897</c:v>
                </c:pt>
                <c:pt idx="3">
                  <c:v>2.7947887476451427</c:v>
                </c:pt>
                <c:pt idx="4">
                  <c:v>3.4016664353083708</c:v>
                </c:pt>
                <c:pt idx="5">
                  <c:v>4.1408222331583096</c:v>
                </c:pt>
                <c:pt idx="6">
                  <c:v>5.0411903008954377</c:v>
                </c:pt>
                <c:pt idx="7">
                  <c:v>6.1380547009993505</c:v>
                </c:pt>
                <c:pt idx="8">
                  <c:v>7.4744472208053194</c:v>
                </c:pt>
                <c:pt idx="9">
                  <c:v>9.1028537696068188</c:v>
                </c:pt>
                <c:pt idx="10">
                  <c:v>11.087297646119426</c:v>
                </c:pt>
                <c:pt idx="11">
                  <c:v>13.505883122712893</c:v>
                </c:pt>
                <c:pt idx="12">
                  <c:v>16.453901312282458</c:v>
                </c:pt>
                <c:pt idx="13">
                  <c:v>20.047622921795863</c:v>
                </c:pt>
                <c:pt idx="14">
                  <c:v>24.428930171147528</c:v>
                </c:pt>
                <c:pt idx="15">
                  <c:v>29.770973989542124</c:v>
                </c:pt>
                <c:pt idx="16">
                  <c:v>36.28508396740807</c:v>
                </c:pt>
                <c:pt idx="17">
                  <c:v>44.229209119664233</c:v>
                </c:pt>
                <c:pt idx="18">
                  <c:v>53.918229361138849</c:v>
                </c:pt>
                <c:pt idx="19">
                  <c:v>65.736553221372674</c:v>
                </c:pt>
                <c:pt idx="20">
                  <c:v>80.153509810179131</c:v>
                </c:pt>
                <c:pt idx="21">
                  <c:v>89.391965719110203</c:v>
                </c:pt>
                <c:pt idx="22">
                  <c:v>102.54887213283676</c:v>
                </c:pt>
                <c:pt idx="23">
                  <c:v>115.66397937972845</c:v>
                </c:pt>
                <c:pt idx="24">
                  <c:v>128.74270297836009</c:v>
                </c:pt>
                <c:pt idx="25">
                  <c:v>141.78926461478019</c:v>
                </c:pt>
                <c:pt idx="26">
                  <c:v>154.80704360145447</c:v>
                </c:pt>
                <c:pt idx="27">
                  <c:v>167.79880331835713</c:v>
                </c:pt>
                <c:pt idx="28">
                  <c:v>180.76684356318125</c:v>
                </c:pt>
                <c:pt idx="29">
                  <c:v>193.71310674706146</c:v>
                </c:pt>
                <c:pt idx="30">
                  <c:v>206.63925413557971</c:v>
                </c:pt>
                <c:pt idx="31">
                  <c:v>204.44316393691588</c:v>
                </c:pt>
                <c:pt idx="32">
                  <c:v>217.74075246919756</c:v>
                </c:pt>
                <c:pt idx="33">
                  <c:v>231.01967692884918</c:v>
                </c:pt>
                <c:pt idx="34">
                  <c:v>244.28116165814291</c:v>
                </c:pt>
                <c:pt idx="35">
                  <c:v>257.52628712281688</c:v>
                </c:pt>
                <c:pt idx="36">
                  <c:v>270.75601350883994</c:v>
                </c:pt>
                <c:pt idx="37">
                  <c:v>283.9711994609832</c:v>
                </c:pt>
                <c:pt idx="38">
                  <c:v>297.17261714760809</c:v>
                </c:pt>
                <c:pt idx="39">
                  <c:v>310.36096450648392</c:v>
                </c:pt>
                <c:pt idx="40">
                  <c:v>323.53687529895308</c:v>
                </c:pt>
                <c:pt idx="41">
                  <c:v>308.82510968141406</c:v>
                </c:pt>
                <c:pt idx="42">
                  <c:v>320.97939105673305</c:v>
                </c:pt>
                <c:pt idx="43">
                  <c:v>333.12349285380219</c:v>
                </c:pt>
                <c:pt idx="44">
                  <c:v>345.25783856692919</c:v>
                </c:pt>
                <c:pt idx="45">
                  <c:v>357.38281948405944</c:v>
                </c:pt>
                <c:pt idx="46">
                  <c:v>369.49879816887761</c:v>
                </c:pt>
                <c:pt idx="47">
                  <c:v>381.60611146221294</c:v>
                </c:pt>
                <c:pt idx="48">
                  <c:v>393.7050730825656</c:v>
                </c:pt>
                <c:pt idx="49">
                  <c:v>405.79597589022273</c:v>
                </c:pt>
                <c:pt idx="50">
                  <c:v>417.87909386741279</c:v>
                </c:pt>
                <c:pt idx="51">
                  <c:v>396.63307293686029</c:v>
                </c:pt>
                <c:pt idx="52">
                  <c:v>407.19546723786488</c:v>
                </c:pt>
                <c:pt idx="53">
                  <c:v>417.75194279221722</c:v>
                </c:pt>
                <c:pt idx="54">
                  <c:v>428.30267028767508</c:v>
                </c:pt>
                <c:pt idx="55">
                  <c:v>438.84781131453877</c:v>
                </c:pt>
                <c:pt idx="56">
                  <c:v>449.38751906216925</c:v>
                </c:pt>
                <c:pt idx="57">
                  <c:v>459.92193894675114</c:v>
                </c:pt>
                <c:pt idx="58">
                  <c:v>470.45120917853865</c:v>
                </c:pt>
                <c:pt idx="59">
                  <c:v>480.97546127567131</c:v>
                </c:pt>
                <c:pt idx="60">
                  <c:v>491.4948205306743</c:v>
                </c:pt>
                <c:pt idx="61">
                  <c:v>466.13862825055907</c:v>
                </c:pt>
                <c:pt idx="62">
                  <c:v>475.01655378575714</c:v>
                </c:pt>
                <c:pt idx="63">
                  <c:v>483.89094931012534</c:v>
                </c:pt>
                <c:pt idx="64">
                  <c:v>492.76188870967707</c:v>
                </c:pt>
                <c:pt idx="65">
                  <c:v>501.62944299248142</c:v>
                </c:pt>
                <c:pt idx="66">
                  <c:v>510.49368045075363</c:v>
                </c:pt>
                <c:pt idx="67">
                  <c:v>519.35466681110222</c:v>
                </c:pt>
                <c:pt idx="68">
                  <c:v>528.21246537398599</c:v>
                </c:pt>
                <c:pt idx="69">
                  <c:v>537.06713714333182</c:v>
                </c:pt>
                <c:pt idx="70">
                  <c:v>545.91874094715649</c:v>
                </c:pt>
                <c:pt idx="71">
                  <c:v>520.62026032995118</c:v>
                </c:pt>
                <c:pt idx="72">
                  <c:v>528.21246537398599</c:v>
                </c:pt>
                <c:pt idx="73">
                  <c:v>535.80237321728134</c:v>
                </c:pt>
                <c:pt idx="74">
                  <c:v>543.39002099916354</c:v>
                </c:pt>
                <c:pt idx="75">
                  <c:v>550.97544473689754</c:v>
                </c:pt>
                <c:pt idx="76">
                  <c:v>558.55867937490291</c:v>
                </c:pt>
                <c:pt idx="77">
                  <c:v>566.13975883115938</c:v>
                </c:pt>
                <c:pt idx="78">
                  <c:v>573.71871604099545</c:v>
                </c:pt>
                <c:pt idx="79">
                  <c:v>581.29558299844462</c:v>
                </c:pt>
                <c:pt idx="80">
                  <c:v>588.87039079533201</c:v>
                </c:pt>
                <c:pt idx="81">
                  <c:v>565.38174692254552</c:v>
                </c:pt>
                <c:pt idx="82">
                  <c:v>572.20309282979531</c:v>
                </c:pt>
                <c:pt idx="83">
                  <c:v>579.02274052069447</c:v>
                </c:pt>
                <c:pt idx="84">
                  <c:v>585.8407128223779</c:v>
                </c:pt>
                <c:pt idx="85">
                  <c:v>592.65703198720189</c:v>
                </c:pt>
                <c:pt idx="86">
                  <c:v>599.47171971380715</c:v>
                </c:pt>
                <c:pt idx="87">
                  <c:v>606.28479716717118</c:v>
                </c:pt>
                <c:pt idx="88">
                  <c:v>613.0962849977135</c:v>
                </c:pt>
                <c:pt idx="89">
                  <c:v>619.90620335950769</c:v>
                </c:pt>
                <c:pt idx="90">
                  <c:v>626.71457192765126</c:v>
                </c:pt>
                <c:pt idx="91">
                  <c:v>603.13079349515147</c:v>
                </c:pt>
                <c:pt idx="92">
                  <c:v>609.81687689141643</c:v>
                </c:pt>
                <c:pt idx="93">
                  <c:v>616.50143912148258</c:v>
                </c:pt>
                <c:pt idx="94">
                  <c:v>623.18449900766041</c:v>
                </c:pt>
                <c:pt idx="95">
                  <c:v>629.86607493557597</c:v>
                </c:pt>
                <c:pt idx="96">
                  <c:v>636.54618486892696</c:v>
                </c:pt>
                <c:pt idx="97">
                  <c:v>643.22484636358752</c:v>
                </c:pt>
                <c:pt idx="98">
                  <c:v>649.90207658109875</c:v>
                </c:pt>
                <c:pt idx="99">
                  <c:v>656.57789230157209</c:v>
                </c:pt>
                <c:pt idx="100">
                  <c:v>663.25230993604498</c:v>
                </c:pt>
                <c:pt idx="101">
                  <c:v>631.75682005648298</c:v>
                </c:pt>
                <c:pt idx="102">
                  <c:v>631.75682005648298</c:v>
                </c:pt>
                <c:pt idx="103">
                  <c:v>631.75682005648298</c:v>
                </c:pt>
                <c:pt idx="104">
                  <c:v>631.75682005648298</c:v>
                </c:pt>
                <c:pt idx="105">
                  <c:v>631.75682005648298</c:v>
                </c:pt>
                <c:pt idx="106">
                  <c:v>631.75682005648298</c:v>
                </c:pt>
                <c:pt idx="107">
                  <c:v>631.75682005648298</c:v>
                </c:pt>
                <c:pt idx="108">
                  <c:v>631.75682005648298</c:v>
                </c:pt>
                <c:pt idx="109">
                  <c:v>631.75682005648298</c:v>
                </c:pt>
                <c:pt idx="110">
                  <c:v>631.75682005648298</c:v>
                </c:pt>
                <c:pt idx="111">
                  <c:v>631.75682005648298</c:v>
                </c:pt>
                <c:pt idx="112">
                  <c:v>631.75682005648298</c:v>
                </c:pt>
                <c:pt idx="113">
                  <c:v>631.75682005648298</c:v>
                </c:pt>
                <c:pt idx="114">
                  <c:v>631.75682005648298</c:v>
                </c:pt>
                <c:pt idx="115">
                  <c:v>631.75682005648298</c:v>
                </c:pt>
                <c:pt idx="116">
                  <c:v>631.75682005648298</c:v>
                </c:pt>
                <c:pt idx="117">
                  <c:v>631.75682005648298</c:v>
                </c:pt>
                <c:pt idx="118">
                  <c:v>631.75682005648298</c:v>
                </c:pt>
                <c:pt idx="119">
                  <c:v>631.75682005648298</c:v>
                </c:pt>
                <c:pt idx="120">
                  <c:v>631.75682005648298</c:v>
                </c:pt>
                <c:pt idx="121">
                  <c:v>631.75682005648298</c:v>
                </c:pt>
                <c:pt idx="122">
                  <c:v>631.75682005648298</c:v>
                </c:pt>
                <c:pt idx="123">
                  <c:v>631.75682005648298</c:v>
                </c:pt>
                <c:pt idx="124">
                  <c:v>631.75682005648298</c:v>
                </c:pt>
                <c:pt idx="125">
                  <c:v>631.75682005648298</c:v>
                </c:pt>
                <c:pt idx="126">
                  <c:v>631.75682005648298</c:v>
                </c:pt>
                <c:pt idx="127">
                  <c:v>631.75682005648298</c:v>
                </c:pt>
                <c:pt idx="128">
                  <c:v>631.75682005648298</c:v>
                </c:pt>
                <c:pt idx="129">
                  <c:v>631.75682005648298</c:v>
                </c:pt>
                <c:pt idx="130">
                  <c:v>631.75682005648298</c:v>
                </c:pt>
                <c:pt idx="131">
                  <c:v>631.75682005648298</c:v>
                </c:pt>
                <c:pt idx="132">
                  <c:v>631.75682005648298</c:v>
                </c:pt>
                <c:pt idx="133">
                  <c:v>631.75682005648298</c:v>
                </c:pt>
                <c:pt idx="134">
                  <c:v>631.75682005648298</c:v>
                </c:pt>
                <c:pt idx="135">
                  <c:v>631.75682005648298</c:v>
                </c:pt>
                <c:pt idx="136">
                  <c:v>631.75682005648298</c:v>
                </c:pt>
                <c:pt idx="137">
                  <c:v>631.75682005648298</c:v>
                </c:pt>
                <c:pt idx="138">
                  <c:v>631.75682005648298</c:v>
                </c:pt>
                <c:pt idx="139">
                  <c:v>631.75682005648298</c:v>
                </c:pt>
                <c:pt idx="140">
                  <c:v>631.75682005648298</c:v>
                </c:pt>
                <c:pt idx="141">
                  <c:v>631.75682005648298</c:v>
                </c:pt>
                <c:pt idx="142">
                  <c:v>631.75682005648298</c:v>
                </c:pt>
                <c:pt idx="143">
                  <c:v>631.75682005648298</c:v>
                </c:pt>
                <c:pt idx="144">
                  <c:v>631.75682005648298</c:v>
                </c:pt>
                <c:pt idx="145">
                  <c:v>631.75682005648298</c:v>
                </c:pt>
                <c:pt idx="146">
                  <c:v>631.75682005648298</c:v>
                </c:pt>
                <c:pt idx="147">
                  <c:v>631.75682005648298</c:v>
                </c:pt>
                <c:pt idx="148">
                  <c:v>631.75682005648298</c:v>
                </c:pt>
                <c:pt idx="149">
                  <c:v>631.75682005648298</c:v>
                </c:pt>
                <c:pt idx="150">
                  <c:v>631.75682005648298</c:v>
                </c:pt>
                <c:pt idx="151">
                  <c:v>631.75682005648298</c:v>
                </c:pt>
                <c:pt idx="152">
                  <c:v>631.75682005648298</c:v>
                </c:pt>
                <c:pt idx="153">
                  <c:v>631.75682005648298</c:v>
                </c:pt>
                <c:pt idx="154">
                  <c:v>631.75682005648298</c:v>
                </c:pt>
                <c:pt idx="155">
                  <c:v>631.75682005648298</c:v>
                </c:pt>
                <c:pt idx="156">
                  <c:v>631.75682005648298</c:v>
                </c:pt>
                <c:pt idx="157">
                  <c:v>631.75682005648298</c:v>
                </c:pt>
                <c:pt idx="158">
                  <c:v>631.75682005648298</c:v>
                </c:pt>
                <c:pt idx="159">
                  <c:v>631.75682005648298</c:v>
                </c:pt>
                <c:pt idx="160">
                  <c:v>631.75682005648298</c:v>
                </c:pt>
                <c:pt idx="161">
                  <c:v>631.75682005648298</c:v>
                </c:pt>
                <c:pt idx="162">
                  <c:v>631.75682005648298</c:v>
                </c:pt>
                <c:pt idx="163">
                  <c:v>631.75682005648298</c:v>
                </c:pt>
                <c:pt idx="164">
                  <c:v>631.75682005648298</c:v>
                </c:pt>
                <c:pt idx="165">
                  <c:v>631.75682005648298</c:v>
                </c:pt>
                <c:pt idx="166">
                  <c:v>631.75682005648298</c:v>
                </c:pt>
                <c:pt idx="167">
                  <c:v>631.75682005648298</c:v>
                </c:pt>
                <c:pt idx="168">
                  <c:v>631.75682005648298</c:v>
                </c:pt>
                <c:pt idx="169">
                  <c:v>631.75682005648298</c:v>
                </c:pt>
                <c:pt idx="170">
                  <c:v>631.75682005648298</c:v>
                </c:pt>
                <c:pt idx="171">
                  <c:v>631.75682005648298</c:v>
                </c:pt>
                <c:pt idx="172">
                  <c:v>631.75682005648298</c:v>
                </c:pt>
                <c:pt idx="173">
                  <c:v>631.75682005648298</c:v>
                </c:pt>
                <c:pt idx="174">
                  <c:v>631.75682005648298</c:v>
                </c:pt>
                <c:pt idx="175">
                  <c:v>631.75682005648298</c:v>
                </c:pt>
                <c:pt idx="176">
                  <c:v>631.75682005648298</c:v>
                </c:pt>
                <c:pt idx="177">
                  <c:v>631.75682005648298</c:v>
                </c:pt>
                <c:pt idx="178">
                  <c:v>631.75682005648298</c:v>
                </c:pt>
                <c:pt idx="179">
                  <c:v>631.75682005648298</c:v>
                </c:pt>
                <c:pt idx="180">
                  <c:v>631.75682005648298</c:v>
                </c:pt>
                <c:pt idx="181">
                  <c:v>631.75682005648298</c:v>
                </c:pt>
                <c:pt idx="182">
                  <c:v>631.75682005648298</c:v>
                </c:pt>
                <c:pt idx="183">
                  <c:v>631.75682005648298</c:v>
                </c:pt>
                <c:pt idx="184">
                  <c:v>631.75682005648298</c:v>
                </c:pt>
                <c:pt idx="185">
                  <c:v>631.75682005648298</c:v>
                </c:pt>
                <c:pt idx="186">
                  <c:v>631.75682005648298</c:v>
                </c:pt>
                <c:pt idx="187">
                  <c:v>631.75682005648298</c:v>
                </c:pt>
                <c:pt idx="188">
                  <c:v>631.75682005648298</c:v>
                </c:pt>
                <c:pt idx="189">
                  <c:v>631.75682005648298</c:v>
                </c:pt>
                <c:pt idx="190">
                  <c:v>631.75682005648298</c:v>
                </c:pt>
                <c:pt idx="191">
                  <c:v>631.75682005648298</c:v>
                </c:pt>
                <c:pt idx="192">
                  <c:v>631.75682005648298</c:v>
                </c:pt>
                <c:pt idx="193">
                  <c:v>631.75682005648298</c:v>
                </c:pt>
                <c:pt idx="194">
                  <c:v>631.75682005648298</c:v>
                </c:pt>
                <c:pt idx="195">
                  <c:v>631.75682005648298</c:v>
                </c:pt>
                <c:pt idx="196">
                  <c:v>631.75682005648298</c:v>
                </c:pt>
                <c:pt idx="197">
                  <c:v>631.75682005648298</c:v>
                </c:pt>
                <c:pt idx="198">
                  <c:v>631.75682005648298</c:v>
                </c:pt>
                <c:pt idx="199">
                  <c:v>631.75682005648298</c:v>
                </c:pt>
                <c:pt idx="200">
                  <c:v>631.75682005648298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190.41659540288185</c:v>
                </c:pt>
                <c:pt idx="42">
                  <c:v>202.69601208813609</c:v>
                </c:pt>
                <c:pt idx="43">
                  <c:v>214.95821110174333</c:v>
                </c:pt>
                <c:pt idx="44">
                  <c:v>227.20431355624603</c:v>
                </c:pt>
                <c:pt idx="45">
                  <c:v>239.43530973942802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281.70179813149139</c:v>
                </c:pt>
                <c:pt idx="57">
                  <c:v>293.44034996889701</c:v>
                </c:pt>
                <c:pt idx="58">
                  <c:v>305.16842283850025</c:v>
                </c:pt>
                <c:pt idx="59">
                  <c:v>316.8864763741696</c:v>
                </c:pt>
                <c:pt idx="60">
                  <c:v>328.5949334270008</c:v>
                </c:pt>
                <c:pt idx="61">
                  <c:v>309.94362938891317</c:v>
                </c:pt>
                <c:pt idx="62">
                  <c:v>321.6577241361818</c:v>
                </c:pt>
                <c:pt idx="63">
                  <c:v>333.3623851108037</c:v>
                </c:pt>
                <c:pt idx="64">
                  <c:v>345.05799032946646</c:v>
                </c:pt>
                <c:pt idx="65">
                  <c:v>356.7448900832191</c:v>
                </c:pt>
                <c:pt idx="66">
                  <c:v>337.26190853958735</c:v>
                </c:pt>
                <c:pt idx="67">
                  <c:v>348.08874968614623</c:v>
                </c:pt>
                <c:pt idx="68">
                  <c:v>358.90820183854044</c:v>
                </c:pt>
                <c:pt idx="69">
                  <c:v>369.72051922288409</c:v>
                </c:pt>
                <c:pt idx="70">
                  <c:v>380.52593997693936</c:v>
                </c:pt>
                <c:pt idx="71">
                  <c:v>361.07122825453939</c:v>
                </c:pt>
                <c:pt idx="72">
                  <c:v>371.88214774985948</c:v>
                </c:pt>
                <c:pt idx="73">
                  <c:v>382.68621644309741</c:v>
                </c:pt>
                <c:pt idx="74">
                  <c:v>393.4836550724026</c:v>
                </c:pt>
                <c:pt idx="75">
                  <c:v>404.27467126938313</c:v>
                </c:pt>
                <c:pt idx="76">
                  <c:v>383.98225493635573</c:v>
                </c:pt>
                <c:pt idx="77">
                  <c:v>393.91541769108943</c:v>
                </c:pt>
                <c:pt idx="78">
                  <c:v>403.84315144097854</c:v>
                </c:pt>
                <c:pt idx="79">
                  <c:v>413.76560851360483</c:v>
                </c:pt>
                <c:pt idx="80">
                  <c:v>423.68293333202695</c:v>
                </c:pt>
                <c:pt idx="81">
                  <c:v>402.98008185125178</c:v>
                </c:pt>
                <c:pt idx="82">
                  <c:v>412.4716690472755</c:v>
                </c:pt>
                <c:pt idx="83">
                  <c:v>421.95854377334393</c:v>
                </c:pt>
                <c:pt idx="84">
                  <c:v>431.44082695809374</c:v>
                </c:pt>
                <c:pt idx="85">
                  <c:v>440.91863377904156</c:v>
                </c:pt>
                <c:pt idx="86">
                  <c:v>419.80284331345229</c:v>
                </c:pt>
                <c:pt idx="87">
                  <c:v>428.85519840828562</c:v>
                </c:pt>
                <c:pt idx="88">
                  <c:v>437.9034467468835</c:v>
                </c:pt>
                <c:pt idx="89">
                  <c:v>446.94768518373354</c:v>
                </c:pt>
                <c:pt idx="90">
                  <c:v>455.98800633231934</c:v>
                </c:pt>
                <c:pt idx="91">
                  <c:v>434.02612258593177</c:v>
                </c:pt>
                <c:pt idx="92">
                  <c:v>442.21072127655157</c:v>
                </c:pt>
                <c:pt idx="93">
                  <c:v>450.39207405650865</c:v>
                </c:pt>
                <c:pt idx="94">
                  <c:v>458.57024822962643</c:v>
                </c:pt>
                <c:pt idx="95">
                  <c:v>466.74530850225375</c:v>
                </c:pt>
                <c:pt idx="96">
                  <c:v>444.36402075569328</c:v>
                </c:pt>
                <c:pt idx="97">
                  <c:v>452.11405687747123</c:v>
                </c:pt>
                <c:pt idx="98">
                  <c:v>459.86125261266926</c:v>
                </c:pt>
                <c:pt idx="99">
                  <c:v>467.60566258446232</c:v>
                </c:pt>
                <c:pt idx="100">
                  <c:v>475.34733945827867</c:v>
                </c:pt>
                <c:pt idx="101">
                  <c:v>452.11405687747123</c:v>
                </c:pt>
                <c:pt idx="102">
                  <c:v>459.00059163685847</c:v>
                </c:pt>
                <c:pt idx="103">
                  <c:v>465.88492060890104</c:v>
                </c:pt>
                <c:pt idx="104">
                  <c:v>472.76708100439259</c:v>
                </c:pt>
                <c:pt idx="105">
                  <c:v>479.64710886178568</c:v>
                </c:pt>
                <c:pt idx="106">
                  <c:v>455.98800633231934</c:v>
                </c:pt>
                <c:pt idx="107">
                  <c:v>462.44302949249544</c:v>
                </c:pt>
                <c:pt idx="108">
                  <c:v>468.89613046728778</c:v>
                </c:pt>
                <c:pt idx="109">
                  <c:v>475.34733945827844</c:v>
                </c:pt>
                <c:pt idx="110">
                  <c:v>481.79668577992373</c:v>
                </c:pt>
                <c:pt idx="111">
                  <c:v>460.29157019967283</c:v>
                </c:pt>
                <c:pt idx="112">
                  <c:v>466.74530850225352</c:v>
                </c:pt>
                <c:pt idx="113">
                  <c:v>473.19714485434059</c:v>
                </c:pt>
                <c:pt idx="114">
                  <c:v>479.64710886178568</c:v>
                </c:pt>
                <c:pt idx="115">
                  <c:v>486.09522926878554</c:v>
                </c:pt>
                <c:pt idx="116">
                  <c:v>463.73380248274299</c:v>
                </c:pt>
                <c:pt idx="117">
                  <c:v>469.32626959947976</c:v>
                </c:pt>
                <c:pt idx="118">
                  <c:v>474.91731712823849</c:v>
                </c:pt>
                <c:pt idx="119">
                  <c:v>480.50696415087845</c:v>
                </c:pt>
                <c:pt idx="120">
                  <c:v>486.09522926878549</c:v>
                </c:pt>
                <c:pt idx="121">
                  <c:v>460.29157019967283</c:v>
                </c:pt>
                <c:pt idx="122">
                  <c:v>460.29157019967283</c:v>
                </c:pt>
                <c:pt idx="123">
                  <c:v>460.29157019967283</c:v>
                </c:pt>
                <c:pt idx="124">
                  <c:v>460.29157019967283</c:v>
                </c:pt>
                <c:pt idx="125">
                  <c:v>460.29157019967283</c:v>
                </c:pt>
                <c:pt idx="126">
                  <c:v>460.29157019967283</c:v>
                </c:pt>
                <c:pt idx="127">
                  <c:v>460.29157019967283</c:v>
                </c:pt>
                <c:pt idx="128">
                  <c:v>460.29157019967283</c:v>
                </c:pt>
                <c:pt idx="129">
                  <c:v>460.29157019967283</c:v>
                </c:pt>
                <c:pt idx="130">
                  <c:v>460.29157019967283</c:v>
                </c:pt>
                <c:pt idx="131">
                  <c:v>460.29157019967283</c:v>
                </c:pt>
                <c:pt idx="132">
                  <c:v>460.29157019967283</c:v>
                </c:pt>
                <c:pt idx="133">
                  <c:v>460.29157019967283</c:v>
                </c:pt>
                <c:pt idx="134">
                  <c:v>460.29157019967283</c:v>
                </c:pt>
                <c:pt idx="135">
                  <c:v>460.29157019967283</c:v>
                </c:pt>
                <c:pt idx="136">
                  <c:v>460.29157019967283</c:v>
                </c:pt>
                <c:pt idx="137">
                  <c:v>460.29157019967283</c:v>
                </c:pt>
                <c:pt idx="138">
                  <c:v>460.29157019967283</c:v>
                </c:pt>
                <c:pt idx="139">
                  <c:v>460.29157019967283</c:v>
                </c:pt>
                <c:pt idx="140">
                  <c:v>460.29157019967283</c:v>
                </c:pt>
                <c:pt idx="141">
                  <c:v>460.29157019967283</c:v>
                </c:pt>
                <c:pt idx="142">
                  <c:v>460.29157019967283</c:v>
                </c:pt>
                <c:pt idx="143">
                  <c:v>460.29157019967283</c:v>
                </c:pt>
                <c:pt idx="144">
                  <c:v>460.29157019967283</c:v>
                </c:pt>
                <c:pt idx="145">
                  <c:v>460.29157019967283</c:v>
                </c:pt>
                <c:pt idx="146">
                  <c:v>460.29157019967283</c:v>
                </c:pt>
                <c:pt idx="147">
                  <c:v>460.29157019967283</c:v>
                </c:pt>
                <c:pt idx="148">
                  <c:v>460.29157019967283</c:v>
                </c:pt>
                <c:pt idx="149">
                  <c:v>460.29157019967283</c:v>
                </c:pt>
                <c:pt idx="150">
                  <c:v>460.29157019967283</c:v>
                </c:pt>
                <c:pt idx="151">
                  <c:v>460.29157019967283</c:v>
                </c:pt>
                <c:pt idx="152">
                  <c:v>460.29157019967283</c:v>
                </c:pt>
                <c:pt idx="153">
                  <c:v>460.29157019967283</c:v>
                </c:pt>
                <c:pt idx="154">
                  <c:v>460.29157019967283</c:v>
                </c:pt>
                <c:pt idx="155">
                  <c:v>460.29157019967283</c:v>
                </c:pt>
                <c:pt idx="156">
                  <c:v>460.29157019967283</c:v>
                </c:pt>
                <c:pt idx="157">
                  <c:v>460.29157019967283</c:v>
                </c:pt>
                <c:pt idx="158">
                  <c:v>460.29157019967283</c:v>
                </c:pt>
                <c:pt idx="159">
                  <c:v>460.29157019967283</c:v>
                </c:pt>
                <c:pt idx="160">
                  <c:v>460.29157019967283</c:v>
                </c:pt>
                <c:pt idx="161">
                  <c:v>460.29157019967283</c:v>
                </c:pt>
                <c:pt idx="162">
                  <c:v>460.29157019967283</c:v>
                </c:pt>
                <c:pt idx="163">
                  <c:v>460.29157019967283</c:v>
                </c:pt>
                <c:pt idx="164">
                  <c:v>460.29157019967283</c:v>
                </c:pt>
                <c:pt idx="165">
                  <c:v>460.29157019967283</c:v>
                </c:pt>
                <c:pt idx="166">
                  <c:v>460.29157019967283</c:v>
                </c:pt>
                <c:pt idx="167">
                  <c:v>460.29157019967283</c:v>
                </c:pt>
                <c:pt idx="168">
                  <c:v>460.29157019967283</c:v>
                </c:pt>
                <c:pt idx="169">
                  <c:v>460.29157019967283</c:v>
                </c:pt>
                <c:pt idx="170">
                  <c:v>460.29157019967283</c:v>
                </c:pt>
                <c:pt idx="171">
                  <c:v>460.29157019967283</c:v>
                </c:pt>
                <c:pt idx="172">
                  <c:v>460.29157019967283</c:v>
                </c:pt>
                <c:pt idx="173">
                  <c:v>460.29157019967283</c:v>
                </c:pt>
                <c:pt idx="174">
                  <c:v>460.29157019967283</c:v>
                </c:pt>
                <c:pt idx="175">
                  <c:v>460.29157019967283</c:v>
                </c:pt>
                <c:pt idx="176">
                  <c:v>460.29157019967283</c:v>
                </c:pt>
                <c:pt idx="177">
                  <c:v>460.29157019967283</c:v>
                </c:pt>
                <c:pt idx="178">
                  <c:v>460.29157019967283</c:v>
                </c:pt>
                <c:pt idx="179">
                  <c:v>460.29157019967283</c:v>
                </c:pt>
                <c:pt idx="180">
                  <c:v>460.29157019967283</c:v>
                </c:pt>
                <c:pt idx="181">
                  <c:v>460.29157019967283</c:v>
                </c:pt>
                <c:pt idx="182">
                  <c:v>460.29157019967283</c:v>
                </c:pt>
                <c:pt idx="183">
                  <c:v>460.29157019967283</c:v>
                </c:pt>
                <c:pt idx="184">
                  <c:v>460.29157019967283</c:v>
                </c:pt>
                <c:pt idx="185">
                  <c:v>460.29157019967283</c:v>
                </c:pt>
                <c:pt idx="186">
                  <c:v>460.29157019967283</c:v>
                </c:pt>
                <c:pt idx="187">
                  <c:v>460.29157019967283</c:v>
                </c:pt>
                <c:pt idx="188">
                  <c:v>460.29157019967283</c:v>
                </c:pt>
                <c:pt idx="189">
                  <c:v>460.29157019967283</c:v>
                </c:pt>
                <c:pt idx="190">
                  <c:v>460.29157019967283</c:v>
                </c:pt>
                <c:pt idx="191">
                  <c:v>460.29157019967283</c:v>
                </c:pt>
                <c:pt idx="192">
                  <c:v>460.29157019967283</c:v>
                </c:pt>
                <c:pt idx="193">
                  <c:v>460.29157019967283</c:v>
                </c:pt>
                <c:pt idx="194">
                  <c:v>460.29157019967283</c:v>
                </c:pt>
                <c:pt idx="195">
                  <c:v>460.29157019967283</c:v>
                </c:pt>
                <c:pt idx="196">
                  <c:v>460.29157019967283</c:v>
                </c:pt>
                <c:pt idx="197">
                  <c:v>460.29157019967283</c:v>
                </c:pt>
                <c:pt idx="198">
                  <c:v>460.29157019967283</c:v>
                </c:pt>
                <c:pt idx="199">
                  <c:v>460.29157019967283</c:v>
                </c:pt>
                <c:pt idx="200">
                  <c:v>460.29157019967283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0" zoomScale="93" zoomScaleNormal="93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3" zoomScale="90" zoomScaleNormal="90" workbookViewId="0">
      <selection activeCell="D85" sqref="D8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45.24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0.44469999999999998</v>
      </c>
      <c r="D9" s="36">
        <f t="shared" ref="D9:D18" si="0">C9*$C$5</f>
        <v>20.118227999999998</v>
      </c>
      <c r="E9" s="37">
        <v>110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38</v>
      </c>
      <c r="C10" s="35">
        <v>0.51580000000000004</v>
      </c>
      <c r="D10" s="36">
        <f t="shared" si="0"/>
        <v>23.334792000000004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</v>
      </c>
      <c r="C11" s="35">
        <v>3.95E-2</v>
      </c>
      <c r="D11" s="36">
        <f t="shared" si="0"/>
        <v>1.78698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45.24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D33" s="25" t="s">
        <v>324</v>
      </c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137</v>
      </c>
      <c r="C36" s="63">
        <v>1</v>
      </c>
      <c r="D36" s="63">
        <v>20</v>
      </c>
      <c r="E36" s="54"/>
      <c r="F36" s="54"/>
      <c r="G36" s="54"/>
      <c r="H36" s="54">
        <v>1</v>
      </c>
      <c r="I36" s="52">
        <f>IFERROR(B36/A36,"")</f>
        <v>6.85</v>
      </c>
      <c r="J36" s="292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195</v>
      </c>
      <c r="C37" s="63">
        <v>2</v>
      </c>
      <c r="D37" s="63">
        <v>40</v>
      </c>
      <c r="E37" s="54">
        <v>0.05</v>
      </c>
      <c r="F37" s="54"/>
      <c r="G37" s="54"/>
      <c r="H37" s="54">
        <v>0.95</v>
      </c>
      <c r="I37" s="56">
        <f t="shared" ref="I37:I55" si="1">IF(A37&lt;&gt;0,(B37-(B36-D36))/(A37-A36),"")</f>
        <v>7.8</v>
      </c>
      <c r="J37" s="292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240</v>
      </c>
      <c r="C38" s="63">
        <v>3</v>
      </c>
      <c r="D38" s="63">
        <v>60</v>
      </c>
      <c r="E38" s="54">
        <v>0.1</v>
      </c>
      <c r="F38" s="54"/>
      <c r="G38" s="54"/>
      <c r="H38" s="54">
        <v>0.9</v>
      </c>
      <c r="I38" s="56">
        <f t="shared" si="1"/>
        <v>8.5</v>
      </c>
      <c r="J38" s="292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273</v>
      </c>
      <c r="C39" s="63">
        <v>4</v>
      </c>
      <c r="D39" s="63">
        <v>80</v>
      </c>
      <c r="E39" s="54">
        <v>0.15</v>
      </c>
      <c r="F39" s="54"/>
      <c r="G39" s="54"/>
      <c r="H39" s="54">
        <v>0.85</v>
      </c>
      <c r="I39" s="52">
        <f t="shared" si="1"/>
        <v>9.3000000000000007</v>
      </c>
      <c r="J39" s="292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300</v>
      </c>
      <c r="C40" s="63">
        <v>5</v>
      </c>
      <c r="D40" s="63">
        <v>90</v>
      </c>
      <c r="E40" s="54">
        <v>0.2</v>
      </c>
      <c r="F40" s="54"/>
      <c r="G40" s="54"/>
      <c r="H40" s="54">
        <v>0.8</v>
      </c>
      <c r="I40" s="52">
        <f t="shared" si="1"/>
        <v>10.7</v>
      </c>
      <c r="J40" s="292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325</v>
      </c>
      <c r="C41" s="63">
        <v>6</v>
      </c>
      <c r="D41" s="63">
        <v>100</v>
      </c>
      <c r="E41" s="54">
        <v>0.25</v>
      </c>
      <c r="F41" s="54"/>
      <c r="G41" s="54"/>
      <c r="H41" s="54">
        <v>0.75</v>
      </c>
      <c r="I41" s="56">
        <f t="shared" si="1"/>
        <v>11.5</v>
      </c>
      <c r="J41" s="292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349</v>
      </c>
      <c r="C42" s="63">
        <v>7</v>
      </c>
      <c r="D42" s="63">
        <v>110</v>
      </c>
      <c r="E42" s="54">
        <v>0.3</v>
      </c>
      <c r="F42" s="54"/>
      <c r="G42" s="54"/>
      <c r="H42" s="54">
        <v>0.7</v>
      </c>
      <c r="I42" s="56">
        <f t="shared" si="1"/>
        <v>12.4</v>
      </c>
      <c r="J42" s="292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368</v>
      </c>
      <c r="C43" s="63">
        <v>8</v>
      </c>
      <c r="D43" s="63">
        <v>120</v>
      </c>
      <c r="E43" s="54">
        <v>0.35</v>
      </c>
      <c r="F43" s="54"/>
      <c r="G43" s="54"/>
      <c r="H43" s="54">
        <v>0.65</v>
      </c>
      <c r="I43" s="52">
        <f t="shared" si="1"/>
        <v>12.9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382</v>
      </c>
      <c r="C44" s="63">
        <v>9</v>
      </c>
      <c r="D44" s="63">
        <v>130</v>
      </c>
      <c r="E44" s="54">
        <v>0.4</v>
      </c>
      <c r="F44" s="54"/>
      <c r="G44" s="54"/>
      <c r="H44" s="54">
        <v>0.6</v>
      </c>
      <c r="I44" s="52">
        <f t="shared" si="1"/>
        <v>13.4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110</v>
      </c>
      <c r="B45" s="63">
        <v>372</v>
      </c>
      <c r="C45" s="63">
        <v>10</v>
      </c>
      <c r="D45" s="63">
        <v>372</v>
      </c>
      <c r="E45" s="54">
        <v>0.45</v>
      </c>
      <c r="F45" s="54"/>
      <c r="G45" s="54"/>
      <c r="H45" s="54">
        <v>0.55000000000000004</v>
      </c>
      <c r="I45" s="52">
        <f t="shared" si="1"/>
        <v>12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noir d'Autriche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D59" s="25" t="s">
        <v>326</v>
      </c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f>56+3</f>
        <v>59</v>
      </c>
      <c r="C62" s="63">
        <v>1</v>
      </c>
      <c r="D62" s="63">
        <v>3</v>
      </c>
      <c r="E62" s="54">
        <v>0</v>
      </c>
      <c r="F62" s="54">
        <v>0</v>
      </c>
      <c r="G62" s="54">
        <v>0.3</v>
      </c>
      <c r="H62" s="54">
        <v>0.7</v>
      </c>
      <c r="I62" s="56">
        <f>IFERROR(B62/A62,"")</f>
        <v>2.95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f>144+12</f>
        <v>156</v>
      </c>
      <c r="C63" s="63">
        <v>2</v>
      </c>
      <c r="D63" s="63">
        <v>12</v>
      </c>
      <c r="E63" s="54">
        <v>0.05</v>
      </c>
      <c r="F63" s="54">
        <v>0</v>
      </c>
      <c r="G63" s="54">
        <v>0.3</v>
      </c>
      <c r="H63" s="54">
        <v>0.65</v>
      </c>
      <c r="I63" s="52">
        <f>IF(A63&lt;&gt;0,(B63-(B62-D62))/(A63-A62),"")</f>
        <v>10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f>226+21</f>
        <v>247</v>
      </c>
      <c r="C64" s="63">
        <v>3</v>
      </c>
      <c r="D64" s="63">
        <v>21</v>
      </c>
      <c r="E64" s="54">
        <v>0.05</v>
      </c>
      <c r="F64" s="54">
        <v>0</v>
      </c>
      <c r="G64" s="54">
        <v>0.35</v>
      </c>
      <c r="H64" s="54">
        <v>0.6</v>
      </c>
      <c r="I64" s="52">
        <f>IF(A64&lt;&gt;0,(B64-(B63-D63))/(A64-A63),"")</f>
        <v>10.3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f>296+25</f>
        <v>321</v>
      </c>
      <c r="C65" s="63">
        <v>4</v>
      </c>
      <c r="D65" s="63">
        <v>25</v>
      </c>
      <c r="E65" s="54">
        <v>0.1</v>
      </c>
      <c r="F65" s="54">
        <v>0</v>
      </c>
      <c r="G65" s="54">
        <v>0.3</v>
      </c>
      <c r="H65" s="54">
        <v>0.6</v>
      </c>
      <c r="I65" s="52">
        <f>IF(A65&lt;&gt;0,(B65-(B64-D64))/(A65-A64),"")</f>
        <v>9.5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f>352+27</f>
        <v>379</v>
      </c>
      <c r="C66" s="63">
        <v>5</v>
      </c>
      <c r="D66" s="63">
        <v>27</v>
      </c>
      <c r="E66" s="54">
        <v>0.2</v>
      </c>
      <c r="F66" s="54">
        <v>0</v>
      </c>
      <c r="G66" s="54">
        <v>0.4</v>
      </c>
      <c r="H66" s="54">
        <v>0.4</v>
      </c>
      <c r="I66" s="52">
        <f t="shared" ref="I66:I81" si="2">IF(A66&lt;&gt;0,(B66-(B65-D65))/(A66-A65),"")</f>
        <v>8.3000000000000007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f>396+26</f>
        <v>422</v>
      </c>
      <c r="C67" s="63">
        <v>6</v>
      </c>
      <c r="D67" s="63">
        <v>26</v>
      </c>
      <c r="E67" s="54">
        <v>0.25</v>
      </c>
      <c r="F67" s="54">
        <v>0</v>
      </c>
      <c r="G67" s="54">
        <v>0.4</v>
      </c>
      <c r="H67" s="54">
        <v>0.35</v>
      </c>
      <c r="I67" s="52">
        <f t="shared" si="2"/>
        <v>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f>432+24</f>
        <v>456</v>
      </c>
      <c r="C68" s="63">
        <v>7</v>
      </c>
      <c r="D68" s="63">
        <v>24</v>
      </c>
      <c r="E68" s="54">
        <v>0.3</v>
      </c>
      <c r="F68" s="54">
        <v>0</v>
      </c>
      <c r="G68" s="54">
        <v>0.4</v>
      </c>
      <c r="H68" s="54">
        <v>0.3</v>
      </c>
      <c r="I68" s="52">
        <f t="shared" si="2"/>
        <v>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f>462+24</f>
        <v>486</v>
      </c>
      <c r="C69" s="53">
        <v>8</v>
      </c>
      <c r="D69" s="53">
        <v>24</v>
      </c>
      <c r="E69" s="54">
        <v>0.35</v>
      </c>
      <c r="F69" s="54">
        <v>0</v>
      </c>
      <c r="G69" s="54">
        <v>0.4</v>
      </c>
      <c r="H69" s="54">
        <v>0.25</v>
      </c>
      <c r="I69" s="52">
        <f t="shared" si="2"/>
        <v>5.4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f>490+25</f>
        <v>515</v>
      </c>
      <c r="C70" s="53">
        <v>9</v>
      </c>
      <c r="D70" s="53">
        <v>25</v>
      </c>
      <c r="E70" s="54">
        <v>0.4</v>
      </c>
      <c r="F70" s="54">
        <v>0</v>
      </c>
      <c r="G70" s="54">
        <v>0.4</v>
      </c>
      <c r="H70" s="54">
        <v>0.2</v>
      </c>
      <c r="I70" s="52">
        <f t="shared" si="2"/>
        <v>5.3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pubescent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D85" s="25" t="s">
        <v>325</v>
      </c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30</v>
      </c>
      <c r="C88" s="63"/>
      <c r="D88" s="63"/>
      <c r="E88" s="54"/>
      <c r="F88" s="54"/>
      <c r="G88" s="54"/>
      <c r="H88" s="93"/>
      <c r="I88" s="56">
        <f>IFERROR(B88/A88,"")</f>
        <v>1.2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54</v>
      </c>
      <c r="C89" s="63"/>
      <c r="D89" s="63"/>
      <c r="E89" s="63"/>
      <c r="F89" s="63"/>
      <c r="G89" s="63"/>
      <c r="H89" s="63"/>
      <c r="I89" s="56">
        <f t="shared" ref="I89:I107" si="3">IF(A89&lt;&gt;0,(B89-(B88-D88))/(A89-A88),"")</f>
        <v>4.8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f>66+13</f>
        <v>79</v>
      </c>
      <c r="C90" s="63"/>
      <c r="D90" s="63">
        <v>13</v>
      </c>
      <c r="E90" s="63"/>
      <c r="F90" s="63"/>
      <c r="G90" s="63"/>
      <c r="H90" s="68">
        <v>1</v>
      </c>
      <c r="I90" s="56">
        <f t="shared" si="3"/>
        <v>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f>79+14</f>
        <v>93</v>
      </c>
      <c r="C91" s="63"/>
      <c r="D91" s="63">
        <v>14</v>
      </c>
      <c r="E91" s="63"/>
      <c r="F91" s="63"/>
      <c r="G91" s="63"/>
      <c r="H91" s="68">
        <v>1</v>
      </c>
      <c r="I91" s="56">
        <f t="shared" si="3"/>
        <v>5.4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f>93+14</f>
        <v>107</v>
      </c>
      <c r="C92" s="63"/>
      <c r="D92" s="63">
        <v>14</v>
      </c>
      <c r="E92" s="63"/>
      <c r="F92" s="63"/>
      <c r="G92" s="63"/>
      <c r="H92" s="68">
        <v>1</v>
      </c>
      <c r="I92" s="56">
        <f t="shared" si="3"/>
        <v>5.6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f>107+14</f>
        <v>121</v>
      </c>
      <c r="C93" s="63"/>
      <c r="D93" s="63">
        <v>14</v>
      </c>
      <c r="E93" s="68">
        <v>0.05</v>
      </c>
      <c r="F93" s="63"/>
      <c r="G93" s="63"/>
      <c r="H93" s="68">
        <v>0.95</v>
      </c>
      <c r="I93" s="56">
        <f t="shared" si="3"/>
        <v>5.6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f>121+14</f>
        <v>135</v>
      </c>
      <c r="C94" s="63"/>
      <c r="D94" s="63">
        <v>14</v>
      </c>
      <c r="E94" s="68">
        <v>0.05</v>
      </c>
      <c r="F94" s="63"/>
      <c r="G94" s="63"/>
      <c r="H94" s="68">
        <v>0.95</v>
      </c>
      <c r="I94" s="56">
        <f t="shared" si="3"/>
        <v>5.6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f>134+14</f>
        <v>148</v>
      </c>
      <c r="C95" s="63"/>
      <c r="D95" s="63">
        <v>14</v>
      </c>
      <c r="E95" s="54">
        <v>0.1</v>
      </c>
      <c r="F95" s="54"/>
      <c r="G95" s="54"/>
      <c r="H95" s="93">
        <v>0.9</v>
      </c>
      <c r="I95" s="56">
        <f t="shared" si="3"/>
        <v>5.4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f>147+14</f>
        <v>161</v>
      </c>
      <c r="C96" s="63"/>
      <c r="D96" s="63">
        <v>14</v>
      </c>
      <c r="E96" s="93">
        <v>0.1</v>
      </c>
      <c r="F96" s="93"/>
      <c r="G96" s="93"/>
      <c r="H96" s="93">
        <v>0.9</v>
      </c>
      <c r="I96" s="56">
        <f t="shared" si="3"/>
        <v>5.4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f>158+14</f>
        <v>172</v>
      </c>
      <c r="C97" s="63"/>
      <c r="D97" s="63">
        <v>14</v>
      </c>
      <c r="E97" s="93">
        <v>0.15</v>
      </c>
      <c r="F97" s="93"/>
      <c r="G97" s="93"/>
      <c r="H97" s="93">
        <v>0.85</v>
      </c>
      <c r="I97" s="56">
        <f t="shared" si="3"/>
        <v>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f>169+14</f>
        <v>183</v>
      </c>
      <c r="C98" s="63"/>
      <c r="D98" s="63">
        <v>14</v>
      </c>
      <c r="E98" s="93">
        <v>0.15</v>
      </c>
      <c r="F98" s="93"/>
      <c r="G98" s="93"/>
      <c r="H98" s="93">
        <v>0.85</v>
      </c>
      <c r="I98" s="56">
        <f t="shared" si="3"/>
        <v>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f>178+14</f>
        <v>192</v>
      </c>
      <c r="C99" s="63"/>
      <c r="D99" s="63">
        <v>14</v>
      </c>
      <c r="E99" s="93">
        <v>0.2</v>
      </c>
      <c r="F99" s="93"/>
      <c r="G99" s="93"/>
      <c r="H99" s="93">
        <v>0.8</v>
      </c>
      <c r="I99" s="56">
        <f t="shared" si="3"/>
        <v>4.5999999999999996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f>186+14</f>
        <v>200</v>
      </c>
      <c r="C100" s="63"/>
      <c r="D100" s="63">
        <v>14</v>
      </c>
      <c r="E100" s="93">
        <v>0.2</v>
      </c>
      <c r="F100" s="93"/>
      <c r="G100" s="93"/>
      <c r="H100" s="93">
        <v>0.8</v>
      </c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f>193+14</f>
        <v>207</v>
      </c>
      <c r="C101" s="63"/>
      <c r="D101" s="63">
        <v>14</v>
      </c>
      <c r="E101" s="93">
        <v>0.3</v>
      </c>
      <c r="F101" s="93"/>
      <c r="G101" s="93"/>
      <c r="H101" s="93">
        <v>0.7</v>
      </c>
      <c r="I101" s="56">
        <f t="shared" si="3"/>
        <v>4.2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f>198+14</f>
        <v>212</v>
      </c>
      <c r="C102" s="63"/>
      <c r="D102" s="53">
        <v>14</v>
      </c>
      <c r="E102" s="93">
        <v>0.35</v>
      </c>
      <c r="F102" s="93"/>
      <c r="G102" s="93"/>
      <c r="H102" s="93">
        <v>0.65</v>
      </c>
      <c r="I102" s="56">
        <f t="shared" si="3"/>
        <v>3.8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f>202+14</f>
        <v>216</v>
      </c>
      <c r="C103" s="63"/>
      <c r="D103" s="53">
        <v>14</v>
      </c>
      <c r="E103" s="93">
        <v>0.4</v>
      </c>
      <c r="F103" s="93"/>
      <c r="G103" s="93"/>
      <c r="H103" s="93">
        <v>0.6</v>
      </c>
      <c r="I103" s="56">
        <f t="shared" si="3"/>
        <v>3.6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f>204+14</f>
        <v>218</v>
      </c>
      <c r="C104" s="63"/>
      <c r="D104" s="53">
        <v>14</v>
      </c>
      <c r="E104" s="93">
        <v>0.4</v>
      </c>
      <c r="F104" s="93"/>
      <c r="G104" s="93"/>
      <c r="H104" s="93">
        <v>0.6</v>
      </c>
      <c r="I104" s="56">
        <f t="shared" si="3"/>
        <v>3.2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f>206+13</f>
        <v>219</v>
      </c>
      <c r="C105" s="53"/>
      <c r="D105" s="53">
        <v>13</v>
      </c>
      <c r="E105" s="93">
        <v>0.4</v>
      </c>
      <c r="F105" s="93"/>
      <c r="G105" s="93"/>
      <c r="H105" s="93">
        <v>0.6</v>
      </c>
      <c r="I105" s="56">
        <f t="shared" si="3"/>
        <v>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f>208+13</f>
        <v>221</v>
      </c>
      <c r="C106" s="53"/>
      <c r="D106" s="53">
        <v>13</v>
      </c>
      <c r="E106" s="93">
        <v>0.4</v>
      </c>
      <c r="F106" s="93"/>
      <c r="G106" s="93"/>
      <c r="H106" s="93">
        <v>0.6</v>
      </c>
      <c r="I106" s="56">
        <f t="shared" si="3"/>
        <v>3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f>209+12</f>
        <v>221</v>
      </c>
      <c r="C107" s="53"/>
      <c r="D107" s="53">
        <v>12</v>
      </c>
      <c r="E107" s="93">
        <v>0.4</v>
      </c>
      <c r="F107" s="93"/>
      <c r="G107" s="93"/>
      <c r="H107" s="93">
        <v>0.6</v>
      </c>
      <c r="I107" s="56">
        <f t="shared" si="3"/>
        <v>2.6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90" zoomScaleNormal="9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1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41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Cèdre de l'Atlas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noir d'Autriche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 pubescent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188.51537094662768</v>
      </c>
      <c r="T3" s="62">
        <f>IF('Données projet'!E9&gt;30,$R$33-$H$33,LOOKUP('Données projet'!$E$9,$A$3:$A$203,R3:R203)-LOOKUP('Données projet'!$E$9,$A$3:$A$203,$H$3:$H$203))</f>
        <v>181.95202230446716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318.69447733545013</v>
      </c>
      <c r="AO3" s="62">
        <f>IF('Données projet'!E10&gt;30,$AM$33-$H$33,LOOKUP('Données projet'!$E$10,$A$3:$A$203,AM3:AM203)-LOOKUP('Données projet'!$E$10,$A$3:$A$203,$H$3:$H$203))</f>
        <v>186.33351136372443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238.29088076221427</v>
      </c>
      <c r="BJ3" s="62">
        <f>IF('Données projet'!E11&gt;30,$BH$33-$H$33,LOOKUP('Données projet'!$E$11,$A$3:$A$203,BH3:BH203)-LOOKUP('Données projet'!$E$11,$A$3:$A$203,$H$3:$H$203))</f>
        <v>102.64102748467457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0.28600000000000003</v>
      </c>
      <c r="D4" s="12">
        <f>IFERROR(EXP(-1.0587+0.8836*LN(C4)+0.284),0)</f>
        <v>0.15247445571575505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3.3847150967531969</v>
      </c>
      <c r="H4" s="70">
        <f t="shared" ref="H4:H67" si="1">(B4+E4+F4)*44/12+(C4+D4)*0.475*44/12</f>
        <v>294.09700967703827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6.85</v>
      </c>
      <c r="N4" s="14">
        <f>IF('Données projet'!$A$36&gt;35,N3+M4-V3,IF(A4&lt;'Données projet'!$A$36,$K$205^A4,IF(A4='Données projet'!$A$36,'Données projet'!$B$36,N3+M4-V3)))</f>
        <v>1.278898353844806</v>
      </c>
      <c r="O4" s="14">
        <f>N4*VLOOKUP('Données projet'!$B$9,Paramètres!$A$1:$I$89,3,0)*VLOOKUP('Données projet'!$B$9,Paramètres!$A$1:$I$89,5,0)</f>
        <v>0.59852442959936925</v>
      </c>
      <c r="P4" s="14">
        <f>EXP(-1.0587+0.8836*LN(O4)+0.284)</f>
        <v>0.29280710808803412</v>
      </c>
      <c r="Q4" s="22">
        <f t="shared" ref="Q4:Q34" si="2">(O4+P4)*0.475*44/12</f>
        <v>1.5524024281388942</v>
      </c>
      <c r="R4" s="62">
        <f t="shared" si="0"/>
        <v>294.88573576147223</v>
      </c>
      <c r="S4" s="62">
        <f ca="1">AVERAGE(OFFSET($R$3,0,0,'Données projet'!$E$9+1,1))-AVERAGE(OFFSET($H$3,0,0,'Données projet'!$E$9+1,1))</f>
        <v>188.51537094662768</v>
      </c>
      <c r="T4" s="62">
        <f>$T$3</f>
        <v>181.95202230446716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2.95</v>
      </c>
      <c r="AI4" s="14">
        <f>IF('Données projet'!$A$62&gt;35,AI3+AH4-AQ3,IF(A4&lt;'Données projet'!$A$62,$AF$205^A4,IF(A4='Données projet'!$A$62,'Données projet'!$B$62,AI3+AH4-AQ3)))</f>
        <v>1.226147171351889</v>
      </c>
      <c r="AJ4" s="14">
        <f>AI4*VLOOKUP('Données projet'!$B$10,Paramètres!$A$1:$I$89,3,0)*VLOOKUP('Données projet'!$B$10,Paramètres!$A$1:$I$89,5,0)</f>
        <v>0.73323600846842973</v>
      </c>
      <c r="AK4" s="14">
        <f>EXP(-1.0587+0.8836*LN(AJ4)+0.284)</f>
        <v>0.35033334269676686</v>
      </c>
      <c r="AL4" s="22">
        <f t="shared" ref="AL4:AL67" si="4">(AJ4+AK4)*0.475*44/12</f>
        <v>1.8872166199460507</v>
      </c>
      <c r="AM4" s="62">
        <f t="shared" ref="AM4:AM67" si="5">AL4+(AD4+AE4)*44/12</f>
        <v>295.22054995327937</v>
      </c>
      <c r="AN4" s="62">
        <f ca="1">AVERAGE(OFFSET($AM$3,0,0,'Données projet'!$E$10+1,1))-AVERAGE(OFFSET($H$3,0,0,'Données projet'!$E$10+1,1))</f>
        <v>318.69447733545013</v>
      </c>
      <c r="AO4" s="62">
        <f>$AO$3</f>
        <v>186.33351136372443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1.2</v>
      </c>
      <c r="BD4" s="13">
        <f>IF('Données projet'!$A$88&gt;35,BD3+BC4-BL3,IF(A4&lt;'Données projet'!$A$88,$BA$205^A4,IF(A4='Données projet'!$A$88,'Données projet'!$B$88,BD3+BC4-BL3)))</f>
        <v>1.1457367676485573</v>
      </c>
      <c r="BE4" s="14">
        <f>BD4*VLOOKUP('Données projet'!$B$11,Paramètres!$A$1:$I$89,3,0)*VLOOKUP('Données projet'!$B$11,Paramètres!$A$1:$I$89,5,0)</f>
        <v>1.161777082395637</v>
      </c>
      <c r="BF4" s="14">
        <f>EXP(-1.0587+0.8836*LN(BE4)+0.284)</f>
        <v>0.52613182870286601</v>
      </c>
      <c r="BG4" s="22">
        <f t="shared" ref="BG4:BG67" si="7">(BE4+BF4)*0.475*44/12</f>
        <v>2.9397746868298928</v>
      </c>
      <c r="BH4" s="62">
        <f t="shared" ref="BH4:BH67" si="8">BG4+(AY4+AZ4)*44/12</f>
        <v>296.27310802016319</v>
      </c>
      <c r="BI4" s="62">
        <f ca="1">AVERAGE(OFFSET($BH$3,0,0,'Données projet'!$E$11+1,1))-AVERAGE(OFFSET($H$3,0,0,'Données projet'!$E$11+1,1))</f>
        <v>238.29088076221427</v>
      </c>
      <c r="BJ4" s="62">
        <f>$BJ$3</f>
        <v>102.64102748467457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0.57200000000000006</v>
      </c>
      <c r="D5" s="12">
        <f t="shared" ref="D5:D68" si="32">IFERROR(EXP(-1.0587+0.8836*LN(C5)+0.284),0)</f>
        <v>0.28131131179577301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6.5869645121077225</v>
      </c>
      <c r="H5" s="70">
        <f t="shared" si="1"/>
        <v>294.81951720137761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6.85</v>
      </c>
      <c r="N5" s="14">
        <f>IF('Données projet'!$A$36&gt;35,N4+M5-V4,IF(A5&lt;'Données projet'!$A$36,$K$205^A5,IF(A5='Données projet'!$A$36,'Données projet'!$B$36,N4+M5-V4)))</f>
        <v>1.6355809994669546</v>
      </c>
      <c r="O5" s="14">
        <f>N5*VLOOKUP('Données projet'!$B$9,Paramètres!$A$1:$I$89,3,0)*VLOOKUP('Données projet'!$B$9,Paramètres!$A$1:$I$89,5,0)</f>
        <v>0.76545190775053484</v>
      </c>
      <c r="P5" s="14">
        <f t="shared" ref="P5:P68" si="33">EXP(-1.0587+0.8836*LN(O5)+0.284)</f>
        <v>0.36389989473626794</v>
      </c>
      <c r="Q5" s="22">
        <f t="shared" si="2"/>
        <v>1.9669543893311816</v>
      </c>
      <c r="R5" s="62">
        <f t="shared" si="0"/>
        <v>295.30028772266451</v>
      </c>
      <c r="S5" s="62">
        <f ca="1">AVERAGE(OFFSET($R$3,0,0,'Données projet'!$E$9+1,1))-AVERAGE(OFFSET($H$3,0,0,'Données projet'!$E$9+1,1))</f>
        <v>188.51537094662768</v>
      </c>
      <c r="T5" s="62">
        <f t="shared" ref="T5:T68" si="34">$T$3</f>
        <v>181.95202230446716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2.95</v>
      </c>
      <c r="AI5" s="14">
        <f>IF('Données projet'!$A$62&gt;35,AI4+AH5-AQ4,IF(A5&lt;'Données projet'!$A$62,$AF$205^A5,IF(A5='Données projet'!$A$62,'Données projet'!$B$62,AI4+AH5-AQ4)))</f>
        <v>1.5034368858142386</v>
      </c>
      <c r="AJ5" s="14">
        <f>AI5*VLOOKUP('Données projet'!$B$10,Paramètres!$A$1:$I$89,3,0)*VLOOKUP('Données projet'!$B$10,Paramètres!$A$1:$I$89,5,0)</f>
        <v>0.89905525771691475</v>
      </c>
      <c r="AK5" s="14">
        <f t="shared" ref="AK5:AK68" si="35">EXP(-1.0587+0.8836*LN(AJ5)+0.284)</f>
        <v>0.41948623529840945</v>
      </c>
      <c r="AL5" s="22">
        <f t="shared" si="4"/>
        <v>2.2964597670016897</v>
      </c>
      <c r="AM5" s="62">
        <f t="shared" si="5"/>
        <v>295.62979310033501</v>
      </c>
      <c r="AN5" s="62">
        <f ca="1">AVERAGE(OFFSET($AM$3,0,0,'Données projet'!$E$10+1,1))-AVERAGE(OFFSET($H$3,0,0,'Données projet'!$E$10+1,1))</f>
        <v>318.69447733545013</v>
      </c>
      <c r="AO5" s="62">
        <f t="shared" ref="AO5:AO68" si="36">$AO$3</f>
        <v>186.33351136372443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1.2</v>
      </c>
      <c r="BD5" s="13">
        <f>IF('Données projet'!$A$88&gt;35,BD4+BC5-BL4,IF(A5&lt;'Données projet'!$A$88,$BA$205^A5,IF(A5='Données projet'!$A$88,'Données projet'!$B$88,BD4+BC5-BL4)))</f>
        <v>1.312712740741764</v>
      </c>
      <c r="BE5" s="14">
        <f>BD5*VLOOKUP('Données projet'!$B$11,Paramètres!$A$1:$I$89,3,0)*VLOOKUP('Données projet'!$B$11,Paramètres!$A$1:$I$89,5,0)</f>
        <v>1.3310907191121488</v>
      </c>
      <c r="BF5" s="14">
        <f t="shared" ref="BF5:BF68" si="37">EXP(-1.0587+0.8836*LN(BE5)+0.284)</f>
        <v>0.59333770733536928</v>
      </c>
      <c r="BG5" s="22">
        <f t="shared" si="7"/>
        <v>3.3517128427294267</v>
      </c>
      <c r="BH5" s="62">
        <f t="shared" si="8"/>
        <v>296.68504617606277</v>
      </c>
      <c r="BI5" s="62">
        <f ca="1">AVERAGE(OFFSET($BH$3,0,0,'Données projet'!$E$11+1,1))-AVERAGE(OFFSET($H$3,0,0,'Données projet'!$E$11+1,1))</f>
        <v>238.29088076221427</v>
      </c>
      <c r="BJ5" s="62">
        <f t="shared" ref="BJ5:BJ68" si="38">$BJ$3</f>
        <v>102.64102748467457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0.8580000000000001</v>
      </c>
      <c r="D6" s="12">
        <f t="shared" si="32"/>
        <v>0.4025144097267247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9.7302866715747189</v>
      </c>
      <c r="H6" s="70">
        <f t="shared" si="1"/>
        <v>295.52872926360737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6.85</v>
      </c>
      <c r="N6" s="14">
        <f>IF('Données projet'!$A$36&gt;35,N5+M6-V5,IF(A6&lt;'Données projet'!$A$36,$K$205^A6,IF(A6='Données projet'!$A$36,'Données projet'!$B$36,N5+M6-V5)))</f>
        <v>2.0917418477981307</v>
      </c>
      <c r="O6" s="14">
        <f>N6*VLOOKUP('Données projet'!$B$9,Paramètres!$A$1:$I$89,3,0)*VLOOKUP('Données projet'!$B$9,Paramètres!$A$1:$I$89,5,0)</f>
        <v>0.97893518476952512</v>
      </c>
      <c r="P6" s="14">
        <f t="shared" si="33"/>
        <v>0.45225382079608906</v>
      </c>
      <c r="Q6" s="22">
        <f t="shared" si="2"/>
        <v>2.4926541846934445</v>
      </c>
      <c r="R6" s="62">
        <f t="shared" si="0"/>
        <v>295.82598751802675</v>
      </c>
      <c r="S6" s="62">
        <f ca="1">AVERAGE(OFFSET($R$3,0,0,'Données projet'!$E$9+1,1))-AVERAGE(OFFSET($H$3,0,0,'Données projet'!$E$9+1,1))</f>
        <v>188.51537094662768</v>
      </c>
      <c r="T6" s="62">
        <f t="shared" si="34"/>
        <v>181.95202230446716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2.95</v>
      </c>
      <c r="AI6" s="14">
        <f>IF('Données projet'!$A$62&gt;35,AI5+AH6-AQ5,IF(A6&lt;'Données projet'!$A$62,$AF$205^A6,IF(A6='Données projet'!$A$62,'Données projet'!$B$62,AI5+AH6-AQ5)))</f>
        <v>1.8434348848472215</v>
      </c>
      <c r="AJ6" s="14">
        <f>AI6*VLOOKUP('Données projet'!$B$10,Paramètres!$A$1:$I$89,3,0)*VLOOKUP('Données projet'!$B$10,Paramètres!$A$1:$I$89,5,0)</f>
        <v>1.1023740611386386</v>
      </c>
      <c r="AK6" s="14">
        <f t="shared" si="35"/>
        <v>0.50228933463847691</v>
      </c>
      <c r="AL6" s="22">
        <f t="shared" si="4"/>
        <v>2.7947887476451427</v>
      </c>
      <c r="AM6" s="62">
        <f t="shared" si="5"/>
        <v>296.12812208097847</v>
      </c>
      <c r="AN6" s="62">
        <f ca="1">AVERAGE(OFFSET($AM$3,0,0,'Données projet'!$E$10+1,1))-AVERAGE(OFFSET($H$3,0,0,'Données projet'!$E$10+1,1))</f>
        <v>318.69447733545013</v>
      </c>
      <c r="AO6" s="62">
        <f t="shared" si="36"/>
        <v>186.33351136372443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1.2</v>
      </c>
      <c r="BD6" s="13">
        <f>IF('Données projet'!$A$88&gt;35,BD5+BC6-BL5,IF(A6&lt;'Données projet'!$A$88,$BA$205^A6,IF(A6='Données projet'!$A$88,'Données projet'!$B$88,BD5+BC6-BL5)))</f>
        <v>1.5040232524285473</v>
      </c>
      <c r="BE6" s="14">
        <f>BD6*VLOOKUP('Données projet'!$B$11,Paramètres!$A$1:$I$89,3,0)*VLOOKUP('Données projet'!$B$11,Paramètres!$A$1:$I$89,5,0)</f>
        <v>1.525079577962547</v>
      </c>
      <c r="BF6" s="14">
        <f t="shared" si="37"/>
        <v>0.6691281837366525</v>
      </c>
      <c r="BG6" s="22">
        <f t="shared" si="7"/>
        <v>3.8215785182927724</v>
      </c>
      <c r="BH6" s="62">
        <f t="shared" si="8"/>
        <v>297.15491185162608</v>
      </c>
      <c r="BI6" s="62">
        <f ca="1">AVERAGE(OFFSET($BH$3,0,0,'Données projet'!$E$11+1,1))-AVERAGE(OFFSET($H$3,0,0,'Données projet'!$E$11+1,1))</f>
        <v>238.29088076221427</v>
      </c>
      <c r="BJ6" s="62">
        <f t="shared" si="38"/>
        <v>102.64102748467457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1.1440000000000001</v>
      </c>
      <c r="D7" s="12">
        <f t="shared" si="32"/>
        <v>0.51901188151663313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12.837284699426641</v>
      </c>
      <c r="H7" s="70">
        <f t="shared" si="1"/>
        <v>296.22974569364146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6.85</v>
      </c>
      <c r="N7" s="14">
        <f>IF('Données projet'!$A$36&gt;35,N6+M7-V6,IF(A7&lt;'Données projet'!$A$36,$K$205^A7,IF(A7='Données projet'!$A$36,'Données projet'!$B$36,N6+M7-V6)))</f>
        <v>2.6751252058173218</v>
      </c>
      <c r="O7" s="14">
        <f>N7*VLOOKUP('Données projet'!$B$9,Paramètres!$A$1:$I$89,3,0)*VLOOKUP('Données projet'!$B$9,Paramètres!$A$1:$I$89,5,0)</f>
        <v>1.2519585963225066</v>
      </c>
      <c r="P7" s="14">
        <f t="shared" si="33"/>
        <v>0.56205984498262707</v>
      </c>
      <c r="Q7" s="22">
        <f t="shared" si="2"/>
        <v>3.1594154519397741</v>
      </c>
      <c r="R7" s="62">
        <f t="shared" si="0"/>
        <v>296.49274878527308</v>
      </c>
      <c r="S7" s="62">
        <f ca="1">AVERAGE(OFFSET($R$3,0,0,'Données projet'!$E$9+1,1))-AVERAGE(OFFSET($H$3,0,0,'Données projet'!$E$9+1,1))</f>
        <v>188.51537094662768</v>
      </c>
      <c r="T7" s="62">
        <f t="shared" si="34"/>
        <v>181.95202230446716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2.95</v>
      </c>
      <c r="AI7" s="14">
        <f>IF('Données projet'!$A$62&gt;35,AI6+AH7-AQ6,IF(A7&lt;'Données projet'!$A$62,$AF$205^A7,IF(A7='Données projet'!$A$62,'Données projet'!$B$62,AI6+AH7-AQ6)))</f>
        <v>2.260322469626816</v>
      </c>
      <c r="AJ7" s="14">
        <f>AI7*VLOOKUP('Données projet'!$B$10,Paramètres!$A$1:$I$89,3,0)*VLOOKUP('Données projet'!$B$10,Paramètres!$A$1:$I$89,5,0)</f>
        <v>1.3516728368368363</v>
      </c>
      <c r="AK7" s="14">
        <f t="shared" si="35"/>
        <v>0.60143707817275438</v>
      </c>
      <c r="AL7" s="22">
        <f t="shared" si="4"/>
        <v>3.4016664353083708</v>
      </c>
      <c r="AM7" s="62">
        <f t="shared" si="5"/>
        <v>296.73499976864167</v>
      </c>
      <c r="AN7" s="62">
        <f ca="1">AVERAGE(OFFSET($AM$3,0,0,'Données projet'!$E$10+1,1))-AVERAGE(OFFSET($H$3,0,0,'Données projet'!$E$10+1,1))</f>
        <v>318.69447733545013</v>
      </c>
      <c r="AO7" s="62">
        <f t="shared" si="36"/>
        <v>186.33351136372443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1.2</v>
      </c>
      <c r="BD7" s="13">
        <f>IF('Données projet'!$A$88&gt;35,BD6+BC7-BL6,IF(A7&lt;'Données projet'!$A$88,$BA$205^A7,IF(A7='Données projet'!$A$88,'Données projet'!$B$88,BD6+BC7-BL6)))</f>
        <v>1.7232147397057538</v>
      </c>
      <c r="BE7" s="14">
        <f>BD7*VLOOKUP('Données projet'!$B$11,Paramètres!$A$1:$I$89,3,0)*VLOOKUP('Données projet'!$B$11,Paramètres!$A$1:$I$89,5,0)</f>
        <v>1.7473397460616347</v>
      </c>
      <c r="BF7" s="14">
        <f t="shared" si="37"/>
        <v>0.7545998185105095</v>
      </c>
      <c r="BG7" s="22">
        <f t="shared" si="7"/>
        <v>4.3575447416298188</v>
      </c>
      <c r="BH7" s="62">
        <f t="shared" si="8"/>
        <v>297.69087807496311</v>
      </c>
      <c r="BI7" s="62">
        <f ca="1">AVERAGE(OFFSET($BH$3,0,0,'Données projet'!$E$11+1,1))-AVERAGE(OFFSET($H$3,0,0,'Données projet'!$E$11+1,1))</f>
        <v>238.29088076221427</v>
      </c>
      <c r="BJ7" s="62">
        <f t="shared" si="38"/>
        <v>102.64102748467457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1.4300000000000002</v>
      </c>
      <c r="D8" s="12">
        <f t="shared" si="32"/>
        <v>0.63213085258204882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15.918203072563189</v>
      </c>
      <c r="H8" s="70">
        <f t="shared" si="1"/>
        <v>296.92487790158037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6.85</v>
      </c>
      <c r="N8" s="14">
        <f>IF('Données projet'!$A$36&gt;35,N7+M8-V7,IF(A8&lt;'Données projet'!$A$36,$K$205^A8,IF(A8='Données projet'!$A$36,'Données projet'!$B$36,N7+M8-V7)))</f>
        <v>3.4212132220485207</v>
      </c>
      <c r="O8" s="14">
        <f>N8*VLOOKUP('Données projet'!$B$9,Paramètres!$A$1:$I$89,3,0)*VLOOKUP('Données projet'!$B$9,Paramètres!$A$1:$I$89,5,0)</f>
        <v>1.6011277879187076</v>
      </c>
      <c r="P8" s="14">
        <f t="shared" si="33"/>
        <v>0.69852647963439085</v>
      </c>
      <c r="Q8" s="22">
        <f t="shared" si="2"/>
        <v>4.0052311826549785</v>
      </c>
      <c r="R8" s="62">
        <f t="shared" si="0"/>
        <v>297.33856451598831</v>
      </c>
      <c r="S8" s="62">
        <f ca="1">AVERAGE(OFFSET($R$3,0,0,'Données projet'!$E$9+1,1))-AVERAGE(OFFSET($H$3,0,0,'Données projet'!$E$9+1,1))</f>
        <v>188.51537094662768</v>
      </c>
      <c r="T8" s="62">
        <f t="shared" si="34"/>
        <v>181.95202230446716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2.95</v>
      </c>
      <c r="AI8" s="14">
        <f>IF('Données projet'!$A$62&gt;35,AI7+AH8-AQ7,IF(A8&lt;'Données projet'!$A$62,$AF$205^A8,IF(A8='Données projet'!$A$62,'Données projet'!$B$62,AI7+AH8-AQ7)))</f>
        <v>2.7714880024760364</v>
      </c>
      <c r="AJ8" s="14">
        <f>AI8*VLOOKUP('Données projet'!$B$10,Paramètres!$A$1:$I$89,3,0)*VLOOKUP('Données projet'!$B$10,Paramètres!$A$1:$I$89,5,0)</f>
        <v>1.6573498254806698</v>
      </c>
      <c r="AK8" s="14">
        <f t="shared" si="35"/>
        <v>0.72015576293558503</v>
      </c>
      <c r="AL8" s="22">
        <f t="shared" si="4"/>
        <v>4.1408222331583096</v>
      </c>
      <c r="AM8" s="62">
        <f t="shared" si="5"/>
        <v>297.47415556649162</v>
      </c>
      <c r="AN8" s="62">
        <f ca="1">AVERAGE(OFFSET($AM$3,0,0,'Données projet'!$E$10+1,1))-AVERAGE(OFFSET($H$3,0,0,'Données projet'!$E$10+1,1))</f>
        <v>318.69447733545013</v>
      </c>
      <c r="AO8" s="62">
        <f t="shared" si="36"/>
        <v>186.33351136372443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1.2</v>
      </c>
      <c r="BD8" s="13">
        <f>IF('Données projet'!$A$88&gt;35,BD7+BC8-BL7,IF(A8&lt;'Données projet'!$A$88,$BA$205^A8,IF(A8='Données projet'!$A$88,'Données projet'!$B$88,BD7+BC8-BL7)))</f>
        <v>1.9743504858348202</v>
      </c>
      <c r="BE8" s="14">
        <f>BD8*VLOOKUP('Données projet'!$B$11,Paramètres!$A$1:$I$89,3,0)*VLOOKUP('Données projet'!$B$11,Paramètres!$A$1:$I$89,5,0)</f>
        <v>2.0019913926365076</v>
      </c>
      <c r="BF8" s="14">
        <f t="shared" si="37"/>
        <v>0.85098924232460604</v>
      </c>
      <c r="BG8" s="22">
        <f t="shared" si="7"/>
        <v>4.9689412725572728</v>
      </c>
      <c r="BH8" s="62">
        <f t="shared" si="8"/>
        <v>298.3022746058906</v>
      </c>
      <c r="BI8" s="62">
        <f ca="1">AVERAGE(OFFSET($BH$3,0,0,'Données projet'!$E$11+1,1))-AVERAGE(OFFSET($H$3,0,0,'Données projet'!$E$11+1,1))</f>
        <v>238.29088076221427</v>
      </c>
      <c r="BJ8" s="62">
        <f t="shared" si="38"/>
        <v>102.64102748467457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1.7160000000000002</v>
      </c>
      <c r="D9" s="12">
        <f t="shared" si="32"/>
        <v>0.74262837066960574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18.978885668326786</v>
      </c>
      <c r="H9" s="70">
        <f t="shared" si="1"/>
        <v>297.61544441224953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6.85</v>
      </c>
      <c r="N9" s="14">
        <f>IF('Données projet'!$A$36&gt;35,N8+M9-V8,IF(A9&lt;'Données projet'!$A$36,$K$205^A9,IF(A9='Données projet'!$A$36,'Données projet'!$B$36,N8+M9-V8)))</f>
        <v>4.3753839578299374</v>
      </c>
      <c r="O9" s="14">
        <f>N9*VLOOKUP('Données projet'!$B$9,Paramètres!$A$1:$I$89,3,0)*VLOOKUP('Données projet'!$B$9,Paramètres!$A$1:$I$89,5,0)</f>
        <v>2.0476796922644107</v>
      </c>
      <c r="P9" s="14">
        <f t="shared" si="33"/>
        <v>0.86812685002519074</v>
      </c>
      <c r="Q9" s="22">
        <f t="shared" si="2"/>
        <v>5.0783630611543886</v>
      </c>
      <c r="R9" s="62">
        <f t="shared" si="0"/>
        <v>298.41169639448771</v>
      </c>
      <c r="S9" s="62">
        <f ca="1">AVERAGE(OFFSET($R$3,0,0,'Données projet'!$E$9+1,1))-AVERAGE(OFFSET($H$3,0,0,'Données projet'!$E$9+1,1))</f>
        <v>188.51537094662768</v>
      </c>
      <c r="T9" s="62">
        <f t="shared" si="34"/>
        <v>181.95202230446716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2.95</v>
      </c>
      <c r="AI9" s="14">
        <f>IF('Données projet'!$A$62&gt;35,AI8+AH9-AQ8,IF(A9&lt;'Données projet'!$A$62,$AF$205^A9,IF(A9='Données projet'!$A$62,'Données projet'!$B$62,AI8+AH9-AQ8)))</f>
        <v>3.3982521746716894</v>
      </c>
      <c r="AJ9" s="14">
        <f>AI9*VLOOKUP('Données projet'!$B$10,Paramètres!$A$1:$I$89,3,0)*VLOOKUP('Données projet'!$B$10,Paramètres!$A$1:$I$89,5,0)</f>
        <v>2.0321548004536703</v>
      </c>
      <c r="AK9" s="14">
        <f t="shared" si="35"/>
        <v>0.86230853020399756</v>
      </c>
      <c r="AL9" s="22">
        <f t="shared" si="4"/>
        <v>5.0411903008954377</v>
      </c>
      <c r="AM9" s="62">
        <f t="shared" si="5"/>
        <v>298.37452363422875</v>
      </c>
      <c r="AN9" s="62">
        <f ca="1">AVERAGE(OFFSET($AM$3,0,0,'Données projet'!$E$10+1,1))-AVERAGE(OFFSET($H$3,0,0,'Données projet'!$E$10+1,1))</f>
        <v>318.69447733545013</v>
      </c>
      <c r="AO9" s="62">
        <f t="shared" si="36"/>
        <v>186.33351136372443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1.2</v>
      </c>
      <c r="BD9" s="13">
        <f>IF('Données projet'!$A$88&gt;35,BD8+BC9-BL8,IF(A9&lt;'Données projet'!$A$88,$BA$205^A9,IF(A9='Données projet'!$A$88,'Données projet'!$B$88,BD8+BC9-BL8)))</f>
        <v>2.2620859438457455</v>
      </c>
      <c r="BE9" s="14">
        <f>BD9*VLOOKUP('Données projet'!$B$11,Paramètres!$A$1:$I$89,3,0)*VLOOKUP('Données projet'!$B$11,Paramètres!$A$1:$I$89,5,0)</f>
        <v>2.2937551470595863</v>
      </c>
      <c r="BF9" s="14">
        <f t="shared" si="37"/>
        <v>0.95969104787443238</v>
      </c>
      <c r="BG9" s="22">
        <f t="shared" si="7"/>
        <v>5.6664187895100824</v>
      </c>
      <c r="BH9" s="62">
        <f t="shared" si="8"/>
        <v>298.9997521228434</v>
      </c>
      <c r="BI9" s="62">
        <f ca="1">AVERAGE(OFFSET($BH$3,0,0,'Données projet'!$E$11+1,1))-AVERAGE(OFFSET($H$3,0,0,'Données projet'!$E$11+1,1))</f>
        <v>238.29088076221427</v>
      </c>
      <c r="BJ9" s="62">
        <f t="shared" si="38"/>
        <v>102.64102748467457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2.0020000000000002</v>
      </c>
      <c r="D10" s="12">
        <f t="shared" si="32"/>
        <v>0.8509924751898813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22.023099808483295</v>
      </c>
      <c r="H10" s="70">
        <f t="shared" si="1"/>
        <v>298.30229522762238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6.85</v>
      </c>
      <c r="N10" s="14">
        <f>IF('Données projet'!$A$36&gt;35,N9+M10-V9,IF(A10&lt;'Données projet'!$A$36,$K$205^A10,IF(A10='Données projet'!$A$36,'Données projet'!$B$36,N9+M10-V9)))</f>
        <v>5.5956713411076793</v>
      </c>
      <c r="O10" s="14">
        <f>N10*VLOOKUP('Données projet'!$B$9,Paramètres!$A$1:$I$89,3,0)*VLOOKUP('Données projet'!$B$9,Paramètres!$A$1:$I$89,5,0)</f>
        <v>2.6187741876383939</v>
      </c>
      <c r="P10" s="14">
        <f t="shared" si="33"/>
        <v>1.07890573901954</v>
      </c>
      <c r="Q10" s="22">
        <f t="shared" si="2"/>
        <v>6.4401258722625672</v>
      </c>
      <c r="R10" s="62">
        <f t="shared" si="0"/>
        <v>299.77345920559588</v>
      </c>
      <c r="S10" s="62">
        <f ca="1">AVERAGE(OFFSET($R$3,0,0,'Données projet'!$E$9+1,1))-AVERAGE(OFFSET($H$3,0,0,'Données projet'!$E$9+1,1))</f>
        <v>188.51537094662768</v>
      </c>
      <c r="T10" s="62">
        <f t="shared" si="34"/>
        <v>181.95202230446716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2.95</v>
      </c>
      <c r="AI10" s="14">
        <f>IF('Données projet'!$A$62&gt;35,AI9+AH10-AQ9,IF(A10&lt;'Données projet'!$A$62,$AF$205^A10,IF(A10='Données projet'!$A$62,'Données projet'!$B$62,AI9+AH10-AQ9)))</f>
        <v>4.1667572915140969</v>
      </c>
      <c r="AJ10" s="14">
        <f>AI10*VLOOKUP('Données projet'!$B$10,Paramètres!$A$1:$I$89,3,0)*VLOOKUP('Données projet'!$B$10,Paramètres!$A$1:$I$89,5,0)</f>
        <v>2.4917208603254299</v>
      </c>
      <c r="AK10" s="14">
        <f t="shared" si="35"/>
        <v>1.0325210732627135</v>
      </c>
      <c r="AL10" s="22">
        <f t="shared" si="4"/>
        <v>6.1380547009993505</v>
      </c>
      <c r="AM10" s="62">
        <f t="shared" si="5"/>
        <v>299.47138803433268</v>
      </c>
      <c r="AN10" s="62">
        <f ca="1">AVERAGE(OFFSET($AM$3,0,0,'Données projet'!$E$10+1,1))-AVERAGE(OFFSET($H$3,0,0,'Données projet'!$E$10+1,1))</f>
        <v>318.69447733545013</v>
      </c>
      <c r="AO10" s="62">
        <f t="shared" si="36"/>
        <v>186.33351136372443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1.2</v>
      </c>
      <c r="BD10" s="13">
        <f>IF('Données projet'!$A$88&gt;35,BD9+BC10-BL9,IF(A10&lt;'Données projet'!$A$88,$BA$205^A10,IF(A10='Données projet'!$A$88,'Données projet'!$B$88,BD9+BC10-BL9)))</f>
        <v>2.5917550374450604</v>
      </c>
      <c r="BE10" s="14">
        <f>BD10*VLOOKUP('Données projet'!$B$11,Paramètres!$A$1:$I$89,3,0)*VLOOKUP('Données projet'!$B$11,Paramètres!$A$1:$I$89,5,0)</f>
        <v>2.6280396079692911</v>
      </c>
      <c r="BF10" s="14">
        <f t="shared" si="37"/>
        <v>1.082277967291873</v>
      </c>
      <c r="BG10" s="22">
        <f t="shared" si="7"/>
        <v>6.4621364435798609</v>
      </c>
      <c r="BH10" s="62">
        <f t="shared" si="8"/>
        <v>299.79546977691319</v>
      </c>
      <c r="BI10" s="62">
        <f ca="1">AVERAGE(OFFSET($BH$3,0,0,'Données projet'!$E$11+1,1))-AVERAGE(OFFSET($H$3,0,0,'Données projet'!$E$11+1,1))</f>
        <v>238.29088076221427</v>
      </c>
      <c r="BJ10" s="62">
        <f t="shared" si="38"/>
        <v>102.64102748467457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2.2880000000000003</v>
      </c>
      <c r="D11" s="12">
        <f t="shared" si="32"/>
        <v>0.95756310486012686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25.053469581376419</v>
      </c>
      <c r="H11" s="70">
        <f t="shared" si="1"/>
        <v>298.98602240763137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6.85</v>
      </c>
      <c r="N11" s="14">
        <f>IF('Données projet'!$A$36&gt;35,N10+M11-V10,IF(A11&lt;'Données projet'!$A$36,$K$205^A11,IF(A11='Données projet'!$A$36,'Données projet'!$B$36,N10+M11-V10)))</f>
        <v>7.1562948667991684</v>
      </c>
      <c r="O11" s="14">
        <f>N11*VLOOKUP('Données projet'!$B$9,Paramètres!$A$1:$I$89,3,0)*VLOOKUP('Données projet'!$B$9,Paramètres!$A$1:$I$89,5,0)</f>
        <v>3.3491459976620108</v>
      </c>
      <c r="P11" s="14">
        <f t="shared" si="33"/>
        <v>1.3408611813533038</v>
      </c>
      <c r="Q11" s="22">
        <f t="shared" si="2"/>
        <v>8.1684291701183387</v>
      </c>
      <c r="R11" s="62">
        <f t="shared" si="0"/>
        <v>301.50176250345163</v>
      </c>
      <c r="S11" s="62">
        <f ca="1">AVERAGE(OFFSET($R$3,0,0,'Données projet'!$E$9+1,1))-AVERAGE(OFFSET($H$3,0,0,'Données projet'!$E$9+1,1))</f>
        <v>188.51537094662768</v>
      </c>
      <c r="T11" s="62">
        <f t="shared" si="34"/>
        <v>181.95202230446716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2.95</v>
      </c>
      <c r="AI11" s="14">
        <f>IF('Données projet'!$A$62&gt;35,AI10+AH11-AQ10,IF(A11&lt;'Données projet'!$A$62,$AF$205^A11,IF(A11='Données projet'!$A$62,'Données projet'!$B$62,AI10+AH11-AQ10)))</f>
        <v>5.1090576666998686</v>
      </c>
      <c r="AJ11" s="14">
        <f>AI11*VLOOKUP('Données projet'!$B$10,Paramètres!$A$1:$I$89,3,0)*VLOOKUP('Données projet'!$B$10,Paramètres!$A$1:$I$89,5,0)</f>
        <v>3.0552164846865217</v>
      </c>
      <c r="AK11" s="14">
        <f t="shared" si="35"/>
        <v>1.2363321588380636</v>
      </c>
      <c r="AL11" s="22">
        <f t="shared" si="4"/>
        <v>7.4744472208053194</v>
      </c>
      <c r="AM11" s="62">
        <f t="shared" si="5"/>
        <v>300.80778055413862</v>
      </c>
      <c r="AN11" s="62">
        <f ca="1">AVERAGE(OFFSET($AM$3,0,0,'Données projet'!$E$10+1,1))-AVERAGE(OFFSET($H$3,0,0,'Données projet'!$E$10+1,1))</f>
        <v>318.69447733545013</v>
      </c>
      <c r="AO11" s="62">
        <f t="shared" si="36"/>
        <v>186.33351136372443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1.2</v>
      </c>
      <c r="BD11" s="13">
        <f>IF('Données projet'!$A$88&gt;35,BD10+BC11-BL10,IF(A11&lt;'Données projet'!$A$88,$BA$205^A11,IF(A11='Données projet'!$A$88,'Données projet'!$B$88,BD10+BC11-BL10)))</f>
        <v>2.9694690391391689</v>
      </c>
      <c r="BE11" s="14">
        <f>BD11*VLOOKUP('Données projet'!$B$11,Paramètres!$A$1:$I$89,3,0)*VLOOKUP('Données projet'!$B$11,Paramètres!$A$1:$I$89,5,0)</f>
        <v>3.0110416056871174</v>
      </c>
      <c r="BF11" s="14">
        <f t="shared" si="37"/>
        <v>1.2205236269315363</v>
      </c>
      <c r="BG11" s="22">
        <f t="shared" si="7"/>
        <v>7.3699761134774882</v>
      </c>
      <c r="BH11" s="62">
        <f t="shared" si="8"/>
        <v>300.70330944681081</v>
      </c>
      <c r="BI11" s="62">
        <f ca="1">AVERAGE(OFFSET($BH$3,0,0,'Données projet'!$E$11+1,1))-AVERAGE(OFFSET($H$3,0,0,'Données projet'!$E$11+1,1))</f>
        <v>238.29088076221427</v>
      </c>
      <c r="BJ11" s="62">
        <f t="shared" si="38"/>
        <v>102.64102748467457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2.5740000000000003</v>
      </c>
      <c r="D12" s="12">
        <f t="shared" si="32"/>
        <v>1.0625901189618896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28.071923725319852</v>
      </c>
      <c r="H12" s="70">
        <f t="shared" si="1"/>
        <v>299.66706112385862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6.85</v>
      </c>
      <c r="N12" s="14">
        <f>IF('Données projet'!$A$36&gt;35,N11+M12-V11,IF(A12&lt;'Données projet'!$A$36,$K$205^A12,IF(A12='Données projet'!$A$36,'Données projet'!$B$36,N11+M12-V11)))</f>
        <v>9.1521737247774908</v>
      </c>
      <c r="O12" s="14">
        <f>N12*VLOOKUP('Données projet'!$B$9,Paramètres!$A$1:$I$89,3,0)*VLOOKUP('Données projet'!$B$9,Paramètres!$A$1:$I$89,5,0)</f>
        <v>4.2832173031958654</v>
      </c>
      <c r="P12" s="14">
        <f t="shared" si="33"/>
        <v>1.6664187079902217</v>
      </c>
      <c r="Q12" s="22">
        <f t="shared" si="2"/>
        <v>10.362282719482435</v>
      </c>
      <c r="R12" s="62">
        <f t="shared" si="0"/>
        <v>303.69561605281575</v>
      </c>
      <c r="S12" s="62">
        <f ca="1">AVERAGE(OFFSET($R$3,0,0,'Données projet'!$E$9+1,1))-AVERAGE(OFFSET($H$3,0,0,'Données projet'!$E$9+1,1))</f>
        <v>188.51537094662768</v>
      </c>
      <c r="T12" s="62">
        <f t="shared" si="34"/>
        <v>181.95202230446716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2.95</v>
      </c>
      <c r="AI12" s="14">
        <f>IF('Données projet'!$A$62&gt;35,AI11+AH12-AQ11,IF(A12&lt;'Données projet'!$A$62,$AF$205^A12,IF(A12='Données projet'!$A$62,'Données projet'!$B$62,AI11+AH12-AQ11)))</f>
        <v>6.2644566062977258</v>
      </c>
      <c r="AJ12" s="14">
        <f>AI12*VLOOKUP('Données projet'!$B$10,Paramètres!$A$1:$I$89,3,0)*VLOOKUP('Données projet'!$B$10,Paramètres!$A$1:$I$89,5,0)</f>
        <v>3.7461450505660405</v>
      </c>
      <c r="AK12" s="14">
        <f t="shared" si="35"/>
        <v>1.4803738602129943</v>
      </c>
      <c r="AL12" s="22">
        <f t="shared" si="4"/>
        <v>9.1028537696068188</v>
      </c>
      <c r="AM12" s="62">
        <f t="shared" si="5"/>
        <v>302.43618710294015</v>
      </c>
      <c r="AN12" s="62">
        <f ca="1">AVERAGE(OFFSET($AM$3,0,0,'Données projet'!$E$10+1,1))-AVERAGE(OFFSET($H$3,0,0,'Données projet'!$E$10+1,1))</f>
        <v>318.69447733545013</v>
      </c>
      <c r="AO12" s="62">
        <f t="shared" si="36"/>
        <v>186.33351136372443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1.2</v>
      </c>
      <c r="BD12" s="13">
        <f>IF('Données projet'!$A$88&gt;35,BD11+BC12-BL11,IF(A12&lt;'Données projet'!$A$88,$BA$205^A12,IF(A12='Données projet'!$A$88,'Données projet'!$B$88,BD11+BC12-BL11)))</f>
        <v>3.4022298585357786</v>
      </c>
      <c r="BE12" s="14">
        <f>BD12*VLOOKUP('Données projet'!$B$11,Paramètres!$A$1:$I$89,3,0)*VLOOKUP('Données projet'!$B$11,Paramètres!$A$1:$I$89,5,0)</f>
        <v>3.4498610765552797</v>
      </c>
      <c r="BF12" s="14">
        <f t="shared" si="37"/>
        <v>1.3764282087582862</v>
      </c>
      <c r="BG12" s="22">
        <f t="shared" si="7"/>
        <v>8.4057871719211263</v>
      </c>
      <c r="BH12" s="62">
        <f t="shared" si="8"/>
        <v>301.73912050525445</v>
      </c>
      <c r="BI12" s="62">
        <f ca="1">AVERAGE(OFFSET($BH$3,0,0,'Données projet'!$E$11+1,1))-AVERAGE(OFFSET($H$3,0,0,'Données projet'!$E$11+1,1))</f>
        <v>238.29088076221427</v>
      </c>
      <c r="BJ12" s="62">
        <f t="shared" si="38"/>
        <v>102.64102748467457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2.8600000000000003</v>
      </c>
      <c r="D13" s="12">
        <f t="shared" si="32"/>
        <v>1.1662645951525237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31.079937225738785</v>
      </c>
      <c r="H13" s="70">
        <f t="shared" si="1"/>
        <v>300.34574416989062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6.85</v>
      </c>
      <c r="N13" s="14">
        <f>IF('Données projet'!$A$36&gt;35,N12+M13-V12,IF(A13&lt;'Données projet'!$A$36,$K$205^A13,IF(A13='Données projet'!$A$36,'Données projet'!$B$36,N12+M13-V12)))</f>
        <v>11.70469991071962</v>
      </c>
      <c r="O13" s="14">
        <f>N13*VLOOKUP('Données projet'!$B$9,Paramètres!$A$1:$I$89,3,0)*VLOOKUP('Données projet'!$B$9,Paramètres!$A$1:$I$89,5,0)</f>
        <v>5.4777995582167822</v>
      </c>
      <c r="P13" s="14">
        <f t="shared" si="33"/>
        <v>2.0710207357461723</v>
      </c>
      <c r="Q13" s="22">
        <f t="shared" si="2"/>
        <v>13.147528678652145</v>
      </c>
      <c r="R13" s="62">
        <f t="shared" si="0"/>
        <v>306.48086201198544</v>
      </c>
      <c r="S13" s="62">
        <f ca="1">AVERAGE(OFFSET($R$3,0,0,'Données projet'!$E$9+1,1))-AVERAGE(OFFSET($H$3,0,0,'Données projet'!$E$9+1,1))</f>
        <v>188.51537094662768</v>
      </c>
      <c r="T13" s="62">
        <f t="shared" si="34"/>
        <v>181.95202230446716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2.95</v>
      </c>
      <c r="AI13" s="14">
        <f>IF('Données projet'!$A$62&gt;35,AI12+AH13-AQ12,IF(A13&lt;'Données projet'!$A$62,$AF$205^A13,IF(A13='Données projet'!$A$62,'Données projet'!$B$62,AI12+AH13-AQ12)))</f>
        <v>7.6811457478686105</v>
      </c>
      <c r="AJ13" s="14">
        <f>AI13*VLOOKUP('Données projet'!$B$10,Paramètres!$A$1:$I$89,3,0)*VLOOKUP('Données projet'!$B$10,Paramètres!$A$1:$I$89,5,0)</f>
        <v>4.5933251572254292</v>
      </c>
      <c r="AK13" s="14">
        <f t="shared" si="35"/>
        <v>1.7725873668622805</v>
      </c>
      <c r="AL13" s="22">
        <f t="shared" si="4"/>
        <v>11.087297646119426</v>
      </c>
      <c r="AM13" s="62">
        <f t="shared" si="5"/>
        <v>304.42063097945277</v>
      </c>
      <c r="AN13" s="62">
        <f ca="1">AVERAGE(OFFSET($AM$3,0,0,'Données projet'!$E$10+1,1))-AVERAGE(OFFSET($H$3,0,0,'Données projet'!$E$10+1,1))</f>
        <v>318.69447733545013</v>
      </c>
      <c r="AO13" s="62">
        <f t="shared" si="36"/>
        <v>186.33351136372443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1.2</v>
      </c>
      <c r="BD13" s="13">
        <f>IF('Données projet'!$A$88&gt;35,BD12+BC13-BL12,IF(A13&lt;'Données projet'!$A$88,$BA$205^A13,IF(A13='Données projet'!$A$88,'Données projet'!$B$88,BD12+BC13-BL12)))</f>
        <v>3.8980598409161908</v>
      </c>
      <c r="BE13" s="14">
        <f>BD13*VLOOKUP('Données projet'!$B$11,Paramètres!$A$1:$I$89,3,0)*VLOOKUP('Données projet'!$B$11,Paramètres!$A$1:$I$89,5,0)</f>
        <v>3.9526326786890178</v>
      </c>
      <c r="BF13" s="14">
        <f t="shared" si="37"/>
        <v>1.552247389613062</v>
      </c>
      <c r="BG13" s="22">
        <f t="shared" si="7"/>
        <v>9.5876661189594543</v>
      </c>
      <c r="BH13" s="62">
        <f t="shared" si="8"/>
        <v>302.92099945229279</v>
      </c>
      <c r="BI13" s="62">
        <f ca="1">AVERAGE(OFFSET($BH$3,0,0,'Données projet'!$E$11+1,1))-AVERAGE(OFFSET($H$3,0,0,'Données projet'!$E$11+1,1))</f>
        <v>238.29088076221427</v>
      </c>
      <c r="BJ13" s="62">
        <f t="shared" si="38"/>
        <v>102.64102748467457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3.1460000000000004</v>
      </c>
      <c r="D14" s="12">
        <f t="shared" si="32"/>
        <v>1.2687371841272441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34.078673000280482</v>
      </c>
      <c r="H14" s="70">
        <f t="shared" si="1"/>
        <v>301.02233392902161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6.85</v>
      </c>
      <c r="N14" s="14">
        <f>IF('Données projet'!$A$36&gt;35,N13+M14-V13,IF(A14&lt;'Données projet'!$A$36,$K$205^A14,IF(A14='Données projet'!$A$36,'Données projet'!$B$36,N13+M14-V13)))</f>
        <v>14.969121448066769</v>
      </c>
      <c r="O14" s="14">
        <f>N14*VLOOKUP('Données projet'!$B$9,Paramètres!$A$1:$I$89,3,0)*VLOOKUP('Données projet'!$B$9,Paramètres!$A$1:$I$89,5,0)</f>
        <v>7.0055488376952484</v>
      </c>
      <c r="P14" s="14">
        <f t="shared" si="33"/>
        <v>2.5738590591457666</v>
      </c>
      <c r="Q14" s="22">
        <f t="shared" si="2"/>
        <v>16.684135420331433</v>
      </c>
      <c r="R14" s="62">
        <f t="shared" si="0"/>
        <v>310.01746875366473</v>
      </c>
      <c r="S14" s="62">
        <f ca="1">AVERAGE(OFFSET($R$3,0,0,'Données projet'!$E$9+1,1))-AVERAGE(OFFSET($H$3,0,0,'Données projet'!$E$9+1,1))</f>
        <v>188.51537094662768</v>
      </c>
      <c r="T14" s="62">
        <f t="shared" si="34"/>
        <v>181.95202230446716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2.95</v>
      </c>
      <c r="AI14" s="14">
        <f>IF('Données projet'!$A$62&gt;35,AI13+AH14-AQ13,IF(A14&lt;'Données projet'!$A$62,$AF$205^A14,IF(A14='Données projet'!$A$62,'Données projet'!$B$62,AI13+AH14-AQ13)))</f>
        <v>9.4182151314906868</v>
      </c>
      <c r="AJ14" s="14">
        <f>AI14*VLOOKUP('Données projet'!$B$10,Paramètres!$A$1:$I$89,3,0)*VLOOKUP('Données projet'!$B$10,Paramètres!$A$1:$I$89,5,0)</f>
        <v>5.6320926486314313</v>
      </c>
      <c r="AK14" s="14">
        <f t="shared" si="35"/>
        <v>2.1224813931175985</v>
      </c>
      <c r="AL14" s="22">
        <f t="shared" si="4"/>
        <v>13.505883122712893</v>
      </c>
      <c r="AM14" s="62">
        <f t="shared" si="5"/>
        <v>306.83921645604619</v>
      </c>
      <c r="AN14" s="62">
        <f ca="1">AVERAGE(OFFSET($AM$3,0,0,'Données projet'!$E$10+1,1))-AVERAGE(OFFSET($H$3,0,0,'Données projet'!$E$10+1,1))</f>
        <v>318.69447733545013</v>
      </c>
      <c r="AO14" s="62">
        <f t="shared" si="36"/>
        <v>186.33351136372443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1.2</v>
      </c>
      <c r="BD14" s="13">
        <f>IF('Données projet'!$A$88&gt;35,BD13+BC14-BL13,IF(A14&lt;'Données projet'!$A$88,$BA$205^A14,IF(A14='Données projet'!$A$88,'Données projet'!$B$88,BD13+BC14-BL13)))</f>
        <v>4.4661504822319662</v>
      </c>
      <c r="BE14" s="14">
        <f>BD14*VLOOKUP('Données projet'!$B$11,Paramètres!$A$1:$I$89,3,0)*VLOOKUP('Données projet'!$B$11,Paramètres!$A$1:$I$89,5,0)</f>
        <v>4.5286765889832141</v>
      </c>
      <c r="BF14" s="14">
        <f t="shared" si="37"/>
        <v>1.7505249770594407</v>
      </c>
      <c r="BG14" s="22">
        <f t="shared" si="7"/>
        <v>10.936276060857622</v>
      </c>
      <c r="BH14" s="62">
        <f t="shared" si="8"/>
        <v>304.26960939419092</v>
      </c>
      <c r="BI14" s="62">
        <f ca="1">AVERAGE(OFFSET($BH$3,0,0,'Données projet'!$E$11+1,1))-AVERAGE(OFFSET($H$3,0,0,'Données projet'!$E$11+1,1))</f>
        <v>238.29088076221427</v>
      </c>
      <c r="BJ14" s="62">
        <f t="shared" si="38"/>
        <v>102.64102748467457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3.4320000000000004</v>
      </c>
      <c r="D15" s="12">
        <f t="shared" si="32"/>
        <v>1.3701295744860811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37.069070399541687</v>
      </c>
      <c r="H15" s="70">
        <f t="shared" si="1"/>
        <v>301.69704234222991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6.85</v>
      </c>
      <c r="N15" s="14">
        <f>IF('Données projet'!$A$36&gt;35,N14+M15-V14,IF(A15&lt;'Données projet'!$A$36,$K$205^A15,IF(A15='Données projet'!$A$36,'Données projet'!$B$36,N14+M15-V14)))</f>
        <v>19.14398477843557</v>
      </c>
      <c r="O15" s="14">
        <f>N15*VLOOKUP('Données projet'!$B$9,Paramètres!$A$1:$I$89,3,0)*VLOOKUP('Données projet'!$B$9,Paramètres!$A$1:$I$89,5,0)</f>
        <v>8.9593848763078476</v>
      </c>
      <c r="P15" s="14">
        <f t="shared" si="33"/>
        <v>3.1987851893524786</v>
      </c>
      <c r="Q15" s="22">
        <f t="shared" si="2"/>
        <v>21.175479531025065</v>
      </c>
      <c r="R15" s="62">
        <f t="shared" si="0"/>
        <v>314.50881286435839</v>
      </c>
      <c r="S15" s="62">
        <f ca="1">AVERAGE(OFFSET($R$3,0,0,'Données projet'!$E$9+1,1))-AVERAGE(OFFSET($H$3,0,0,'Données projet'!$E$9+1,1))</f>
        <v>188.51537094662768</v>
      </c>
      <c r="T15" s="62">
        <f t="shared" si="34"/>
        <v>181.95202230446716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2.95</v>
      </c>
      <c r="AI15" s="14">
        <f>IF('Données projet'!$A$62&gt;35,AI14+AH15-AQ14,IF(A15&lt;'Données projet'!$A$62,$AF$205^A15,IF(A15='Données projet'!$A$62,'Données projet'!$B$62,AI14+AH15-AQ14)))</f>
        <v>11.548117842660865</v>
      </c>
      <c r="AJ15" s="14">
        <f>AI15*VLOOKUP('Données projet'!$B$10,Paramètres!$A$1:$I$89,3,0)*VLOOKUP('Données projet'!$B$10,Paramètres!$A$1:$I$89,5,0)</f>
        <v>6.905774469911198</v>
      </c>
      <c r="AK15" s="14">
        <f t="shared" si="35"/>
        <v>2.5414415945571998</v>
      </c>
      <c r="AL15" s="22">
        <f t="shared" si="4"/>
        <v>16.453901312282458</v>
      </c>
      <c r="AM15" s="62">
        <f t="shared" si="5"/>
        <v>309.7872346456158</v>
      </c>
      <c r="AN15" s="62">
        <f ca="1">AVERAGE(OFFSET($AM$3,0,0,'Données projet'!$E$10+1,1))-AVERAGE(OFFSET($H$3,0,0,'Données projet'!$E$10+1,1))</f>
        <v>318.69447733545013</v>
      </c>
      <c r="AO15" s="62">
        <f t="shared" si="36"/>
        <v>186.33351136372443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1.2</v>
      </c>
      <c r="BD15" s="13">
        <f>IF('Données projet'!$A$88&gt;35,BD14+BC15-BL14,IF(A15&lt;'Données projet'!$A$88,$BA$205^A15,IF(A15='Données projet'!$A$88,'Données projet'!$B$88,BD14+BC15-BL14)))</f>
        <v>5.1170328173444979</v>
      </c>
      <c r="BE15" s="14">
        <f>BD15*VLOOKUP('Données projet'!$B$11,Paramètres!$A$1:$I$89,3,0)*VLOOKUP('Données projet'!$B$11,Paramètres!$A$1:$I$89,5,0)</f>
        <v>5.1886712767873213</v>
      </c>
      <c r="BF15" s="14">
        <f t="shared" si="37"/>
        <v>1.9741297139966976</v>
      </c>
      <c r="BG15" s="22">
        <f t="shared" si="7"/>
        <v>12.4752117256155</v>
      </c>
      <c r="BH15" s="62">
        <f t="shared" si="8"/>
        <v>305.80854505894882</v>
      </c>
      <c r="BI15" s="62">
        <f ca="1">AVERAGE(OFFSET($BH$3,0,0,'Données projet'!$E$11+1,1))-AVERAGE(OFFSET($H$3,0,0,'Données projet'!$E$11+1,1))</f>
        <v>238.29088076221427</v>
      </c>
      <c r="BJ15" s="62">
        <f t="shared" si="38"/>
        <v>102.64102748467457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3.7180000000000004</v>
      </c>
      <c r="D16" s="12">
        <f t="shared" si="32"/>
        <v>1.4705420168628256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40.051903288063919</v>
      </c>
      <c r="H16" s="70">
        <f t="shared" si="1"/>
        <v>302.37004401270275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6.85</v>
      </c>
      <c r="N16" s="14">
        <f>IF('Données projet'!$A$36&gt;35,N15+M16-V15,IF(A16&lt;'Données projet'!$A$36,$K$205^A16,IF(A16='Données projet'!$A$36,'Données projet'!$B$36,N15+M16-V15)))</f>
        <v>24.483210619171274</v>
      </c>
      <c r="O16" s="14">
        <f>N16*VLOOKUP('Données projet'!$B$9,Paramètres!$A$1:$I$89,3,0)*VLOOKUP('Données projet'!$B$9,Paramètres!$A$1:$I$89,5,0)</f>
        <v>11.458142569772155</v>
      </c>
      <c r="P16" s="14">
        <f t="shared" si="33"/>
        <v>3.9754417209684849</v>
      </c>
      <c r="Q16" s="22">
        <f t="shared" si="2"/>
        <v>26.880159306373283</v>
      </c>
      <c r="R16" s="62">
        <f t="shared" si="0"/>
        <v>320.2134926397066</v>
      </c>
      <c r="S16" s="62">
        <f ca="1">AVERAGE(OFFSET($R$3,0,0,'Données projet'!$E$9+1,1))-AVERAGE(OFFSET($H$3,0,0,'Données projet'!$E$9+1,1))</f>
        <v>188.51537094662768</v>
      </c>
      <c r="T16" s="62">
        <f t="shared" si="34"/>
        <v>181.95202230446716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2.95</v>
      </c>
      <c r="AI16" s="14">
        <f>IF('Données projet'!$A$62&gt;35,AI15+AH16-AQ15,IF(A16&lt;'Données projet'!$A$62,$AF$205^A16,IF(A16='Données projet'!$A$62,'Données projet'!$B$62,AI15+AH16-AQ15)))</f>
        <v>14.159692027216899</v>
      </c>
      <c r="AJ16" s="14">
        <f>AI16*VLOOKUP('Données projet'!$B$10,Paramètres!$A$1:$I$89,3,0)*VLOOKUP('Données projet'!$B$10,Paramètres!$A$1:$I$89,5,0)</f>
        <v>8.4674958322757057</v>
      </c>
      <c r="AK16" s="14">
        <f t="shared" si="35"/>
        <v>3.0431010606214413</v>
      </c>
      <c r="AL16" s="22">
        <f t="shared" si="4"/>
        <v>20.047622921795863</v>
      </c>
      <c r="AM16" s="62">
        <f t="shared" si="5"/>
        <v>313.38095625512915</v>
      </c>
      <c r="AN16" s="62">
        <f ca="1">AVERAGE(OFFSET($AM$3,0,0,'Données projet'!$E$10+1,1))-AVERAGE(OFFSET($H$3,0,0,'Données projet'!$E$10+1,1))</f>
        <v>318.69447733545013</v>
      </c>
      <c r="AO16" s="62">
        <f t="shared" si="36"/>
        <v>186.33351136372443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1.2</v>
      </c>
      <c r="BD16" s="13">
        <f>IF('Données projet'!$A$88&gt;35,BD15+BC16-BL15,IF(A16&lt;'Données projet'!$A$88,$BA$205^A16,IF(A16='Données projet'!$A$88,'Données projet'!$B$88,BD15+BC16-BL15)))</f>
        <v>5.8627726400958746</v>
      </c>
      <c r="BE16" s="14">
        <f>BD16*VLOOKUP('Données projet'!$B$11,Paramètres!$A$1:$I$89,3,0)*VLOOKUP('Données projet'!$B$11,Paramètres!$A$1:$I$89,5,0)</f>
        <v>5.9448514570572168</v>
      </c>
      <c r="BF16" s="14">
        <f t="shared" si="37"/>
        <v>2.2262967845401667</v>
      </c>
      <c r="BG16" s="22">
        <f t="shared" si="7"/>
        <v>14.231416520782107</v>
      </c>
      <c r="BH16" s="62">
        <f t="shared" si="8"/>
        <v>307.56474985411541</v>
      </c>
      <c r="BI16" s="62">
        <f ca="1">AVERAGE(OFFSET($BH$3,0,0,'Données projet'!$E$11+1,1))-AVERAGE(OFFSET($H$3,0,0,'Données projet'!$E$11+1,1))</f>
        <v>238.29088076221427</v>
      </c>
      <c r="BJ16" s="62">
        <f t="shared" si="38"/>
        <v>102.64102748467457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4.0040000000000004</v>
      </c>
      <c r="D17" s="12">
        <f t="shared" si="32"/>
        <v>1.5700584625812888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43.027819711153818</v>
      </c>
      <c r="H17" s="70">
        <f t="shared" si="1"/>
        <v>303.04148515566237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6.85</v>
      </c>
      <c r="N17" s="14">
        <f>IF('Données projet'!$A$36&gt;35,N16+M17-V16,IF(A17&lt;'Données projet'!$A$36,$K$205^A17,IF(A17='Données projet'!$A$36,'Données projet'!$B$36,N16+M17-V16)))</f>
        <v>31.311537757693809</v>
      </c>
      <c r="O17" s="14">
        <f>N17*VLOOKUP('Données projet'!$B$9,Paramètres!$A$1:$I$89,3,0)*VLOOKUP('Données projet'!$B$9,Paramètres!$A$1:$I$89,5,0)</f>
        <v>14.653799670600701</v>
      </c>
      <c r="P17" s="14">
        <f t="shared" si="33"/>
        <v>4.9406683916828023</v>
      </c>
      <c r="Q17" s="22">
        <f t="shared" si="2"/>
        <v>34.127031875143771</v>
      </c>
      <c r="R17" s="62">
        <f t="shared" si="0"/>
        <v>327.46036520847707</v>
      </c>
      <c r="S17" s="62">
        <f ca="1">AVERAGE(OFFSET($R$3,0,0,'Données projet'!$E$9+1,1))-AVERAGE(OFFSET($H$3,0,0,'Données projet'!$E$9+1,1))</f>
        <v>188.51537094662768</v>
      </c>
      <c r="T17" s="62">
        <f t="shared" si="34"/>
        <v>181.95202230446716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2.95</v>
      </c>
      <c r="AI17" s="14">
        <f>IF('Données projet'!$A$62&gt;35,AI16+AH17-AQ16,IF(A17&lt;'Données projet'!$A$62,$AF$205^A17,IF(A17='Données projet'!$A$62,'Données projet'!$B$62,AI16+AH17-AQ16)))</f>
        <v>17.361866326385897</v>
      </c>
      <c r="AJ17" s="14">
        <f>AI17*VLOOKUP('Données projet'!$B$10,Paramètres!$A$1:$I$89,3,0)*VLOOKUP('Données projet'!$B$10,Paramètres!$A$1:$I$89,5,0)</f>
        <v>10.382396063178767</v>
      </c>
      <c r="AK17" s="14">
        <f t="shared" si="35"/>
        <v>3.6437839393939777</v>
      </c>
      <c r="AL17" s="22">
        <f t="shared" si="4"/>
        <v>24.428930171147528</v>
      </c>
      <c r="AM17" s="62">
        <f t="shared" si="5"/>
        <v>317.76226350448087</v>
      </c>
      <c r="AN17" s="62">
        <f ca="1">AVERAGE(OFFSET($AM$3,0,0,'Données projet'!$E$10+1,1))-AVERAGE(OFFSET($H$3,0,0,'Données projet'!$E$10+1,1))</f>
        <v>318.69447733545013</v>
      </c>
      <c r="AO17" s="62">
        <f t="shared" si="36"/>
        <v>186.33351136372443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1.2</v>
      </c>
      <c r="BD17" s="13">
        <f>IF('Données projet'!$A$88&gt;35,BD16+BC17-BL16,IF(A17&lt;'Données projet'!$A$88,$BA$205^A17,IF(A17='Données projet'!$A$88,'Données projet'!$B$88,BD16+BC17-BL16)))</f>
        <v>6.7171941741218459</v>
      </c>
      <c r="BE17" s="14">
        <f>BD17*VLOOKUP('Données projet'!$B$11,Paramètres!$A$1:$I$89,3,0)*VLOOKUP('Données projet'!$B$11,Paramètres!$A$1:$I$89,5,0)</f>
        <v>6.8112348925595523</v>
      </c>
      <c r="BF17" s="14">
        <f t="shared" si="37"/>
        <v>2.5106746216891089</v>
      </c>
      <c r="BG17" s="22">
        <f t="shared" si="7"/>
        <v>16.235659070649749</v>
      </c>
      <c r="BH17" s="62">
        <f t="shared" si="8"/>
        <v>309.56899240398309</v>
      </c>
      <c r="BI17" s="62">
        <f ca="1">AVERAGE(OFFSET($BH$3,0,0,'Données projet'!$E$11+1,1))-AVERAGE(OFFSET($H$3,0,0,'Données projet'!$E$11+1,1))</f>
        <v>238.29088076221427</v>
      </c>
      <c r="BJ17" s="62">
        <f t="shared" si="38"/>
        <v>102.64102748467457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4.2900000000000009</v>
      </c>
      <c r="D18" s="12">
        <f t="shared" si="32"/>
        <v>1.668750190336461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45.997369890316548</v>
      </c>
      <c r="H18" s="70">
        <f t="shared" si="1"/>
        <v>303.71148991483597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6.85</v>
      </c>
      <c r="N18" s="14">
        <f>IF('Données projet'!$A$36&gt;35,N17+M18-V17,IF(A18&lt;'Données projet'!$A$36,$K$205^A18,IF(A18='Données projet'!$A$36,'Données projet'!$B$36,N17+M18-V17)))</f>
        <v>40.044274094664104</v>
      </c>
      <c r="O18" s="14">
        <f>N18*VLOOKUP('Données projet'!$B$9,Paramètres!$A$1:$I$89,3,0)*VLOOKUP('Données projet'!$B$9,Paramètres!$A$1:$I$89,5,0)</f>
        <v>18.740720276302802</v>
      </c>
      <c r="P18" s="14">
        <f t="shared" si="33"/>
        <v>6.1402495294602844</v>
      </c>
      <c r="Q18" s="22">
        <f t="shared" si="2"/>
        <v>43.334355745037378</v>
      </c>
      <c r="R18" s="62">
        <f t="shared" si="0"/>
        <v>336.6676890783707</v>
      </c>
      <c r="S18" s="62">
        <f ca="1">AVERAGE(OFFSET($R$3,0,0,'Données projet'!$E$9+1,1))-AVERAGE(OFFSET($H$3,0,0,'Données projet'!$E$9+1,1))</f>
        <v>188.51537094662768</v>
      </c>
      <c r="T18" s="62">
        <f t="shared" si="34"/>
        <v>181.95202230446716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2.95</v>
      </c>
      <c r="AI18" s="14">
        <f>IF('Données projet'!$A$62&gt;35,AI17+AH18-AQ17,IF(A18&lt;'Données projet'!$A$62,$AF$205^A18,IF(A18='Données projet'!$A$62,'Données projet'!$B$62,AI17+AH18-AQ17)))</f>
        <v>21.288203285487675</v>
      </c>
      <c r="AJ18" s="14">
        <f>AI18*VLOOKUP('Données projet'!$B$10,Paramètres!$A$1:$I$89,3,0)*VLOOKUP('Données projet'!$B$10,Paramètres!$A$1:$I$89,5,0)</f>
        <v>12.730345564721631</v>
      </c>
      <c r="AK18" s="14">
        <f t="shared" si="35"/>
        <v>4.3630366302307833</v>
      </c>
      <c r="AL18" s="22">
        <f t="shared" si="4"/>
        <v>29.770973989542124</v>
      </c>
      <c r="AM18" s="62">
        <f t="shared" si="5"/>
        <v>323.10430732287546</v>
      </c>
      <c r="AN18" s="62">
        <f ca="1">AVERAGE(OFFSET($AM$3,0,0,'Données projet'!$E$10+1,1))-AVERAGE(OFFSET($H$3,0,0,'Données projet'!$E$10+1,1))</f>
        <v>318.69447733545013</v>
      </c>
      <c r="AO18" s="62">
        <f t="shared" si="36"/>
        <v>186.33351136372443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1.2</v>
      </c>
      <c r="BD18" s="13">
        <f>IF('Données projet'!$A$88&gt;35,BD17+BC18-BL17,IF(A18&lt;'Données projet'!$A$88,$BA$205^A18,IF(A18='Données projet'!$A$88,'Données projet'!$B$88,BD17+BC18-BL17)))</f>
        <v>7.6961363407260848</v>
      </c>
      <c r="BE18" s="14">
        <f>BD18*VLOOKUP('Données projet'!$B$11,Paramètres!$A$1:$I$89,3,0)*VLOOKUP('Données projet'!$B$11,Paramètres!$A$1:$I$89,5,0)</f>
        <v>7.8038822494962501</v>
      </c>
      <c r="BF18" s="14">
        <f t="shared" si="37"/>
        <v>2.8313776940102406</v>
      </c>
      <c r="BG18" s="22">
        <f t="shared" si="7"/>
        <v>18.523077734940472</v>
      </c>
      <c r="BH18" s="62">
        <f t="shared" si="8"/>
        <v>311.85641106827381</v>
      </c>
      <c r="BI18" s="62">
        <f ca="1">AVERAGE(OFFSET($BH$3,0,0,'Données projet'!$E$11+1,1))-AVERAGE(OFFSET($H$3,0,0,'Données projet'!$E$11+1,1))</f>
        <v>238.29088076221427</v>
      </c>
      <c r="BJ18" s="62">
        <f t="shared" si="38"/>
        <v>102.64102748467457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4.5760000000000005</v>
      </c>
      <c r="D19" s="12">
        <f t="shared" si="32"/>
        <v>1.766678437322019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48.961026533713842</v>
      </c>
      <c r="H19" s="70">
        <f t="shared" si="1"/>
        <v>304.38016494500249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6.85</v>
      </c>
      <c r="N19" s="14">
        <f>IF('Données projet'!$A$36&gt;35,N18+M19-V18,IF(A19&lt;'Données projet'!$A$36,$K$205^A19,IF(A19='Données projet'!$A$36,'Données projet'!$B$36,N18+M19-V18)))</f>
        <v>51.212556220576126</v>
      </c>
      <c r="O19" s="14">
        <f>N19*VLOOKUP('Données projet'!$B$9,Paramètres!$A$1:$I$89,3,0)*VLOOKUP('Données projet'!$B$9,Paramètres!$A$1:$I$89,5,0)</f>
        <v>23.967476311229625</v>
      </c>
      <c r="P19" s="14">
        <f t="shared" si="33"/>
        <v>7.6310857752579508</v>
      </c>
      <c r="Q19" s="22">
        <f t="shared" si="2"/>
        <v>55.034162300632524</v>
      </c>
      <c r="R19" s="62">
        <f t="shared" si="0"/>
        <v>348.36749563396586</v>
      </c>
      <c r="S19" s="62">
        <f ca="1">AVERAGE(OFFSET($R$3,0,0,'Données projet'!$E$9+1,1))-AVERAGE(OFFSET($H$3,0,0,'Données projet'!$E$9+1,1))</f>
        <v>188.51537094662768</v>
      </c>
      <c r="T19" s="62">
        <f t="shared" si="34"/>
        <v>181.95202230446716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2.95</v>
      </c>
      <c r="AI19" s="14">
        <f>IF('Données projet'!$A$62&gt;35,AI18+AH19-AQ18,IF(A19&lt;'Données projet'!$A$62,$AF$205^A19,IF(A19='Données projet'!$A$62,'Données projet'!$B$62,AI18+AH19-AQ18)))</f>
        <v>26.102470241664705</v>
      </c>
      <c r="AJ19" s="14">
        <f>AI19*VLOOKUP('Données projet'!$B$10,Paramètres!$A$1:$I$89,3,0)*VLOOKUP('Données projet'!$B$10,Paramètres!$A$1:$I$89,5,0)</f>
        <v>15.609277204515495</v>
      </c>
      <c r="AK19" s="14">
        <f t="shared" si="35"/>
        <v>5.2242638294030153</v>
      </c>
      <c r="AL19" s="22">
        <f t="shared" si="4"/>
        <v>36.28508396740807</v>
      </c>
      <c r="AM19" s="62">
        <f t="shared" si="5"/>
        <v>329.61841730074138</v>
      </c>
      <c r="AN19" s="62">
        <f ca="1">AVERAGE(OFFSET($AM$3,0,0,'Données projet'!$E$10+1,1))-AVERAGE(OFFSET($H$3,0,0,'Données projet'!$E$10+1,1))</f>
        <v>318.69447733545013</v>
      </c>
      <c r="AO19" s="62">
        <f t="shared" si="36"/>
        <v>186.33351136372443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1.2</v>
      </c>
      <c r="BD19" s="13">
        <f>IF('Données projet'!$A$88&gt;35,BD18+BC19-BL18,IF(A19&lt;'Données projet'!$A$88,$BA$205^A19,IF(A19='Données projet'!$A$88,'Données projet'!$B$88,BD18+BC19-BL18)))</f>
        <v>8.8177463744060987</v>
      </c>
      <c r="BE19" s="14">
        <f>BD19*VLOOKUP('Données projet'!$B$11,Paramètres!$A$1:$I$89,3,0)*VLOOKUP('Données projet'!$B$11,Paramètres!$A$1:$I$89,5,0)</f>
        <v>8.9411948236477841</v>
      </c>
      <c r="BF19" s="14">
        <f t="shared" si="37"/>
        <v>3.1930460350713803</v>
      </c>
      <c r="BG19" s="22">
        <f t="shared" si="7"/>
        <v>21.133802828935874</v>
      </c>
      <c r="BH19" s="62">
        <f t="shared" si="8"/>
        <v>314.46713616226918</v>
      </c>
      <c r="BI19" s="62">
        <f ca="1">AVERAGE(OFFSET($BH$3,0,0,'Données projet'!$E$11+1,1))-AVERAGE(OFFSET($H$3,0,0,'Données projet'!$E$11+1,1))</f>
        <v>238.29088076221427</v>
      </c>
      <c r="BJ19" s="62">
        <f t="shared" si="38"/>
        <v>102.64102748467457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4.8620000000000001</v>
      </c>
      <c r="D20" s="12">
        <f t="shared" si="32"/>
        <v>1.8638963534402646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51.919199921293277</v>
      </c>
      <c r="H20" s="70">
        <f t="shared" si="1"/>
        <v>305.04760281557509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6.85</v>
      </c>
      <c r="N20" s="14">
        <f>IF('Données projet'!$A$36&gt;35,N19+M20-V19,IF(A20&lt;'Données projet'!$A$36,$K$205^A20,IF(A20='Données projet'!$A$36,'Données projet'!$B$36,N19+M20-V19)))</f>
        <v>65.495653846679389</v>
      </c>
      <c r="O20" s="14">
        <f>N20*VLOOKUP('Données projet'!$B$9,Paramètres!$A$1:$I$89,3,0)*VLOOKUP('Données projet'!$B$9,Paramètres!$A$1:$I$89,5,0)</f>
        <v>30.651966000245952</v>
      </c>
      <c r="P20" s="14">
        <f t="shared" si="33"/>
        <v>9.4838930942376383</v>
      </c>
      <c r="Q20" s="22">
        <f t="shared" si="2"/>
        <v>69.903287922892247</v>
      </c>
      <c r="R20" s="62">
        <f t="shared" si="0"/>
        <v>363.23662125622559</v>
      </c>
      <c r="S20" s="62">
        <f ca="1">AVERAGE(OFFSET($R$3,0,0,'Données projet'!$E$9+1,1))-AVERAGE(OFFSET($H$3,0,0,'Données projet'!$E$9+1,1))</f>
        <v>188.51537094662768</v>
      </c>
      <c r="T20" s="62">
        <f t="shared" si="34"/>
        <v>181.95202230446716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2.95</v>
      </c>
      <c r="AI20" s="14">
        <f>IF('Données projet'!$A$62&gt;35,AI19+AH20-AQ19,IF(A20&lt;'Données projet'!$A$62,$AF$205^A20,IF(A20='Données projet'!$A$62,'Données projet'!$B$62,AI19+AH20-AQ19)))</f>
        <v>32.005470052114035</v>
      </c>
      <c r="AJ20" s="14">
        <f>AI20*VLOOKUP('Données projet'!$B$10,Paramètres!$A$1:$I$89,3,0)*VLOOKUP('Données projet'!$B$10,Paramètres!$A$1:$I$89,5,0)</f>
        <v>19.139271091164193</v>
      </c>
      <c r="AK20" s="14">
        <f t="shared" si="35"/>
        <v>6.2554901258679063</v>
      </c>
      <c r="AL20" s="22">
        <f t="shared" si="4"/>
        <v>44.229209119664233</v>
      </c>
      <c r="AM20" s="62">
        <f t="shared" si="5"/>
        <v>337.56254245299755</v>
      </c>
      <c r="AN20" s="62">
        <f ca="1">AVERAGE(OFFSET($AM$3,0,0,'Données projet'!$E$10+1,1))-AVERAGE(OFFSET($H$3,0,0,'Données projet'!$E$10+1,1))</f>
        <v>318.69447733545013</v>
      </c>
      <c r="AO20" s="62">
        <f t="shared" si="36"/>
        <v>186.33351136372443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1.2</v>
      </c>
      <c r="BD20" s="13">
        <f>IF('Données projet'!$A$88&gt;35,BD19+BC20-BL19,IF(A20&lt;'Données projet'!$A$88,$BA$205^A20,IF(A20='Données projet'!$A$88,'Données projet'!$B$88,BD19+BC20-BL19)))</f>
        <v>10.102816228956828</v>
      </c>
      <c r="BE20" s="14">
        <f>BD20*VLOOKUP('Données projet'!$B$11,Paramètres!$A$1:$I$89,3,0)*VLOOKUP('Données projet'!$B$11,Paramètres!$A$1:$I$89,5,0)</f>
        <v>10.244255656162224</v>
      </c>
      <c r="BF20" s="14">
        <f t="shared" si="37"/>
        <v>3.6009123769158946</v>
      </c>
      <c r="BG20" s="22">
        <f t="shared" si="7"/>
        <v>24.113667657611057</v>
      </c>
      <c r="BH20" s="62">
        <f t="shared" si="8"/>
        <v>317.44700099094439</v>
      </c>
      <c r="BI20" s="62">
        <f ca="1">AVERAGE(OFFSET($BH$3,0,0,'Données projet'!$E$11+1,1))-AVERAGE(OFFSET($H$3,0,0,'Données projet'!$E$11+1,1))</f>
        <v>238.29088076221427</v>
      </c>
      <c r="BJ20" s="62">
        <f t="shared" si="38"/>
        <v>102.64102748467457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5.1479999999999997</v>
      </c>
      <c r="D21" s="12">
        <f t="shared" si="32"/>
        <v>1.9604504824312583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54.872249338065849</v>
      </c>
      <c r="H21" s="70">
        <f t="shared" si="1"/>
        <v>305.71388459023444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6.85</v>
      </c>
      <c r="N21" s="14">
        <f>IF('Données projet'!$A$36&gt;35,N20+M21-V20,IF(A21&lt;'Données projet'!$A$36,$K$205^A21,IF(A21='Données projet'!$A$36,'Données projet'!$B$36,N20+M21-V20)))</f>
        <v>83.762283888507497</v>
      </c>
      <c r="O21" s="14">
        <f>N21*VLOOKUP('Données projet'!$B$9,Paramètres!$A$1:$I$89,3,0)*VLOOKUP('Données projet'!$B$9,Paramètres!$A$1:$I$89,5,0)</f>
        <v>39.200748859821509</v>
      </c>
      <c r="P21" s="14">
        <f t="shared" si="33"/>
        <v>11.786557099718619</v>
      </c>
      <c r="Q21" s="22">
        <f t="shared" si="2"/>
        <v>88.802891212865731</v>
      </c>
      <c r="R21" s="62">
        <f t="shared" si="0"/>
        <v>382.13622454619906</v>
      </c>
      <c r="S21" s="62">
        <f ca="1">AVERAGE(OFFSET($R$3,0,0,'Données projet'!$E$9+1,1))-AVERAGE(OFFSET($H$3,0,0,'Données projet'!$E$9+1,1))</f>
        <v>188.51537094662768</v>
      </c>
      <c r="T21" s="62">
        <f t="shared" si="34"/>
        <v>181.95202230446716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2.95</v>
      </c>
      <c r="AI21" s="14">
        <f>IF('Données projet'!$A$62&gt;35,AI20+AH21-AQ20,IF(A21&lt;'Données projet'!$A$62,$AF$205^A21,IF(A21='Données projet'!$A$62,'Données projet'!$B$62,AI20+AH21-AQ20)))</f>
        <v>39.243416572187222</v>
      </c>
      <c r="AJ21" s="14">
        <f>AI21*VLOOKUP('Données projet'!$B$10,Paramètres!$A$1:$I$89,3,0)*VLOOKUP('Données projet'!$B$10,Paramètres!$A$1:$I$89,5,0)</f>
        <v>23.467563110167958</v>
      </c>
      <c r="AK21" s="14">
        <f t="shared" si="35"/>
        <v>7.4902719297203753</v>
      </c>
      <c r="AL21" s="22">
        <f t="shared" si="4"/>
        <v>53.918229361138849</v>
      </c>
      <c r="AM21" s="62">
        <f t="shared" si="5"/>
        <v>347.25156269447217</v>
      </c>
      <c r="AN21" s="62">
        <f ca="1">AVERAGE(OFFSET($AM$3,0,0,'Données projet'!$E$10+1,1))-AVERAGE(OFFSET($H$3,0,0,'Données projet'!$E$10+1,1))</f>
        <v>318.69447733545013</v>
      </c>
      <c r="AO21" s="62">
        <f t="shared" si="36"/>
        <v>186.33351136372443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1.2</v>
      </c>
      <c r="BD21" s="13">
        <f>IF('Données projet'!$A$88&gt;35,BD20+BC21-BL20,IF(A21&lt;'Données projet'!$A$88,$BA$205^A21,IF(A21='Données projet'!$A$88,'Données projet'!$B$88,BD20+BC21-BL20)))</f>
        <v>11.575168010312384</v>
      </c>
      <c r="BE21" s="14">
        <f>BD21*VLOOKUP('Données projet'!$B$11,Paramètres!$A$1:$I$89,3,0)*VLOOKUP('Données projet'!$B$11,Paramètres!$A$1:$I$89,5,0)</f>
        <v>11.737220362456757</v>
      </c>
      <c r="BF21" s="14">
        <f t="shared" si="37"/>
        <v>4.0608778588863084</v>
      </c>
      <c r="BG21" s="22">
        <f t="shared" si="7"/>
        <v>27.515021068839172</v>
      </c>
      <c r="BH21" s="62">
        <f t="shared" si="8"/>
        <v>320.8483544021725</v>
      </c>
      <c r="BI21" s="62">
        <f ca="1">AVERAGE(OFFSET($BH$3,0,0,'Données projet'!$E$11+1,1))-AVERAGE(OFFSET($H$3,0,0,'Données projet'!$E$11+1,1))</f>
        <v>238.29088076221427</v>
      </c>
      <c r="BJ21" s="62">
        <f t="shared" si="38"/>
        <v>102.64102748467457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5.4339999999999993</v>
      </c>
      <c r="D22" s="12">
        <f t="shared" si="32"/>
        <v>2.0563819044260141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57.82049189381484</v>
      </c>
      <c r="H22" s="70">
        <f t="shared" si="1"/>
        <v>306.37908181687527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6.85</v>
      </c>
      <c r="N22" s="14">
        <f>IF('Données projet'!$A$36&gt;35,N21+M22-V21,IF(A22&lt;'Données projet'!$A$36,$K$205^A22,IF(A22='Données projet'!$A$36,'Données projet'!$B$36,N21+M22-V21)))</f>
        <v>107.12344697929356</v>
      </c>
      <c r="O22" s="14">
        <f>N22*VLOOKUP('Données projet'!$B$9,Paramètres!$A$1:$I$89,3,0)*VLOOKUP('Données projet'!$B$9,Paramètres!$A$1:$I$89,5,0)</f>
        <v>50.133773186309384</v>
      </c>
      <c r="P22" s="14">
        <f t="shared" si="33"/>
        <v>14.648301798059716</v>
      </c>
      <c r="Q22" s="22">
        <f t="shared" si="2"/>
        <v>112.82878059777619</v>
      </c>
      <c r="R22" s="62">
        <f t="shared" si="0"/>
        <v>406.1621139311095</v>
      </c>
      <c r="S22" s="62">
        <f ca="1">AVERAGE(OFFSET($R$3,0,0,'Données projet'!$E$9+1,1))-AVERAGE(OFFSET($H$3,0,0,'Données projet'!$E$9+1,1))</f>
        <v>188.51537094662768</v>
      </c>
      <c r="T22" s="62">
        <f t="shared" si="34"/>
        <v>181.95202230446716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2.95</v>
      </c>
      <c r="AI22" s="14">
        <f>IF('Données projet'!$A$62&gt;35,AI21+AH22-AQ21,IF(A22&lt;'Données projet'!$A$62,$AF$205^A22,IF(A22='Données projet'!$A$62,'Données projet'!$B$62,AI21+AH22-AQ21)))</f>
        <v>48.118204224171201</v>
      </c>
      <c r="AJ22" s="14">
        <f>AI22*VLOOKUP('Données projet'!$B$10,Paramètres!$A$1:$I$89,3,0)*VLOOKUP('Données projet'!$B$10,Paramètres!$A$1:$I$89,5,0)</f>
        <v>28.77468612605438</v>
      </c>
      <c r="AK22" s="14">
        <f t="shared" si="35"/>
        <v>8.9687894077481118</v>
      </c>
      <c r="AL22" s="22">
        <f t="shared" si="4"/>
        <v>65.736553221372674</v>
      </c>
      <c r="AM22" s="62">
        <f t="shared" si="5"/>
        <v>359.06988655470599</v>
      </c>
      <c r="AN22" s="62">
        <f ca="1">AVERAGE(OFFSET($AM$3,0,0,'Données projet'!$E$10+1,1))-AVERAGE(OFFSET($H$3,0,0,'Données projet'!$E$10+1,1))</f>
        <v>318.69447733545013</v>
      </c>
      <c r="AO22" s="62">
        <f t="shared" si="36"/>
        <v>186.33351136372443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1.2</v>
      </c>
      <c r="BD22" s="13">
        <f>IF('Données projet'!$A$88&gt;35,BD21+BC22-BL21,IF(A22&lt;'Données projet'!$A$88,$BA$205^A22,IF(A22='Données projet'!$A$88,'Données projet'!$B$88,BD21+BC22-BL21)))</f>
        <v>13.262095581124292</v>
      </c>
      <c r="BE22" s="14">
        <f>BD22*VLOOKUP('Données projet'!$B$11,Paramètres!$A$1:$I$89,3,0)*VLOOKUP('Données projet'!$B$11,Paramètres!$A$1:$I$89,5,0)</f>
        <v>13.447764919260033</v>
      </c>
      <c r="BF22" s="14">
        <f t="shared" si="37"/>
        <v>4.5795974071762906</v>
      </c>
      <c r="BG22" s="22">
        <f t="shared" si="7"/>
        <v>31.397656051876599</v>
      </c>
      <c r="BH22" s="62">
        <f t="shared" si="8"/>
        <v>324.73098938520991</v>
      </c>
      <c r="BI22" s="62">
        <f ca="1">AVERAGE(OFFSET($BH$3,0,0,'Données projet'!$E$11+1,1))-AVERAGE(OFFSET($H$3,0,0,'Données projet'!$E$11+1,1))</f>
        <v>238.29088076221427</v>
      </c>
      <c r="BJ22" s="62">
        <f t="shared" si="38"/>
        <v>102.64102748467457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5.7199999999999989</v>
      </c>
      <c r="D23" s="12">
        <f t="shared" si="32"/>
        <v>2.1517271311001762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60.764209433053985</v>
      </c>
      <c r="H23" s="70">
        <f t="shared" si="1"/>
        <v>307.04325808666613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137</v>
      </c>
      <c r="L23" s="13">
        <f>VLOOKUP(A23,'Données projet'!$A$35:$I$55,9,0)</f>
        <v>6.85</v>
      </c>
      <c r="M23" s="13">
        <f t="array" ref="M23">INDEX(L:L,MIN(IF(ISNUMBER(L23:L219),ROW(L23:L219),"")))</f>
        <v>6.85</v>
      </c>
      <c r="N23" s="14">
        <f>IF('Données projet'!$A$36&gt;35,N22+M23-V22,IF(A23&lt;'Données projet'!$A$36,$K$205^A23,IF(A23='Données projet'!$A$36,'Données projet'!$B$36,N22+M23-V22)))</f>
        <v>137</v>
      </c>
      <c r="O23" s="14">
        <f>N23*VLOOKUP('Données projet'!$B$9,Paramètres!$A$1:$I$89,3,0)*VLOOKUP('Données projet'!$B$9,Paramètres!$A$1:$I$89,5,0)</f>
        <v>64.116</v>
      </c>
      <c r="P23" s="14">
        <f t="shared" si="33"/>
        <v>18.204870493705258</v>
      </c>
      <c r="Q23" s="22">
        <f t="shared" si="2"/>
        <v>143.37551610986998</v>
      </c>
      <c r="R23" s="62">
        <f t="shared" si="0"/>
        <v>436.70884944320329</v>
      </c>
      <c r="S23" s="62">
        <f ca="1">AVERAGE(OFFSET($R$3,0,0,'Données projet'!$E$9+1,1))-AVERAGE(OFFSET($H$3,0,0,'Données projet'!$E$9+1,1))</f>
        <v>188.51537094662768</v>
      </c>
      <c r="T23" s="62">
        <f t="shared" si="34"/>
        <v>181.95202230446716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59</v>
      </c>
      <c r="AG23" s="13">
        <f>VLOOKUP(A23,'Données projet'!$A$61:$I$81,9,0)</f>
        <v>2.95</v>
      </c>
      <c r="AH23" s="13">
        <f t="array" ref="AH23">INDEX(AG:AG,MIN(IF(ISNUMBER(AG23:AG219),ROW(AG23:AG219),"")))</f>
        <v>2.95</v>
      </c>
      <c r="AI23" s="14">
        <f>IF('Données projet'!$A$62&gt;35,AI22+AH23-AQ22,IF(A23&lt;'Données projet'!$A$62,$AF$205^A23,IF(A23='Données projet'!$A$62,'Données projet'!$B$62,AI22+AH23-AQ22)))</f>
        <v>59</v>
      </c>
      <c r="AJ23" s="14">
        <f>AI23*VLOOKUP('Données projet'!$B$10,Paramètres!$A$1:$I$89,3,0)*VLOOKUP('Données projet'!$B$10,Paramètres!$A$1:$I$89,5,0)</f>
        <v>35.282000000000004</v>
      </c>
      <c r="AK23" s="14">
        <f t="shared" si="35"/>
        <v>10.73915395799758</v>
      </c>
      <c r="AL23" s="22">
        <f t="shared" si="4"/>
        <v>80.153509810179131</v>
      </c>
      <c r="AM23" s="62">
        <f t="shared" si="5"/>
        <v>373.48684314351243</v>
      </c>
      <c r="AN23" s="62">
        <f ca="1">AVERAGE(OFFSET($AM$3,0,0,'Données projet'!$E$10+1,1))-AVERAGE(OFFSET($H$3,0,0,'Données projet'!$E$10+1,1))</f>
        <v>318.69447733545013</v>
      </c>
      <c r="AO23" s="62">
        <f t="shared" si="36"/>
        <v>186.33351136372443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0.3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0.60936742252874387</v>
      </c>
      <c r="AX23" s="23">
        <f t="shared" si="6"/>
        <v>0.60936742252874387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1.2</v>
      </c>
      <c r="BD23" s="13">
        <f>IF('Données projet'!$A$88&gt;35,BD22+BC23-BL22,IF(A23&lt;'Données projet'!$A$88,$BA$205^A23,IF(A23='Données projet'!$A$88,'Données projet'!$B$88,BD22+BC23-BL22)))</f>
        <v>15.194870523363559</v>
      </c>
      <c r="BE23" s="14">
        <f>BD23*VLOOKUP('Données projet'!$B$11,Paramètres!$A$1:$I$89,3,0)*VLOOKUP('Données projet'!$B$11,Paramètres!$A$1:$I$89,5,0)</f>
        <v>15.407598710690648</v>
      </c>
      <c r="BF23" s="14">
        <f t="shared" si="37"/>
        <v>5.1645760204094255</v>
      </c>
      <c r="BG23" s="22">
        <f t="shared" si="7"/>
        <v>35.829870989999293</v>
      </c>
      <c r="BH23" s="62">
        <f t="shared" si="8"/>
        <v>329.16320432333259</v>
      </c>
      <c r="BI23" s="62">
        <f ca="1">AVERAGE(OFFSET($BH$3,0,0,'Données projet'!$E$11+1,1))-AVERAGE(OFFSET($H$3,0,0,'Données projet'!$E$11+1,1))</f>
        <v>238.29088076221427</v>
      </c>
      <c r="BJ23" s="62">
        <f t="shared" si="38"/>
        <v>102.64102748467457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6.0059999999999985</v>
      </c>
      <c r="D24" s="12">
        <f t="shared" si="32"/>
        <v>2.2465188167092123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63.703654023720219</v>
      </c>
      <c r="H24" s="70">
        <f t="shared" si="1"/>
        <v>307.70647027243518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7.8</v>
      </c>
      <c r="N24" s="14">
        <f>IF('Données projet'!$A$36&gt;35,N23+M24-V23,IF(A24&lt;'Données projet'!$A$36,$K$205^A24,IF(A24='Données projet'!$A$36,'Données projet'!$B$36,N23+M24-V23)))</f>
        <v>124.80000000000001</v>
      </c>
      <c r="O24" s="14">
        <f>N24*VLOOKUP('Données projet'!$B$9,Paramètres!$A$1:$I$89,3,0)*VLOOKUP('Données projet'!$B$9,Paramètres!$A$1:$I$89,5,0)</f>
        <v>58.406400000000005</v>
      </c>
      <c r="P24" s="14">
        <f t="shared" si="33"/>
        <v>16.764727871227809</v>
      </c>
      <c r="Q24" s="22">
        <f t="shared" si="2"/>
        <v>130.92304770905511</v>
      </c>
      <c r="R24" s="62">
        <f t="shared" si="0"/>
        <v>424.2563810423884</v>
      </c>
      <c r="S24" s="62">
        <f ca="1">AVERAGE(OFFSET($R$3,0,0,'Données projet'!$E$9+1,1))-AVERAGE(OFFSET($H$3,0,0,'Données projet'!$E$9+1,1))</f>
        <v>188.51537094662768</v>
      </c>
      <c r="T24" s="62">
        <f t="shared" si="34"/>
        <v>181.95202230446716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</v>
      </c>
      <c r="AI24" s="14">
        <f>IF('Données projet'!$A$62&gt;35,AI23+AH24-AQ23,IF(A24&lt;'Données projet'!$A$62,$AF$205^A24,IF(A24='Données projet'!$A$62,'Données projet'!$B$62,AI23+AH24-AQ23)))</f>
        <v>66</v>
      </c>
      <c r="AJ24" s="14">
        <f>AI24*VLOOKUP('Données projet'!$B$10,Paramètres!$A$1:$I$89,3,0)*VLOOKUP('Données projet'!$B$10,Paramètres!$A$1:$I$89,5,0)</f>
        <v>39.468000000000004</v>
      </c>
      <c r="AK24" s="14">
        <f t="shared" si="35"/>
        <v>11.8575305564269</v>
      </c>
      <c r="AL24" s="22">
        <f t="shared" si="4"/>
        <v>89.391965719110203</v>
      </c>
      <c r="AM24" s="62">
        <f t="shared" si="5"/>
        <v>382.72529905244352</v>
      </c>
      <c r="AN24" s="62">
        <f ca="1">AVERAGE(OFFSET($AM$3,0,0,'Données projet'!$E$10+1,1))-AVERAGE(OFFSET($H$3,0,0,'Données projet'!$E$10+1,1))</f>
        <v>318.69447733545013</v>
      </c>
      <c r="AO24" s="62">
        <f t="shared" si="36"/>
        <v>186.33351136372443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0.43088783670424297</v>
      </c>
      <c r="AX24" s="23">
        <f t="shared" si="6"/>
        <v>0.43088783670424297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1.2</v>
      </c>
      <c r="BD24" s="13">
        <f>IF('Données projet'!$A$88&gt;35,BD23+BC24-BL23,IF(A24&lt;'Données projet'!$A$88,$BA$205^A24,IF(A24='Données projet'!$A$88,'Données projet'!$B$88,BD23+BC24-BL23)))</f>
        <v>17.409321838276906</v>
      </c>
      <c r="BE24" s="14">
        <f>BD24*VLOOKUP('Données projet'!$B$11,Paramètres!$A$1:$I$89,3,0)*VLOOKUP('Données projet'!$B$11,Paramètres!$A$1:$I$89,5,0)</f>
        <v>17.653052344012782</v>
      </c>
      <c r="BF24" s="14">
        <f t="shared" si="37"/>
        <v>5.8242773543349813</v>
      </c>
      <c r="BG24" s="22">
        <f t="shared" si="7"/>
        <v>40.889682557955688</v>
      </c>
      <c r="BH24" s="62">
        <f t="shared" si="8"/>
        <v>334.22301589128898</v>
      </c>
      <c r="BI24" s="62">
        <f ca="1">AVERAGE(OFFSET($BH$3,0,0,'Données projet'!$E$11+1,1))-AVERAGE(OFFSET($H$3,0,0,'Données projet'!$E$11+1,1))</f>
        <v>238.29088076221427</v>
      </c>
      <c r="BJ24" s="62">
        <f t="shared" si="38"/>
        <v>102.64102748467457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6.291999999999998</v>
      </c>
      <c r="D25" s="12">
        <f t="shared" si="32"/>
        <v>2.3407863298509928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66.639052370779581</v>
      </c>
      <c r="H25" s="70">
        <f t="shared" si="1"/>
        <v>308.36876952449046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7.8</v>
      </c>
      <c r="N25" s="14">
        <f>IF('Données projet'!$A$36&gt;35,N24+M25-V24,IF(A25&lt;'Données projet'!$A$36,$K$205^A25,IF(A25='Données projet'!$A$36,'Données projet'!$B$36,N24+M25-V24)))</f>
        <v>132.60000000000002</v>
      </c>
      <c r="O25" s="14">
        <f>N25*VLOOKUP('Données projet'!$B$9,Paramètres!$A$1:$I$89,3,0)*VLOOKUP('Données projet'!$B$9,Paramètres!$A$1:$I$89,5,0)</f>
        <v>62.05680000000001</v>
      </c>
      <c r="P25" s="14">
        <f t="shared" si="33"/>
        <v>17.687268087658364</v>
      </c>
      <c r="Q25" s="22">
        <f t="shared" si="2"/>
        <v>138.88758525267167</v>
      </c>
      <c r="R25" s="62">
        <f t="shared" si="0"/>
        <v>432.22091858600498</v>
      </c>
      <c r="S25" s="62">
        <f ca="1">AVERAGE(OFFSET($R$3,0,0,'Données projet'!$E$9+1,1))-AVERAGE(OFFSET($H$3,0,0,'Données projet'!$E$9+1,1))</f>
        <v>188.51537094662768</v>
      </c>
      <c r="T25" s="62">
        <f t="shared" si="34"/>
        <v>181.95202230446716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</v>
      </c>
      <c r="AI25" s="14">
        <f>IF('Données projet'!$A$62&gt;35,AI24+AH25-AQ24,IF(A25&lt;'Données projet'!$A$62,$AF$205^A25,IF(A25='Données projet'!$A$62,'Données projet'!$B$62,AI24+AH25-AQ24)))</f>
        <v>76</v>
      </c>
      <c r="AJ25" s="14">
        <f>AI25*VLOOKUP('Données projet'!$B$10,Paramètres!$A$1:$I$89,3,0)*VLOOKUP('Données projet'!$B$10,Paramètres!$A$1:$I$89,5,0)</f>
        <v>45.448</v>
      </c>
      <c r="AK25" s="14">
        <f t="shared" si="35"/>
        <v>13.431735195887134</v>
      </c>
      <c r="AL25" s="22">
        <f t="shared" si="4"/>
        <v>102.54887213283676</v>
      </c>
      <c r="AM25" s="62">
        <f t="shared" si="5"/>
        <v>395.88220546617009</v>
      </c>
      <c r="AN25" s="62">
        <f ca="1">AVERAGE(OFFSET($AM$3,0,0,'Données projet'!$E$10+1,1))-AVERAGE(OFFSET($H$3,0,0,'Données projet'!$E$10+1,1))</f>
        <v>318.69447733545013</v>
      </c>
      <c r="AO25" s="62">
        <f t="shared" si="36"/>
        <v>186.33351136372443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0.30468371126437199</v>
      </c>
      <c r="AX25" s="23">
        <f t="shared" si="6"/>
        <v>0.30468371126437199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1.2</v>
      </c>
      <c r="BD25" s="13">
        <f>IF('Données projet'!$A$88&gt;35,BD24+BC25-BL24,IF(A25&lt;'Données projet'!$A$88,$BA$205^A25,IF(A25='Données projet'!$A$88,'Données projet'!$B$88,BD24+BC25-BL24)))</f>
        <v>19.946500129940819</v>
      </c>
      <c r="BE25" s="14">
        <f>BD25*VLOOKUP('Données projet'!$B$11,Paramètres!$A$1:$I$89,3,0)*VLOOKUP('Données projet'!$B$11,Paramètres!$A$1:$I$89,5,0)</f>
        <v>20.225751131759992</v>
      </c>
      <c r="BF25" s="14">
        <f t="shared" si="37"/>
        <v>6.5682461766784241</v>
      </c>
      <c r="BG25" s="22">
        <f t="shared" si="7"/>
        <v>46.666211978863579</v>
      </c>
      <c r="BH25" s="62">
        <f t="shared" si="8"/>
        <v>339.99954531219691</v>
      </c>
      <c r="BI25" s="62">
        <f ca="1">AVERAGE(OFFSET($BH$3,0,0,'Données projet'!$E$11+1,1))-AVERAGE(OFFSET($H$3,0,0,'Données projet'!$E$11+1,1))</f>
        <v>238.29088076221427</v>
      </c>
      <c r="BJ25" s="62">
        <f t="shared" si="38"/>
        <v>102.64102748467457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6.5779999999999976</v>
      </c>
      <c r="D26" s="12">
        <f t="shared" si="32"/>
        <v>2.4345562183329101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69.570609404675068</v>
      </c>
      <c r="H26" s="70">
        <f t="shared" si="1"/>
        <v>309.03020208026311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7.8</v>
      </c>
      <c r="N26" s="14">
        <f>IF('Données projet'!$A$36&gt;35,N25+M26-V25,IF(A26&lt;'Données projet'!$A$36,$K$205^A26,IF(A26='Données projet'!$A$36,'Données projet'!$B$36,N25+M26-V25)))</f>
        <v>140.40000000000003</v>
      </c>
      <c r="O26" s="14">
        <f>N26*VLOOKUP('Données projet'!$B$9,Paramètres!$A$1:$I$89,3,0)*VLOOKUP('Données projet'!$B$9,Paramètres!$A$1:$I$89,5,0)</f>
        <v>65.707200000000014</v>
      </c>
      <c r="P26" s="14">
        <f t="shared" si="33"/>
        <v>18.603509358951122</v>
      </c>
      <c r="Q26" s="22">
        <f t="shared" si="2"/>
        <v>146.84115213350654</v>
      </c>
      <c r="R26" s="62">
        <f t="shared" si="0"/>
        <v>440.17448546683988</v>
      </c>
      <c r="S26" s="62">
        <f ca="1">AVERAGE(OFFSET($R$3,0,0,'Données projet'!$E$9+1,1))-AVERAGE(OFFSET($H$3,0,0,'Données projet'!$E$9+1,1))</f>
        <v>188.51537094662768</v>
      </c>
      <c r="T26" s="62">
        <f t="shared" si="34"/>
        <v>181.95202230446716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</v>
      </c>
      <c r="AI26" s="14">
        <f>IF('Données projet'!$A$62&gt;35,AI25+AH26-AQ25,IF(A26&lt;'Données projet'!$A$62,$AF$205^A26,IF(A26='Données projet'!$A$62,'Données projet'!$B$62,AI25+AH26-AQ25)))</f>
        <v>86</v>
      </c>
      <c r="AJ26" s="14">
        <f>AI26*VLOOKUP('Données projet'!$B$10,Paramètres!$A$1:$I$89,3,0)*VLOOKUP('Données projet'!$B$10,Paramètres!$A$1:$I$89,5,0)</f>
        <v>51.428000000000004</v>
      </c>
      <c r="AK26" s="14">
        <f t="shared" si="35"/>
        <v>14.981940313719676</v>
      </c>
      <c r="AL26" s="22">
        <f t="shared" si="4"/>
        <v>115.66397937972845</v>
      </c>
      <c r="AM26" s="62">
        <f t="shared" si="5"/>
        <v>408.99731271306177</v>
      </c>
      <c r="AN26" s="62">
        <f ca="1">AVERAGE(OFFSET($AM$3,0,0,'Données projet'!$E$10+1,1))-AVERAGE(OFFSET($H$3,0,0,'Données projet'!$E$10+1,1))</f>
        <v>318.69447733545013</v>
      </c>
      <c r="AO26" s="62">
        <f t="shared" si="36"/>
        <v>186.33351136372443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0.21544391835212154</v>
      </c>
      <c r="AX26" s="23">
        <f t="shared" si="6"/>
        <v>0.21544391835212154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1.2</v>
      </c>
      <c r="BD26" s="13">
        <f>IF('Données projet'!$A$88&gt;35,BD25+BC26-BL25,IF(A26&lt;'Données projet'!$A$88,$BA$205^A26,IF(A26='Données projet'!$A$88,'Données projet'!$B$88,BD25+BC26-BL25)))</f>
        <v>22.853438584779923</v>
      </c>
      <c r="BE26" s="14">
        <f>BD26*VLOOKUP('Données projet'!$B$11,Paramètres!$A$1:$I$89,3,0)*VLOOKUP('Données projet'!$B$11,Paramètres!$A$1:$I$89,5,0)</f>
        <v>23.173386724966843</v>
      </c>
      <c r="BF26" s="14">
        <f t="shared" si="37"/>
        <v>7.4072464638622444</v>
      </c>
      <c r="BG26" s="22">
        <f t="shared" si="7"/>
        <v>53.261269470543994</v>
      </c>
      <c r="BH26" s="62">
        <f t="shared" si="8"/>
        <v>346.59460280387731</v>
      </c>
      <c r="BI26" s="62">
        <f ca="1">AVERAGE(OFFSET($BH$3,0,0,'Données projet'!$E$11+1,1))-AVERAGE(OFFSET($H$3,0,0,'Données projet'!$E$11+1,1))</f>
        <v>238.29088076221427</v>
      </c>
      <c r="BJ26" s="62">
        <f t="shared" si="38"/>
        <v>102.64102748467457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6.8639999999999972</v>
      </c>
      <c r="D27" s="12">
        <f t="shared" si="32"/>
        <v>2.5278525909113116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72.49851122808731</v>
      </c>
      <c r="H27" s="70">
        <f t="shared" si="1"/>
        <v>309.69080992917048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7.8</v>
      </c>
      <c r="N27" s="14">
        <f>IF('Données projet'!$A$36&gt;35,N26+M27-V26,IF(A27&lt;'Données projet'!$A$36,$K$205^A27,IF(A27='Données projet'!$A$36,'Données projet'!$B$36,N26+M27-V26)))</f>
        <v>148.20000000000005</v>
      </c>
      <c r="O27" s="14">
        <f>N27*VLOOKUP('Données projet'!$B$9,Paramètres!$A$1:$I$89,3,0)*VLOOKUP('Données projet'!$B$9,Paramètres!$A$1:$I$89,5,0)</f>
        <v>69.357600000000019</v>
      </c>
      <c r="P27" s="14">
        <f t="shared" si="33"/>
        <v>19.513841511122433</v>
      </c>
      <c r="Q27" s="22">
        <f t="shared" si="2"/>
        <v>154.78442729853825</v>
      </c>
      <c r="R27" s="62">
        <f t="shared" si="0"/>
        <v>448.11776063187153</v>
      </c>
      <c r="S27" s="62">
        <f ca="1">AVERAGE(OFFSET($R$3,0,0,'Données projet'!$E$9+1,1))-AVERAGE(OFFSET($H$3,0,0,'Données projet'!$E$9+1,1))</f>
        <v>188.51537094662768</v>
      </c>
      <c r="T27" s="62">
        <f t="shared" si="34"/>
        <v>181.95202230446716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</v>
      </c>
      <c r="AI27" s="14">
        <f>IF('Données projet'!$A$62&gt;35,AI26+AH27-AQ26,IF(A27&lt;'Données projet'!$A$62,$AF$205^A27,IF(A27='Données projet'!$A$62,'Données projet'!$B$62,AI26+AH27-AQ26)))</f>
        <v>96</v>
      </c>
      <c r="AJ27" s="14">
        <f>AI27*VLOOKUP('Données projet'!$B$10,Paramètres!$A$1:$I$89,3,0)*VLOOKUP('Données projet'!$B$10,Paramètres!$A$1:$I$89,5,0)</f>
        <v>57.408000000000008</v>
      </c>
      <c r="AK27" s="14">
        <f t="shared" si="35"/>
        <v>16.511255298579947</v>
      </c>
      <c r="AL27" s="22">
        <f t="shared" si="4"/>
        <v>128.74270297836009</v>
      </c>
      <c r="AM27" s="62">
        <f t="shared" si="5"/>
        <v>422.07603631169343</v>
      </c>
      <c r="AN27" s="62">
        <f ca="1">AVERAGE(OFFSET($AM$3,0,0,'Données projet'!$E$10+1,1))-AVERAGE(OFFSET($H$3,0,0,'Données projet'!$E$10+1,1))</f>
        <v>318.69447733545013</v>
      </c>
      <c r="AO27" s="62">
        <f t="shared" si="36"/>
        <v>186.33351136372443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0.15234185563218602</v>
      </c>
      <c r="AX27" s="23">
        <f t="shared" si="6"/>
        <v>0.15234185563218602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1.2</v>
      </c>
      <c r="BD27" s="13">
        <f>IF('Données projet'!$A$88&gt;35,BD26+BC27-BL26,IF(A27&lt;'Données projet'!$A$88,$BA$205^A27,IF(A27='Données projet'!$A$88,'Données projet'!$B$88,BD26+BC27-BL26)))</f>
        <v>26.184024853780567</v>
      </c>
      <c r="BE27" s="14">
        <f>BD27*VLOOKUP('Données projet'!$B$11,Paramètres!$A$1:$I$89,3,0)*VLOOKUP('Données projet'!$B$11,Paramètres!$A$1:$I$89,5,0)</f>
        <v>26.550601201733496</v>
      </c>
      <c r="BF27" s="14">
        <f t="shared" si="37"/>
        <v>8.3534171376241328</v>
      </c>
      <c r="BG27" s="22">
        <f t="shared" si="7"/>
        <v>60.7911652743812</v>
      </c>
      <c r="BH27" s="62">
        <f t="shared" si="8"/>
        <v>354.12449860771449</v>
      </c>
      <c r="BI27" s="62">
        <f ca="1">AVERAGE(OFFSET($BH$3,0,0,'Données projet'!$E$11+1,1))-AVERAGE(OFFSET($H$3,0,0,'Données projet'!$E$11+1,1))</f>
        <v>238.29088076221427</v>
      </c>
      <c r="BJ27" s="62">
        <f t="shared" si="38"/>
        <v>102.64102748467457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7.1499999999999968</v>
      </c>
      <c r="D28" s="12">
        <f t="shared" si="32"/>
        <v>2.6206974336148976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75.422927557729011</v>
      </c>
      <c r="H28" s="70">
        <f t="shared" si="1"/>
        <v>310.35063136354592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7.8</v>
      </c>
      <c r="N28" s="14">
        <f>IF('Données projet'!$A$36&gt;35,N27+M28-V27,IF(A28&lt;'Données projet'!$A$36,$K$205^A28,IF(A28='Données projet'!$A$36,'Données projet'!$B$36,N27+M28-V27)))</f>
        <v>156.00000000000006</v>
      </c>
      <c r="O28" s="14">
        <f>N28*VLOOKUP('Données projet'!$B$9,Paramètres!$A$1:$I$89,3,0)*VLOOKUP('Données projet'!$B$9,Paramètres!$A$1:$I$89,5,0)</f>
        <v>73.008000000000024</v>
      </c>
      <c r="P28" s="14">
        <f t="shared" si="33"/>
        <v>20.418611018263654</v>
      </c>
      <c r="Q28" s="22">
        <f t="shared" si="2"/>
        <v>162.71801419014258</v>
      </c>
      <c r="R28" s="62">
        <f t="shared" si="0"/>
        <v>456.0513475234759</v>
      </c>
      <c r="S28" s="62">
        <f ca="1">AVERAGE(OFFSET($R$3,0,0,'Données projet'!$E$9+1,1))-AVERAGE(OFFSET($H$3,0,0,'Données projet'!$E$9+1,1))</f>
        <v>188.51537094662768</v>
      </c>
      <c r="T28" s="62">
        <f t="shared" si="34"/>
        <v>181.95202230446716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10</v>
      </c>
      <c r="AI28" s="14">
        <f>IF('Données projet'!$A$62&gt;35,AI27+AH28-AQ27,IF(A28&lt;'Données projet'!$A$62,$AF$205^A28,IF(A28='Données projet'!$A$62,'Données projet'!$B$62,AI27+AH28-AQ27)))</f>
        <v>106</v>
      </c>
      <c r="AJ28" s="14">
        <f>AI28*VLOOKUP('Données projet'!$B$10,Paramètres!$A$1:$I$89,3,0)*VLOOKUP('Données projet'!$B$10,Paramètres!$A$1:$I$89,5,0)</f>
        <v>63.388000000000012</v>
      </c>
      <c r="AK28" s="14">
        <f t="shared" si="35"/>
        <v>18.022104085041263</v>
      </c>
      <c r="AL28" s="22">
        <f t="shared" si="4"/>
        <v>141.78926461478019</v>
      </c>
      <c r="AM28" s="62">
        <f t="shared" si="5"/>
        <v>435.12259794811348</v>
      </c>
      <c r="AN28" s="62">
        <f ca="1">AVERAGE(OFFSET($AM$3,0,0,'Données projet'!$E$10+1,1))-AVERAGE(OFFSET($H$3,0,0,'Données projet'!$E$10+1,1))</f>
        <v>318.69447733545013</v>
      </c>
      <c r="AO28" s="62">
        <f t="shared" si="36"/>
        <v>186.33351136372443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0.10772195917606078</v>
      </c>
      <c r="AX28" s="23">
        <f t="shared" si="6"/>
        <v>0.10772195917606078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30</v>
      </c>
      <c r="BB28" s="13">
        <f>VLOOKUP(A28,'Données projet'!$A$87:$I$107,9,0)</f>
        <v>1.2</v>
      </c>
      <c r="BC28" s="13">
        <f t="array" ref="BC28">INDEX(BB:BB,MIN(IF(ISNUMBER(BB28:BB224),ROW(BB28:BB224),"")))</f>
        <v>1.2</v>
      </c>
      <c r="BD28" s="13">
        <f>IF('Données projet'!$A$88&gt;35,BD27+BC28-BL27,IF(A28&lt;'Données projet'!$A$88,$BA$205^A28,IF(A28='Données projet'!$A$88,'Données projet'!$B$88,BD27+BC28-BL27)))</f>
        <v>30</v>
      </c>
      <c r="BE28" s="14">
        <f>BD28*VLOOKUP('Données projet'!$B$11,Paramètres!$A$1:$I$89,3,0)*VLOOKUP('Données projet'!$B$11,Paramètres!$A$1:$I$89,5,0)</f>
        <v>30.42</v>
      </c>
      <c r="BF28" s="14">
        <f t="shared" si="37"/>
        <v>9.4204476947792024</v>
      </c>
      <c r="BG28" s="22">
        <f t="shared" si="7"/>
        <v>69.388779735073783</v>
      </c>
      <c r="BH28" s="62">
        <f t="shared" si="8"/>
        <v>362.72211306840711</v>
      </c>
      <c r="BI28" s="62">
        <f ca="1">AVERAGE(OFFSET($BH$3,0,0,'Données projet'!$E$11+1,1))-AVERAGE(OFFSET($H$3,0,0,'Données projet'!$E$11+1,1))</f>
        <v>238.29088076221427</v>
      </c>
      <c r="BJ28" s="62">
        <f t="shared" si="38"/>
        <v>102.64102748467457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7.4359999999999964</v>
      </c>
      <c r="D29" s="12">
        <f t="shared" si="32"/>
        <v>2.7131108740317202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78.344013764455369</v>
      </c>
      <c r="H29" s="70">
        <f t="shared" si="1"/>
        <v>311.00970143893858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7.8</v>
      </c>
      <c r="N29" s="14">
        <f>IF('Données projet'!$A$36&gt;35,N28+M29-V28,IF(A29&lt;'Données projet'!$A$36,$K$205^A29,IF(A29='Données projet'!$A$36,'Données projet'!$B$36,N28+M29-V28)))</f>
        <v>163.80000000000007</v>
      </c>
      <c r="O29" s="14">
        <f>N29*VLOOKUP('Données projet'!$B$9,Paramètres!$A$1:$I$89,3,0)*VLOOKUP('Données projet'!$B$9,Paramètres!$A$1:$I$89,5,0)</f>
        <v>76.658400000000029</v>
      </c>
      <c r="P29" s="14">
        <f t="shared" si="33"/>
        <v>21.318127749842365</v>
      </c>
      <c r="Q29" s="22">
        <f t="shared" si="2"/>
        <v>170.64245249764215</v>
      </c>
      <c r="R29" s="62">
        <f t="shared" si="0"/>
        <v>463.9757858309755</v>
      </c>
      <c r="S29" s="62">
        <f ca="1">AVERAGE(OFFSET($R$3,0,0,'Données projet'!$E$9+1,1))-AVERAGE(OFFSET($H$3,0,0,'Données projet'!$E$9+1,1))</f>
        <v>188.51537094662768</v>
      </c>
      <c r="T29" s="62">
        <f t="shared" si="34"/>
        <v>181.95202230446716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10</v>
      </c>
      <c r="AI29" s="14">
        <f>IF('Données projet'!$A$62&gt;35,AI28+AH29-AQ28,IF(A29&lt;'Données projet'!$A$62,$AF$205^A29,IF(A29='Données projet'!$A$62,'Données projet'!$B$62,AI28+AH29-AQ28)))</f>
        <v>116</v>
      </c>
      <c r="AJ29" s="14">
        <f>AI29*VLOOKUP('Données projet'!$B$10,Paramètres!$A$1:$I$89,3,0)*VLOOKUP('Données projet'!$B$10,Paramètres!$A$1:$I$89,5,0)</f>
        <v>69.367999999999995</v>
      </c>
      <c r="AK29" s="14">
        <f t="shared" si="35"/>
        <v>19.516426948203531</v>
      </c>
      <c r="AL29" s="22">
        <f t="shared" si="4"/>
        <v>154.80704360145447</v>
      </c>
      <c r="AM29" s="62">
        <f t="shared" si="5"/>
        <v>448.14037693478781</v>
      </c>
      <c r="AN29" s="62">
        <f ca="1">AVERAGE(OFFSET($AM$3,0,0,'Données projet'!$E$10+1,1))-AVERAGE(OFFSET($H$3,0,0,'Données projet'!$E$10+1,1))</f>
        <v>318.69447733545013</v>
      </c>
      <c r="AO29" s="62">
        <f t="shared" si="36"/>
        <v>186.33351136372443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7.6170927816093026E-2</v>
      </c>
      <c r="AX29" s="23">
        <f t="shared" si="6"/>
        <v>7.6170927816093026E-2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4.8</v>
      </c>
      <c r="BD29" s="13">
        <f>IF('Données projet'!$A$88&gt;35,BD28+BC29-BL28,IF(A29&lt;'Données projet'!$A$88,$BA$205^A29,IF(A29='Données projet'!$A$88,'Données projet'!$B$88,BD28+BC29-BL28)))</f>
        <v>34.799999999999997</v>
      </c>
      <c r="BE29" s="14">
        <f>BD29*VLOOKUP('Données projet'!$B$11,Paramètres!$A$1:$I$89,3,0)*VLOOKUP('Données projet'!$B$11,Paramètres!$A$1:$I$89,5,0)</f>
        <v>35.287199999999999</v>
      </c>
      <c r="BF29" s="14">
        <f t="shared" si="37"/>
        <v>10.740552489323523</v>
      </c>
      <c r="BG29" s="22">
        <f t="shared" si="7"/>
        <v>80.165002252238452</v>
      </c>
      <c r="BH29" s="62">
        <f t="shared" si="8"/>
        <v>373.49833558557179</v>
      </c>
      <c r="BI29" s="62">
        <f ca="1">AVERAGE(OFFSET($BH$3,0,0,'Données projet'!$E$11+1,1))-AVERAGE(OFFSET($H$3,0,0,'Données projet'!$E$11+1,1))</f>
        <v>238.29088076221427</v>
      </c>
      <c r="BJ29" s="62">
        <f t="shared" si="38"/>
        <v>102.64102748467457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7.721999999999996</v>
      </c>
      <c r="D30" s="12">
        <f t="shared" si="32"/>
        <v>2.8051114037929969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81.261912590682755</v>
      </c>
      <c r="H30" s="70">
        <f t="shared" si="1"/>
        <v>311.6680523616061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7.8</v>
      </c>
      <c r="N30" s="14">
        <f>IF('Données projet'!$A$36&gt;35,N29+M30-V29,IF(A30&lt;'Données projet'!$A$36,$K$205^A30,IF(A30='Données projet'!$A$36,'Données projet'!$B$36,N29+M30-V29)))</f>
        <v>171.60000000000008</v>
      </c>
      <c r="O30" s="14">
        <f>N30*VLOOKUP('Données projet'!$B$9,Paramètres!$A$1:$I$89,3,0)*VLOOKUP('Données projet'!$B$9,Paramètres!$A$1:$I$89,5,0)</f>
        <v>80.308800000000033</v>
      </c>
      <c r="P30" s="14">
        <f t="shared" si="33"/>
        <v>22.212670396389239</v>
      </c>
      <c r="Q30" s="22">
        <f t="shared" si="2"/>
        <v>178.55822760704464</v>
      </c>
      <c r="R30" s="62">
        <f t="shared" si="0"/>
        <v>471.89156094037799</v>
      </c>
      <c r="S30" s="62">
        <f ca="1">AVERAGE(OFFSET($R$3,0,0,'Données projet'!$E$9+1,1))-AVERAGE(OFFSET($H$3,0,0,'Données projet'!$E$9+1,1))</f>
        <v>188.51537094662768</v>
      </c>
      <c r="T30" s="62">
        <f t="shared" si="34"/>
        <v>181.95202230446716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10</v>
      </c>
      <c r="AI30" s="14">
        <f>IF('Données projet'!$A$62&gt;35,AI29+AH30-AQ29,IF(A30&lt;'Données projet'!$A$62,$AF$205^A30,IF(A30='Données projet'!$A$62,'Données projet'!$B$62,AI29+AH30-AQ29)))</f>
        <v>126</v>
      </c>
      <c r="AJ30" s="14">
        <f>AI30*VLOOKUP('Données projet'!$B$10,Paramètres!$A$1:$I$89,3,0)*VLOOKUP('Données projet'!$B$10,Paramètres!$A$1:$I$89,5,0)</f>
        <v>75.347999999999999</v>
      </c>
      <c r="AK30" s="14">
        <f t="shared" si="35"/>
        <v>20.99581051771704</v>
      </c>
      <c r="AL30" s="22">
        <f t="shared" si="4"/>
        <v>167.79880331835713</v>
      </c>
      <c r="AM30" s="62">
        <f t="shared" si="5"/>
        <v>461.13213665169042</v>
      </c>
      <c r="AN30" s="62">
        <f ca="1">AVERAGE(OFFSET($AM$3,0,0,'Données projet'!$E$10+1,1))-AVERAGE(OFFSET($H$3,0,0,'Données projet'!$E$10+1,1))</f>
        <v>318.69447733545013</v>
      </c>
      <c r="AO30" s="62">
        <f t="shared" si="36"/>
        <v>186.33351136372443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5.3860979588030398E-2</v>
      </c>
      <c r="AX30" s="23">
        <f t="shared" si="6"/>
        <v>5.3860979588030398E-2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4.8</v>
      </c>
      <c r="BD30" s="13">
        <f>IF('Données projet'!$A$88&gt;35,BD29+BC30-BL29,IF(A30&lt;'Données projet'!$A$88,$BA$205^A30,IF(A30='Données projet'!$A$88,'Données projet'!$B$88,BD29+BC30-BL29)))</f>
        <v>39.599999999999994</v>
      </c>
      <c r="BE30" s="14">
        <f>BD30*VLOOKUP('Données projet'!$B$11,Paramètres!$A$1:$I$89,3,0)*VLOOKUP('Données projet'!$B$11,Paramètres!$A$1:$I$89,5,0)</f>
        <v>40.154399999999995</v>
      </c>
      <c r="BF30" s="14">
        <f t="shared" si="37"/>
        <v>12.039561463286329</v>
      </c>
      <c r="BG30" s="22">
        <f t="shared" si="7"/>
        <v>90.90448288189036</v>
      </c>
      <c r="BH30" s="62">
        <f t="shared" si="8"/>
        <v>384.23781621522369</v>
      </c>
      <c r="BI30" s="62">
        <f ca="1">AVERAGE(OFFSET($BH$3,0,0,'Données projet'!$E$11+1,1))-AVERAGE(OFFSET($H$3,0,0,'Données projet'!$E$11+1,1))</f>
        <v>238.29088076221427</v>
      </c>
      <c r="BJ30" s="62">
        <f t="shared" si="38"/>
        <v>102.64102748467457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8.0079999999999956</v>
      </c>
      <c r="D31" s="12">
        <f t="shared" si="32"/>
        <v>2.8967160671697925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84.176755606222926</v>
      </c>
      <c r="H31" s="70">
        <f t="shared" si="1"/>
        <v>312.32571381698733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7.8</v>
      </c>
      <c r="N31" s="14">
        <f>IF('Données projet'!$A$36&gt;35,N30+M31-V30,IF(A31&lt;'Données projet'!$A$36,$K$205^A31,IF(A31='Données projet'!$A$36,'Données projet'!$B$36,N30+M31-V30)))</f>
        <v>179.40000000000009</v>
      </c>
      <c r="O31" s="14">
        <f>N31*VLOOKUP('Données projet'!$B$9,Paramètres!$A$1:$I$89,3,0)*VLOOKUP('Données projet'!$B$9,Paramètres!$A$1:$I$89,5,0)</f>
        <v>83.959200000000038</v>
      </c>
      <c r="P31" s="14">
        <f t="shared" si="33"/>
        <v>23.102490880810642</v>
      </c>
      <c r="Q31" s="22">
        <f t="shared" si="2"/>
        <v>186.4657782840786</v>
      </c>
      <c r="R31" s="62">
        <f t="shared" si="0"/>
        <v>479.79911161741188</v>
      </c>
      <c r="S31" s="62">
        <f ca="1">AVERAGE(OFFSET($R$3,0,0,'Données projet'!$E$9+1,1))-AVERAGE(OFFSET($H$3,0,0,'Données projet'!$E$9+1,1))</f>
        <v>188.51537094662768</v>
      </c>
      <c r="T31" s="62">
        <f t="shared" si="34"/>
        <v>181.95202230446716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10</v>
      </c>
      <c r="AI31" s="14">
        <f>IF('Données projet'!$A$62&gt;35,AI30+AH31-AQ30,IF(A31&lt;'Données projet'!$A$62,$AF$205^A31,IF(A31='Données projet'!$A$62,'Données projet'!$B$62,AI30+AH31-AQ30)))</f>
        <v>136</v>
      </c>
      <c r="AJ31" s="14">
        <f>AI31*VLOOKUP('Données projet'!$B$10,Paramètres!$A$1:$I$89,3,0)*VLOOKUP('Données projet'!$B$10,Paramètres!$A$1:$I$89,5,0)</f>
        <v>81.328000000000003</v>
      </c>
      <c r="AK31" s="14">
        <f t="shared" si="35"/>
        <v>22.461575251587323</v>
      </c>
      <c r="AL31" s="22">
        <f t="shared" si="4"/>
        <v>180.76684356318125</v>
      </c>
      <c r="AM31" s="62">
        <f t="shared" si="5"/>
        <v>474.10017689651454</v>
      </c>
      <c r="AN31" s="62">
        <f ca="1">AVERAGE(OFFSET($AM$3,0,0,'Données projet'!$E$10+1,1))-AVERAGE(OFFSET($H$3,0,0,'Données projet'!$E$10+1,1))</f>
        <v>318.69447733545013</v>
      </c>
      <c r="AO31" s="62">
        <f t="shared" si="36"/>
        <v>186.33351136372443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3.8085463908046513E-2</v>
      </c>
      <c r="AX31" s="23">
        <f t="shared" si="6"/>
        <v>3.8085463908046513E-2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4.8</v>
      </c>
      <c r="BD31" s="13">
        <f>IF('Données projet'!$A$88&gt;35,BD30+BC31-BL30,IF(A31&lt;'Données projet'!$A$88,$BA$205^A31,IF(A31='Données projet'!$A$88,'Données projet'!$B$88,BD30+BC31-BL30)))</f>
        <v>44.399999999999991</v>
      </c>
      <c r="BE31" s="14">
        <f>BD31*VLOOKUP('Données projet'!$B$11,Paramètres!$A$1:$I$89,3,0)*VLOOKUP('Données projet'!$B$11,Paramètres!$A$1:$I$89,5,0)</f>
        <v>45.021599999999992</v>
      </c>
      <c r="BF31" s="14">
        <f t="shared" si="37"/>
        <v>13.320324173992205</v>
      </c>
      <c r="BG31" s="22">
        <f t="shared" si="7"/>
        <v>101.6121846030364</v>
      </c>
      <c r="BH31" s="62">
        <f t="shared" si="8"/>
        <v>394.9455179363697</v>
      </c>
      <c r="BI31" s="62">
        <f ca="1">AVERAGE(OFFSET($BH$3,0,0,'Données projet'!$E$11+1,1))-AVERAGE(OFFSET($H$3,0,0,'Données projet'!$E$11+1,1))</f>
        <v>238.29088076221427</v>
      </c>
      <c r="BJ31" s="62">
        <f t="shared" si="38"/>
        <v>102.64102748467457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8.2939999999999952</v>
      </c>
      <c r="D32" s="12">
        <f t="shared" si="32"/>
        <v>2.9879406219701927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87.088664450296179</v>
      </c>
      <c r="H32" s="70">
        <f t="shared" si="1"/>
        <v>312.98271324993141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7.8</v>
      </c>
      <c r="N32" s="14">
        <f>IF('Données projet'!$A$36&gt;35,N31+M32-V31,IF(A32&lt;'Données projet'!$A$36,$K$205^A32,IF(A32='Données projet'!$A$36,'Données projet'!$B$36,N31+M32-V31)))</f>
        <v>187.2000000000001</v>
      </c>
      <c r="O32" s="14">
        <f>N32*VLOOKUP('Données projet'!$B$9,Paramètres!$A$1:$I$89,3,0)*VLOOKUP('Données projet'!$B$9,Paramètres!$A$1:$I$89,5,0)</f>
        <v>87.609600000000057</v>
      </c>
      <c r="P32" s="14">
        <f t="shared" si="33"/>
        <v>23.987817980868808</v>
      </c>
      <c r="Q32" s="22">
        <f t="shared" si="2"/>
        <v>194.3655029833466</v>
      </c>
      <c r="R32" s="62">
        <f t="shared" si="0"/>
        <v>487.69883631667994</v>
      </c>
      <c r="S32" s="62">
        <f ca="1">AVERAGE(OFFSET($R$3,0,0,'Données projet'!$E$9+1,1))-AVERAGE(OFFSET($H$3,0,0,'Données projet'!$E$9+1,1))</f>
        <v>188.51537094662768</v>
      </c>
      <c r="T32" s="62">
        <f t="shared" si="34"/>
        <v>181.95202230446716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10</v>
      </c>
      <c r="AI32" s="14">
        <f>IF('Données projet'!$A$62&gt;35,AI31+AH32-AQ31,IF(A32&lt;'Données projet'!$A$62,$AF$205^A32,IF(A32='Données projet'!$A$62,'Données projet'!$B$62,AI31+AH32-AQ31)))</f>
        <v>146</v>
      </c>
      <c r="AJ32" s="14">
        <f>AI32*VLOOKUP('Données projet'!$B$10,Paramètres!$A$1:$I$89,3,0)*VLOOKUP('Données projet'!$B$10,Paramètres!$A$1:$I$89,5,0)</f>
        <v>87.307999999999993</v>
      </c>
      <c r="AK32" s="14">
        <f t="shared" si="35"/>
        <v>23.914836409796052</v>
      </c>
      <c r="AL32" s="22">
        <f t="shared" si="4"/>
        <v>193.71310674706146</v>
      </c>
      <c r="AM32" s="62">
        <f t="shared" si="5"/>
        <v>487.04644008039475</v>
      </c>
      <c r="AN32" s="62">
        <f ca="1">AVERAGE(OFFSET($AM$3,0,0,'Données projet'!$E$10+1,1))-AVERAGE(OFFSET($H$3,0,0,'Données projet'!$E$10+1,1))</f>
        <v>318.69447733545013</v>
      </c>
      <c r="AO32" s="62">
        <f t="shared" si="36"/>
        <v>186.33351136372443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2.6930489794015199E-2</v>
      </c>
      <c r="AX32" s="23">
        <f t="shared" si="6"/>
        <v>2.6930489794015199E-2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4.8</v>
      </c>
      <c r="BD32" s="13">
        <f>IF('Données projet'!$A$88&gt;35,BD31+BC32-BL31,IF(A32&lt;'Données projet'!$A$88,$BA$205^A32,IF(A32='Données projet'!$A$88,'Données projet'!$B$88,BD31+BC32-BL31)))</f>
        <v>49.199999999999989</v>
      </c>
      <c r="BE32" s="14">
        <f>BD32*VLOOKUP('Données projet'!$B$11,Paramètres!$A$1:$I$89,3,0)*VLOOKUP('Données projet'!$B$11,Paramètres!$A$1:$I$89,5,0)</f>
        <v>49.888799999999989</v>
      </c>
      <c r="BF32" s="14">
        <f t="shared" si="37"/>
        <v>14.585038058304724</v>
      </c>
      <c r="BG32" s="22">
        <f t="shared" si="7"/>
        <v>112.29193461821403</v>
      </c>
      <c r="BH32" s="62">
        <f t="shared" si="8"/>
        <v>405.62526795154736</v>
      </c>
      <c r="BI32" s="62">
        <f ca="1">AVERAGE(OFFSET($BH$3,0,0,'Données projet'!$E$11+1,1))-AVERAGE(OFFSET($H$3,0,0,'Données projet'!$E$11+1,1))</f>
        <v>238.29088076221427</v>
      </c>
      <c r="BJ32" s="62">
        <f t="shared" si="38"/>
        <v>102.64102748467457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8.5799999999999947</v>
      </c>
      <c r="D33" s="12">
        <f t="shared" si="32"/>
        <v>3.0787996776202857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89.997751897419718</v>
      </c>
      <c r="H33" s="70">
        <f t="shared" si="1"/>
        <v>313.63907610518862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195</v>
      </c>
      <c r="L33" s="13">
        <f>VLOOKUP(A33,'Données projet'!$A$35:$I$55,9,0)</f>
        <v>7.8</v>
      </c>
      <c r="M33" s="13">
        <f t="array" ref="M33">INDEX(L:L,MIN(IF(ISNUMBER(L33:L229),ROW(L33:L229),"")))</f>
        <v>7.8</v>
      </c>
      <c r="N33" s="14">
        <f>IF('Données projet'!$A$36&gt;35,N32+M33-V32,IF(A33&lt;'Données projet'!$A$36,$K$205^A33,IF(A33='Données projet'!$A$36,'Données projet'!$B$36,N32+M33-V32)))</f>
        <v>195.00000000000011</v>
      </c>
      <c r="O33" s="14">
        <f>N33*VLOOKUP('Données projet'!$B$9,Paramètres!$A$1:$I$89,3,0)*VLOOKUP('Données projet'!$B$9,Paramètres!$A$1:$I$89,5,0)</f>
        <v>91.260000000000048</v>
      </c>
      <c r="P33" s="14">
        <f t="shared" si="33"/>
        <v>24.868860330902802</v>
      </c>
      <c r="Q33" s="22">
        <f t="shared" si="2"/>
        <v>202.25776507632247</v>
      </c>
      <c r="R33" s="62">
        <f t="shared" si="0"/>
        <v>495.59109840965579</v>
      </c>
      <c r="S33" s="62">
        <f ca="1">AVERAGE(OFFSET($R$3,0,0,'Données projet'!$E$9+1,1))-AVERAGE(OFFSET($H$3,0,0,'Données projet'!$E$9+1,1))</f>
        <v>188.51537094662768</v>
      </c>
      <c r="T33" s="62">
        <f t="shared" si="34"/>
        <v>181.95202230446716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40</v>
      </c>
      <c r="W33" s="17">
        <f>IF(ISNA(VLOOKUP(A33,'Données projet'!$A$35:$I$55,5,0)),0%,VLOOKUP(A33,'Données projet'!$A$35:$I$55,5,0)*VLOOKUP('Données projet'!$B$9,Paramètres!$A$1:$I$89,7,0))</f>
        <v>2.7500000000000004E-2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0.68291538166027521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0.68291538166027521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156</v>
      </c>
      <c r="AG33" s="13">
        <f>VLOOKUP(A33,'Données projet'!$A$61:$I$81,9,0)</f>
        <v>10</v>
      </c>
      <c r="AH33" s="13">
        <f t="array" ref="AH33">INDEX(AG:AG,MIN(IF(ISNUMBER(AG33:AG229),ROW(AG33:AG229),"")))</f>
        <v>10</v>
      </c>
      <c r="AI33" s="14">
        <f>IF('Données projet'!$A$62&gt;35,AI32+AH33-AQ32,IF(A33&lt;'Données projet'!$A$62,$AF$205^A33,IF(A33='Données projet'!$A$62,'Données projet'!$B$62,AI32+AH33-AQ32)))</f>
        <v>156</v>
      </c>
      <c r="AJ33" s="14">
        <f>AI33*VLOOKUP('Données projet'!$B$10,Paramètres!$A$1:$I$89,3,0)*VLOOKUP('Données projet'!$B$10,Paramètres!$A$1:$I$89,5,0)</f>
        <v>93.288000000000011</v>
      </c>
      <c r="AK33" s="14">
        <f t="shared" si="35"/>
        <v>25.356547829040977</v>
      </c>
      <c r="AL33" s="22">
        <f t="shared" si="4"/>
        <v>206.63925413557971</v>
      </c>
      <c r="AM33" s="62">
        <f t="shared" si="5"/>
        <v>499.97258746891305</v>
      </c>
      <c r="AN33" s="62">
        <f ca="1">AVERAGE(OFFSET($AM$3,0,0,'Données projet'!$E$10+1,1))-AVERAGE(OFFSET($H$3,0,0,'Données projet'!$E$10+1,1))</f>
        <v>318.69447733545013</v>
      </c>
      <c r="AO33" s="62">
        <f t="shared" si="36"/>
        <v>186.33351136372443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12</v>
      </c>
      <c r="AR33" s="17">
        <f>IF(ISNA(VLOOKUP(A33,'Données projet'!$A$61:$I$81,5,0)),0%,VLOOKUP(A33,'Données projet'!$A$61:$I$81,5,0)*VLOOKUP('Données projet'!$B$10,Paramètres!$A$1:$I$89,7,0))</f>
        <v>2.2500000000000003E-2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0.3</v>
      </c>
      <c r="AU33" s="23">
        <f>EXP(-LN(2)/35)*AU32+(1-EXP(-LN(2)/35))/(LN(2)/35)*AQ33*AR33*VLOOKUP('Données projet'!$B$10,Paramètres!$A$1:$I$89,3,0)*0.475*44/12</f>
        <v>0.21418709697526819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2.4565124220689989</v>
      </c>
      <c r="AX33" s="23">
        <f t="shared" si="6"/>
        <v>2.6706995190442671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54</v>
      </c>
      <c r="BB33" s="13">
        <f>VLOOKUP(A33,'Données projet'!$A$87:$I$107,9,0)</f>
        <v>4.8</v>
      </c>
      <c r="BC33" s="13">
        <f t="array" ref="BC33">INDEX(BB:BB,MIN(IF(ISNUMBER(BB33:BB229),ROW(BB33:BB229),"")))</f>
        <v>4.8</v>
      </c>
      <c r="BD33" s="13">
        <f>IF('Données projet'!$A$88&gt;35,BD32+BC33-BL32,IF(A33&lt;'Données projet'!$A$88,$BA$205^A33,IF(A33='Données projet'!$A$88,'Données projet'!$B$88,BD32+BC33-BL32)))</f>
        <v>53.999999999999986</v>
      </c>
      <c r="BE33" s="14">
        <f>BD33*VLOOKUP('Données projet'!$B$11,Paramètres!$A$1:$I$89,3,0)*VLOOKUP('Données projet'!$B$11,Paramètres!$A$1:$I$89,5,0)</f>
        <v>54.755999999999993</v>
      </c>
      <c r="BF33" s="14">
        <f t="shared" si="37"/>
        <v>15.835447037242044</v>
      </c>
      <c r="BG33" s="22">
        <f t="shared" si="7"/>
        <v>122.94677025652987</v>
      </c>
      <c r="BH33" s="62">
        <f t="shared" si="8"/>
        <v>416.28010358986319</v>
      </c>
      <c r="BI33" s="62">
        <f ca="1">AVERAGE(OFFSET($BH$3,0,0,'Données projet'!$E$11+1,1))-AVERAGE(OFFSET($H$3,0,0,'Données projet'!$E$11+1,1))</f>
        <v>238.29088076221427</v>
      </c>
      <c r="BJ33" s="62">
        <f t="shared" si="38"/>
        <v>102.64102748467457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8.8659999999999943</v>
      </c>
      <c r="D34" s="12">
        <f t="shared" si="32"/>
        <v>3.1693068143171423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92.904122777184909</v>
      </c>
      <c r="H34" s="70">
        <f t="shared" si="1"/>
        <v>314.29482603493568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8.5</v>
      </c>
      <c r="N34" s="14">
        <f>IF('Données projet'!$A$36&gt;35,N33+M34-V33,IF(A34&lt;'Données projet'!$A$36,$K$205^A34,IF(A34='Données projet'!$A$36,'Données projet'!$B$36,N33+M34-V33)))</f>
        <v>163.50000000000011</v>
      </c>
      <c r="O34" s="14">
        <f>N34*VLOOKUP('Données projet'!$B$9,Paramètres!$A$1:$I$89,3,0)*VLOOKUP('Données projet'!$B$9,Paramètres!$A$1:$I$89,5,0)</f>
        <v>76.518000000000058</v>
      </c>
      <c r="P34" s="14">
        <f t="shared" si="33"/>
        <v>21.283624623620106</v>
      </c>
      <c r="Q34" s="22">
        <f t="shared" si="2"/>
        <v>170.33782955280512</v>
      </c>
      <c r="R34" s="62">
        <f t="shared" si="0"/>
        <v>463.6711628861384</v>
      </c>
      <c r="S34" s="62">
        <f ca="1">AVERAGE(OFFSET($R$3,0,0,'Données projet'!$E$9+1,1))-AVERAGE(OFFSET($H$3,0,0,'Données projet'!$E$9+1,1))</f>
        <v>188.51537094662768</v>
      </c>
      <c r="T34" s="62">
        <f t="shared" si="34"/>
        <v>181.95202230446716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0.66952382756317042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0.66952382756317042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10.3</v>
      </c>
      <c r="AI34" s="14">
        <f>IF('Données projet'!$A$62&gt;35,AI33+AH34-AQ33,IF(A34&lt;'Données projet'!$A$62,$AF$205^A34,IF(A34='Données projet'!$A$62,'Données projet'!$B$62,AI33+AH34-AQ33)))</f>
        <v>154.30000000000001</v>
      </c>
      <c r="AJ34" s="14">
        <f>AI34*VLOOKUP('Données projet'!$B$10,Paramètres!$A$1:$I$89,3,0)*VLOOKUP('Données projet'!$B$10,Paramètres!$A$1:$I$89,5,0)</f>
        <v>92.271400000000014</v>
      </c>
      <c r="AK34" s="14">
        <f t="shared" si="35"/>
        <v>25.112234796315317</v>
      </c>
      <c r="AL34" s="22">
        <f t="shared" si="4"/>
        <v>204.44316393691588</v>
      </c>
      <c r="AM34" s="62">
        <f t="shared" si="5"/>
        <v>497.77649727024919</v>
      </c>
      <c r="AN34" s="62">
        <f ca="1">AVERAGE(OFFSET($AM$3,0,0,'Données projet'!$E$10+1,1))-AVERAGE(OFFSET($H$3,0,0,'Données projet'!$E$10+1,1))</f>
        <v>318.69447733545013</v>
      </c>
      <c r="AO34" s="62">
        <f t="shared" si="36"/>
        <v>186.33351136372443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0.20998701864481259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1.7370165917139795</v>
      </c>
      <c r="AX34" s="23">
        <f t="shared" si="6"/>
        <v>1.947003610358792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</v>
      </c>
      <c r="BD34" s="13">
        <f>IF('Données projet'!$A$88&gt;35,BD33+BC34-BL33,IF(A34&lt;'Données projet'!$A$88,$BA$205^A34,IF(A34='Données projet'!$A$88,'Données projet'!$B$88,BD33+BC34-BL33)))</f>
        <v>58.999999999999986</v>
      </c>
      <c r="BE34" s="14">
        <f>BD34*VLOOKUP('Données projet'!$B$11,Paramètres!$A$1:$I$89,3,0)*VLOOKUP('Données projet'!$B$11,Paramètres!$A$1:$I$89,5,0)</f>
        <v>59.825999999999993</v>
      </c>
      <c r="BF34" s="14">
        <f t="shared" si="37"/>
        <v>17.124268920142534</v>
      </c>
      <c r="BG34" s="22">
        <f t="shared" si="7"/>
        <v>134.02171836924822</v>
      </c>
      <c r="BH34" s="62">
        <f t="shared" si="8"/>
        <v>427.35505170258153</v>
      </c>
      <c r="BI34" s="62">
        <f ca="1">AVERAGE(OFFSET($BH$3,0,0,'Données projet'!$E$11+1,1))-AVERAGE(OFFSET($H$3,0,0,'Données projet'!$E$11+1,1))</f>
        <v>238.29088076221427</v>
      </c>
      <c r="BJ34" s="62">
        <f t="shared" si="38"/>
        <v>102.64102748467457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9.1519999999999939</v>
      </c>
      <c r="D35" s="12">
        <f t="shared" si="32"/>
        <v>3.2594746863753503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95.807874772020213</v>
      </c>
      <c r="H35" s="70">
        <f t="shared" si="1"/>
        <v>314.9499850787704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8.5</v>
      </c>
      <c r="N35" s="14">
        <f>IF('Données projet'!$A$36&gt;35,N34+M35-V34,IF(A35&lt;'Données projet'!$A$36,$K$205^A35,IF(A35='Données projet'!$A$36,'Données projet'!$B$36,N34+M35-V34)))</f>
        <v>172.00000000000011</v>
      </c>
      <c r="O35" s="14">
        <f>N35*VLOOKUP('Données projet'!$B$9,Paramètres!$A$1:$I$89,3,0)*VLOOKUP('Données projet'!$B$9,Paramètres!$A$1:$I$89,5,0)</f>
        <v>80.496000000000052</v>
      </c>
      <c r="P35" s="14">
        <f t="shared" si="33"/>
        <v>22.258415047134118</v>
      </c>
      <c r="Q35" s="22">
        <f t="shared" ref="Q35:Q66" si="53">(O35+P35)*0.475*44/12</f>
        <v>178.96393954042534</v>
      </c>
      <c r="R35" s="62">
        <f t="shared" si="0"/>
        <v>472.29727287375863</v>
      </c>
      <c r="S35" s="62">
        <f ca="1">AVERAGE(OFFSET($R$3,0,0,'Données projet'!$E$9+1,1))-AVERAGE(OFFSET($H$3,0,0,'Données projet'!$E$9+1,1))</f>
        <v>188.51537094662768</v>
      </c>
      <c r="T35" s="62">
        <f t="shared" si="34"/>
        <v>181.95202230446716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0.6563948736738684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0.6563948736738684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10.3</v>
      </c>
      <c r="AI35" s="14">
        <f>IF('Données projet'!$A$62&gt;35,AI34+AH35-AQ34,IF(A35&lt;'Données projet'!$A$62,$AF$205^A35,IF(A35='Données projet'!$A$62,'Données projet'!$B$62,AI34+AH35-AQ34)))</f>
        <v>164.60000000000002</v>
      </c>
      <c r="AJ35" s="14">
        <f>AI35*VLOOKUP('Données projet'!$B$10,Paramètres!$A$1:$I$89,3,0)*VLOOKUP('Données projet'!$B$10,Paramètres!$A$1:$I$89,5,0)</f>
        <v>98.430800000000019</v>
      </c>
      <c r="AK35" s="14">
        <f t="shared" si="35"/>
        <v>26.587813857912444</v>
      </c>
      <c r="AL35" s="22">
        <f t="shared" si="4"/>
        <v>217.74075246919756</v>
      </c>
      <c r="AM35" s="62">
        <f t="shared" si="5"/>
        <v>511.07408580253087</v>
      </c>
      <c r="AN35" s="62">
        <f ca="1">AVERAGE(OFFSET($AM$3,0,0,'Données projet'!$E$10+1,1))-AVERAGE(OFFSET($H$3,0,0,'Données projet'!$E$10+1,1))</f>
        <v>318.69447733545013</v>
      </c>
      <c r="AO35" s="62">
        <f t="shared" si="36"/>
        <v>186.33351136372443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0.20586930128862241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1.2282562110344994</v>
      </c>
      <c r="AX35" s="23">
        <f t="shared" si="6"/>
        <v>1.4341255123231218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</v>
      </c>
      <c r="BD35" s="13">
        <f>IF('Données projet'!$A$88&gt;35,BD34+BC35-BL34,IF(A35&lt;'Données projet'!$A$88,$BA$205^A35,IF(A35='Données projet'!$A$88,'Données projet'!$B$88,BD34+BC35-BL34)))</f>
        <v>63.999999999999986</v>
      </c>
      <c r="BE35" s="14">
        <f>BD35*VLOOKUP('Données projet'!$B$11,Paramètres!$A$1:$I$89,3,0)*VLOOKUP('Données projet'!$B$11,Paramètres!$A$1:$I$89,5,0)</f>
        <v>64.895999999999987</v>
      </c>
      <c r="BF35" s="14">
        <f t="shared" si="37"/>
        <v>18.400423846102949</v>
      </c>
      <c r="BG35" s="22">
        <f t="shared" si="7"/>
        <v>145.07460486529592</v>
      </c>
      <c r="BH35" s="62">
        <f t="shared" si="8"/>
        <v>438.40793819862927</v>
      </c>
      <c r="BI35" s="62">
        <f ca="1">AVERAGE(OFFSET($BH$3,0,0,'Données projet'!$E$11+1,1))-AVERAGE(OFFSET($H$3,0,0,'Données projet'!$E$11+1,1))</f>
        <v>238.29088076221427</v>
      </c>
      <c r="BJ35" s="62">
        <f t="shared" si="38"/>
        <v>102.64102748467457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9.4379999999999935</v>
      </c>
      <c r="D36" s="12">
        <f t="shared" si="32"/>
        <v>3.3493151122923157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98.709099112431872</v>
      </c>
      <c r="H36" s="70">
        <f t="shared" si="1"/>
        <v>315.60457382057575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8.5</v>
      </c>
      <c r="N36" s="14">
        <f>IF('Données projet'!$A$36&gt;35,N35+M36-V35,IF(A36&lt;'Données projet'!$A$36,$K$205^A36,IF(A36='Données projet'!$A$36,'Données projet'!$B$36,N35+M36-V35)))</f>
        <v>180.50000000000011</v>
      </c>
      <c r="O36" s="14">
        <f>N36*VLOOKUP('Données projet'!$B$9,Paramètres!$A$1:$I$89,3,0)*VLOOKUP('Données projet'!$B$9,Paramètres!$A$1:$I$89,5,0)</f>
        <v>84.474000000000046</v>
      </c>
      <c r="P36" s="14">
        <f t="shared" si="33"/>
        <v>23.22761185162317</v>
      </c>
      <c r="Q36" s="22">
        <f t="shared" si="53"/>
        <v>187.58030730824376</v>
      </c>
      <c r="R36" s="62">
        <f t="shared" si="0"/>
        <v>480.9136406415771</v>
      </c>
      <c r="S36" s="62">
        <f ca="1">AVERAGE(OFFSET($R$3,0,0,'Données projet'!$E$9+1,1))-AVERAGE(OFFSET($H$3,0,0,'Données projet'!$E$9+1,1))</f>
        <v>188.51537094662768</v>
      </c>
      <c r="T36" s="62">
        <f t="shared" si="34"/>
        <v>181.95202230446716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0.64352337056246434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0.64352337056246434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10.3</v>
      </c>
      <c r="AI36" s="14">
        <f>IF('Données projet'!$A$62&gt;35,AI35+AH36-AQ35,IF(A36&lt;'Données projet'!$A$62,$AF$205^A36,IF(A36='Données projet'!$A$62,'Données projet'!$B$62,AI35+AH36-AQ35)))</f>
        <v>174.90000000000003</v>
      </c>
      <c r="AJ36" s="14">
        <f>AI36*VLOOKUP('Données projet'!$B$10,Paramètres!$A$1:$I$89,3,0)*VLOOKUP('Données projet'!$B$10,Paramètres!$A$1:$I$89,5,0)</f>
        <v>104.59020000000004</v>
      </c>
      <c r="AK36" s="14">
        <f t="shared" si="35"/>
        <v>28.052676705559303</v>
      </c>
      <c r="AL36" s="22">
        <f t="shared" si="4"/>
        <v>231.01967692884918</v>
      </c>
      <c r="AM36" s="62">
        <f t="shared" si="5"/>
        <v>524.35301026218247</v>
      </c>
      <c r="AN36" s="62">
        <f ca="1">AVERAGE(OFFSET($AM$3,0,0,'Données projet'!$E$10+1,1))-AVERAGE(OFFSET($H$3,0,0,'Données projet'!$E$10+1,1))</f>
        <v>318.69447733545013</v>
      </c>
      <c r="AO36" s="62">
        <f t="shared" si="36"/>
        <v>186.33351136372443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0.20183232985822752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0.86850829585698974</v>
      </c>
      <c r="AX36" s="23">
        <f t="shared" si="6"/>
        <v>1.0703406257152173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</v>
      </c>
      <c r="BD36" s="13">
        <f>IF('Données projet'!$A$88&gt;35,BD35+BC36-BL35,IF(A36&lt;'Données projet'!$A$88,$BA$205^A36,IF(A36='Données projet'!$A$88,'Données projet'!$B$88,BD35+BC36-BL35)))</f>
        <v>68.999999999999986</v>
      </c>
      <c r="BE36" s="14">
        <f>BD36*VLOOKUP('Données projet'!$B$11,Paramètres!$A$1:$I$89,3,0)*VLOOKUP('Données projet'!$B$11,Paramètres!$A$1:$I$89,5,0)</f>
        <v>69.965999999999994</v>
      </c>
      <c r="BF36" s="14">
        <f t="shared" si="37"/>
        <v>19.665013934342461</v>
      </c>
      <c r="BG36" s="22">
        <f t="shared" si="7"/>
        <v>156.10734926897979</v>
      </c>
      <c r="BH36" s="62">
        <f t="shared" si="8"/>
        <v>449.44068260231313</v>
      </c>
      <c r="BI36" s="62">
        <f ca="1">AVERAGE(OFFSET($BH$3,0,0,'Données projet'!$E$11+1,1))-AVERAGE(OFFSET($H$3,0,0,'Données projet'!$E$11+1,1))</f>
        <v>238.29088076221427</v>
      </c>
      <c r="BJ36" s="62">
        <f t="shared" si="38"/>
        <v>102.64102748467457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9.7239999999999931</v>
      </c>
      <c r="D37" s="12">
        <f t="shared" si="32"/>
        <v>3.4388391535898362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101.60788118560571</v>
      </c>
      <c r="H37" s="70">
        <f t="shared" si="1"/>
        <v>316.25861152583559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8.5</v>
      </c>
      <c r="N37" s="14">
        <f>IF('Données projet'!$A$36&gt;35,N36+M37-V36,IF(A37&lt;'Données projet'!$A$36,$K$205^A37,IF(A37='Données projet'!$A$36,'Données projet'!$B$36,N36+M37-V36)))</f>
        <v>189.00000000000011</v>
      </c>
      <c r="O37" s="14">
        <f>N37*VLOOKUP('Données projet'!$B$9,Paramètres!$A$1:$I$89,3,0)*VLOOKUP('Données projet'!$B$9,Paramètres!$A$1:$I$89,5,0)</f>
        <v>88.452000000000055</v>
      </c>
      <c r="P37" s="14">
        <f t="shared" si="33"/>
        <v>24.191508526943977</v>
      </c>
      <c r="Q37" s="22">
        <f t="shared" si="53"/>
        <v>196.18744401776087</v>
      </c>
      <c r="R37" s="62">
        <f t="shared" si="0"/>
        <v>489.52077735109418</v>
      </c>
      <c r="S37" s="62">
        <f ca="1">AVERAGE(OFFSET($R$3,0,0,'Données projet'!$E$9+1,1))-AVERAGE(OFFSET($H$3,0,0,'Données projet'!$E$9+1,1))</f>
        <v>188.51537094662768</v>
      </c>
      <c r="T37" s="62">
        <f t="shared" si="34"/>
        <v>181.95202230446716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0.63090426977623326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0.63090426977623326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10.3</v>
      </c>
      <c r="AI37" s="14">
        <f>IF('Données projet'!$A$62&gt;35,AI36+AH37-AQ36,IF(A37&lt;'Données projet'!$A$62,$AF$205^A37,IF(A37='Données projet'!$A$62,'Données projet'!$B$62,AI36+AH37-AQ36)))</f>
        <v>185.20000000000005</v>
      </c>
      <c r="AJ37" s="14">
        <f>AI37*VLOOKUP('Données projet'!$B$10,Paramètres!$A$1:$I$89,3,0)*VLOOKUP('Données projet'!$B$10,Paramètres!$A$1:$I$89,5,0)</f>
        <v>110.74960000000003</v>
      </c>
      <c r="AK37" s="14">
        <f t="shared" si="35"/>
        <v>29.507526310895447</v>
      </c>
      <c r="AL37" s="22">
        <f t="shared" si="4"/>
        <v>244.28116165814291</v>
      </c>
      <c r="AM37" s="62">
        <f t="shared" si="5"/>
        <v>537.61449499147625</v>
      </c>
      <c r="AN37" s="62">
        <f ca="1">AVERAGE(OFFSET($AM$3,0,0,'Données projet'!$E$10+1,1))-AVERAGE(OFFSET($H$3,0,0,'Données projet'!$E$10+1,1))</f>
        <v>318.69447733545013</v>
      </c>
      <c r="AO37" s="62">
        <f t="shared" si="36"/>
        <v>186.33351136372443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0.19787452097527322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0.61412810551724972</v>
      </c>
      <c r="AX37" s="23">
        <f t="shared" si="6"/>
        <v>0.81200262649252297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</v>
      </c>
      <c r="BD37" s="13">
        <f>IF('Données projet'!$A$88&gt;35,BD36+BC37-BL36,IF(A37&lt;'Données projet'!$A$88,$BA$205^A37,IF(A37='Données projet'!$A$88,'Données projet'!$B$88,BD36+BC37-BL36)))</f>
        <v>73.999999999999986</v>
      </c>
      <c r="BE37" s="14">
        <f>BD37*VLOOKUP('Données projet'!$B$11,Paramètres!$A$1:$I$89,3,0)*VLOOKUP('Données projet'!$B$11,Paramètres!$A$1:$I$89,5,0)</f>
        <v>75.035999999999987</v>
      </c>
      <c r="BF37" s="14">
        <f t="shared" si="37"/>
        <v>20.918972521981534</v>
      </c>
      <c r="BG37" s="22">
        <f t="shared" si="7"/>
        <v>167.12157714245114</v>
      </c>
      <c r="BH37" s="62">
        <f t="shared" si="8"/>
        <v>460.45491047578446</v>
      </c>
      <c r="BI37" s="62">
        <f ca="1">AVERAGE(OFFSET($BH$3,0,0,'Données projet'!$E$11+1,1))-AVERAGE(OFFSET($H$3,0,0,'Données projet'!$E$11+1,1))</f>
        <v>238.29088076221427</v>
      </c>
      <c r="BJ37" s="62">
        <f t="shared" si="38"/>
        <v>102.64102748467457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10.009999999999993</v>
      </c>
      <c r="D38" s="12">
        <f t="shared" si="32"/>
        <v>3.5280571841195458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104.50430107039644</v>
      </c>
      <c r="H38" s="70">
        <f t="shared" si="1"/>
        <v>316.9121162623415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8.5</v>
      </c>
      <c r="N38" s="14">
        <f>IF('Données projet'!$A$36&gt;35,N37+M38-V37,IF(A38&lt;'Données projet'!$A$36,$K$205^A38,IF(A38='Données projet'!$A$36,'Données projet'!$B$36,N37+M38-V37)))</f>
        <v>197.50000000000011</v>
      </c>
      <c r="O38" s="14">
        <f>N38*VLOOKUP('Données projet'!$B$9,Paramètres!$A$1:$I$89,3,0)*VLOOKUP('Données projet'!$B$9,Paramètres!$A$1:$I$89,5,0)</f>
        <v>92.430000000000049</v>
      </c>
      <c r="P38" s="14">
        <f t="shared" si="33"/>
        <v>25.150370672041202</v>
      </c>
      <c r="Q38" s="22">
        <f t="shared" si="53"/>
        <v>204.78581225380518</v>
      </c>
      <c r="R38" s="62">
        <f t="shared" si="0"/>
        <v>498.11914558713852</v>
      </c>
      <c r="S38" s="62">
        <f ca="1">AVERAGE(OFFSET($R$3,0,0,'Données projet'!$E$9+1,1))-AVERAGE(OFFSET($H$3,0,0,'Données projet'!$E$9+1,1))</f>
        <v>188.51537094662768</v>
      </c>
      <c r="T38" s="62">
        <f t="shared" si="34"/>
        <v>181.95202230446716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0.61853262185952873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0.61853262185952873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10.3</v>
      </c>
      <c r="AI38" s="14">
        <f>IF('Données projet'!$A$62&gt;35,AI37+AH38-AQ37,IF(A38&lt;'Données projet'!$A$62,$AF$205^A38,IF(A38='Données projet'!$A$62,'Données projet'!$B$62,AI37+AH38-AQ37)))</f>
        <v>195.50000000000006</v>
      </c>
      <c r="AJ38" s="14">
        <f>AI38*VLOOKUP('Données projet'!$B$10,Paramètres!$A$1:$I$89,3,0)*VLOOKUP('Données projet'!$B$10,Paramètres!$A$1:$I$89,5,0)</f>
        <v>116.90900000000005</v>
      </c>
      <c r="AK38" s="14">
        <f t="shared" si="35"/>
        <v>30.952983037024019</v>
      </c>
      <c r="AL38" s="22">
        <f t="shared" si="4"/>
        <v>257.52628712281688</v>
      </c>
      <c r="AM38" s="62">
        <f t="shared" si="5"/>
        <v>550.8596204561502</v>
      </c>
      <c r="AN38" s="62">
        <f ca="1">AVERAGE(OFFSET($AM$3,0,0,'Données projet'!$E$10+1,1))-AVERAGE(OFFSET($H$3,0,0,'Données projet'!$E$10+1,1))</f>
        <v>318.69447733545013</v>
      </c>
      <c r="AO38" s="62">
        <f t="shared" si="36"/>
        <v>186.33351136372443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0.1939943223104886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0.43425414792849487</v>
      </c>
      <c r="AX38" s="23">
        <f t="shared" si="6"/>
        <v>0.62824847023898345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79</v>
      </c>
      <c r="BB38" s="13">
        <f>VLOOKUP(A38,'Données projet'!$A$87:$I$107,9,0)</f>
        <v>5</v>
      </c>
      <c r="BC38" s="13">
        <f t="array" ref="BC38">INDEX(BB:BB,MIN(IF(ISNUMBER(BB38:BB234),ROW(BB38:BB234),"")))</f>
        <v>5</v>
      </c>
      <c r="BD38" s="13">
        <f>IF('Données projet'!$A$88&gt;35,BD37+BC38-BL37,IF(A38&lt;'Données projet'!$A$88,$BA$205^A38,IF(A38='Données projet'!$A$88,'Données projet'!$B$88,BD37+BC38-BL37)))</f>
        <v>78.999999999999986</v>
      </c>
      <c r="BE38" s="14">
        <f>BD38*VLOOKUP('Données projet'!$B$11,Paramètres!$A$1:$I$89,3,0)*VLOOKUP('Données projet'!$B$11,Paramètres!$A$1:$I$89,5,0)</f>
        <v>80.105999999999995</v>
      </c>
      <c r="BF38" s="14">
        <f t="shared" si="37"/>
        <v>22.163099682076496</v>
      </c>
      <c r="BG38" s="22">
        <f t="shared" si="7"/>
        <v>178.11868194628323</v>
      </c>
      <c r="BH38" s="62">
        <f t="shared" si="8"/>
        <v>471.45201527961655</v>
      </c>
      <c r="BI38" s="62">
        <f ca="1">AVERAGE(OFFSET($BH$3,0,0,'Données projet'!$E$11+1,1))-AVERAGE(OFFSET($H$3,0,0,'Données projet'!$E$11+1,1))</f>
        <v>238.29088076221427</v>
      </c>
      <c r="BJ38" s="62">
        <f t="shared" si="38"/>
        <v>102.64102748467457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13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10.295999999999992</v>
      </c>
      <c r="D39" s="12">
        <f t="shared" si="32"/>
        <v>3.6169789512251196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107.39843400945701</v>
      </c>
      <c r="H39" s="70">
        <f t="shared" si="1"/>
        <v>317.56510500671703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8.5</v>
      </c>
      <c r="N39" s="14">
        <f>IF('Données projet'!$A$36&gt;35,N38+M39-V38,IF(A39&lt;'Données projet'!$A$36,$K$205^A39,IF(A39='Données projet'!$A$36,'Données projet'!$B$36,N38+M39-V38)))</f>
        <v>206.00000000000011</v>
      </c>
      <c r="O39" s="14">
        <f>N39*VLOOKUP('Données projet'!$B$9,Paramètres!$A$1:$I$89,3,0)*VLOOKUP('Données projet'!$B$9,Paramètres!$A$1:$I$89,5,0)</f>
        <v>96.408000000000058</v>
      </c>
      <c r="P39" s="14">
        <f t="shared" si="33"/>
        <v>26.104439731213571</v>
      </c>
      <c r="Q39" s="22">
        <f t="shared" si="53"/>
        <v>213.37583253186372</v>
      </c>
      <c r="R39" s="62">
        <f t="shared" si="0"/>
        <v>506.70916586519706</v>
      </c>
      <c r="S39" s="62">
        <f ca="1">AVERAGE(OFFSET($R$3,0,0,'Données projet'!$E$9+1,1))-AVERAGE(OFFSET($H$3,0,0,'Données projet'!$E$9+1,1))</f>
        <v>188.51537094662768</v>
      </c>
      <c r="T39" s="62">
        <f t="shared" si="34"/>
        <v>181.95202230446716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0.60640357441251058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0.60640357441251058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10.3</v>
      </c>
      <c r="AI39" s="14">
        <f>IF('Données projet'!$A$62&gt;35,AI38+AH39-AQ38,IF(A39&lt;'Données projet'!$A$62,$AF$205^A39,IF(A39='Données projet'!$A$62,'Données projet'!$B$62,AI38+AH39-AQ38)))</f>
        <v>205.80000000000007</v>
      </c>
      <c r="AJ39" s="14">
        <f>AI39*VLOOKUP('Données projet'!$B$10,Paramètres!$A$1:$I$89,3,0)*VLOOKUP('Données projet'!$B$10,Paramètres!$A$1:$I$89,5,0)</f>
        <v>123.06840000000005</v>
      </c>
      <c r="AK39" s="14">
        <f t="shared" si="35"/>
        <v>32.389598186893679</v>
      </c>
      <c r="AL39" s="22">
        <f t="shared" si="4"/>
        <v>270.75601350883994</v>
      </c>
      <c r="AM39" s="62">
        <f t="shared" si="5"/>
        <v>564.0893468421732</v>
      </c>
      <c r="AN39" s="62">
        <f ca="1">AVERAGE(OFFSET($AM$3,0,0,'Données projet'!$E$10+1,1))-AVERAGE(OFFSET($H$3,0,0,'Données projet'!$E$10+1,1))</f>
        <v>318.69447733545013</v>
      </c>
      <c r="AO39" s="62">
        <f t="shared" si="36"/>
        <v>186.33351136372443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0.19019021197483293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0.30706405275862486</v>
      </c>
      <c r="AX39" s="23">
        <f t="shared" si="6"/>
        <v>0.4972542647334578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5.4</v>
      </c>
      <c r="BD39" s="13">
        <f>IF('Données projet'!$A$88&gt;35,BD38+BC39-BL38,IF(A39&lt;'Données projet'!$A$88,$BA$205^A39,IF(A39='Données projet'!$A$88,'Données projet'!$B$88,BD38+BC39-BL38)))</f>
        <v>71.399999999999991</v>
      </c>
      <c r="BE39" s="14">
        <f>BD39*VLOOKUP('Données projet'!$B$11,Paramètres!$A$1:$I$89,3,0)*VLOOKUP('Données projet'!$B$11,Paramètres!$A$1:$I$89,5,0)</f>
        <v>72.399599999999992</v>
      </c>
      <c r="BF39" s="14">
        <f t="shared" si="37"/>
        <v>20.268188832715463</v>
      </c>
      <c r="BG39" s="22">
        <f t="shared" si="7"/>
        <v>161.3963988836461</v>
      </c>
      <c r="BH39" s="62">
        <f t="shared" si="8"/>
        <v>454.72973221697941</v>
      </c>
      <c r="BI39" s="62">
        <f ca="1">AVERAGE(OFFSET($BH$3,0,0,'Données projet'!$E$11+1,1))-AVERAGE(OFFSET($H$3,0,0,'Données projet'!$E$11+1,1))</f>
        <v>238.29088076221427</v>
      </c>
      <c r="BJ39" s="62">
        <f t="shared" si="38"/>
        <v>102.64102748467457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10.581999999999992</v>
      </c>
      <c r="D40" s="12">
        <f t="shared" si="32"/>
        <v>3.7056136299176199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110.29035082743421</v>
      </c>
      <c r="H40" s="70">
        <f t="shared" si="1"/>
        <v>318.21759373877313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8.5</v>
      </c>
      <c r="N40" s="14">
        <f>IF('Données projet'!$A$36&gt;35,N39+M40-V39,IF(A40&lt;'Données projet'!$A$36,$K$205^A40,IF(A40='Données projet'!$A$36,'Données projet'!$B$36,N39+M40-V39)))</f>
        <v>214.50000000000011</v>
      </c>
      <c r="O40" s="14">
        <f>N40*VLOOKUP('Données projet'!$B$9,Paramètres!$A$1:$I$89,3,0)*VLOOKUP('Données projet'!$B$9,Paramètres!$A$1:$I$89,5,0)</f>
        <v>100.38600000000005</v>
      </c>
      <c r="P40" s="14">
        <f t="shared" si="33"/>
        <v>27.05393609634266</v>
      </c>
      <c r="Q40" s="22">
        <f t="shared" si="53"/>
        <v>221.9578887011302</v>
      </c>
      <c r="R40" s="62">
        <f t="shared" si="0"/>
        <v>515.29122203446354</v>
      </c>
      <c r="S40" s="62">
        <f ca="1">AVERAGE(OFFSET($R$3,0,0,'Données projet'!$E$9+1,1))-AVERAGE(OFFSET($H$3,0,0,'Données projet'!$E$9+1,1))</f>
        <v>188.51537094662768</v>
      </c>
      <c r="T40" s="62">
        <f t="shared" si="34"/>
        <v>181.95202230446716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0.59451237018794001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0.59451237018794001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10.3</v>
      </c>
      <c r="AI40" s="14">
        <f>IF('Données projet'!$A$62&gt;35,AI39+AH40-AQ39,IF(A40&lt;'Données projet'!$A$62,$AF$205^A40,IF(A40='Données projet'!$A$62,'Données projet'!$B$62,AI39+AH40-AQ39)))</f>
        <v>216.10000000000008</v>
      </c>
      <c r="AJ40" s="14">
        <f>AI40*VLOOKUP('Données projet'!$B$10,Paramètres!$A$1:$I$89,3,0)*VLOOKUP('Données projet'!$B$10,Paramètres!$A$1:$I$89,5,0)</f>
        <v>129.22780000000006</v>
      </c>
      <c r="AK40" s="14">
        <f t="shared" si="35"/>
        <v>33.817864762286938</v>
      </c>
      <c r="AL40" s="22">
        <f t="shared" si="4"/>
        <v>283.9711994609832</v>
      </c>
      <c r="AM40" s="62">
        <f t="shared" si="5"/>
        <v>577.30453279431651</v>
      </c>
      <c r="AN40" s="62">
        <f ca="1">AVERAGE(OFFSET($AM$3,0,0,'Données projet'!$E$10+1,1))-AVERAGE(OFFSET($H$3,0,0,'Données projet'!$E$10+1,1))</f>
        <v>318.69447733545013</v>
      </c>
      <c r="AO40" s="62">
        <f t="shared" si="36"/>
        <v>186.33351136372443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0.18646069792258127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0.21712707396424744</v>
      </c>
      <c r="AX40" s="23">
        <f t="shared" si="6"/>
        <v>0.40358777188682871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5.4</v>
      </c>
      <c r="BD40" s="13">
        <f>IF('Données projet'!$A$88&gt;35,BD39+BC40-BL39,IF(A40&lt;'Données projet'!$A$88,$BA$205^A40,IF(A40='Données projet'!$A$88,'Données projet'!$B$88,BD39+BC40-BL39)))</f>
        <v>76.8</v>
      </c>
      <c r="BE40" s="14">
        <f>BD40*VLOOKUP('Données projet'!$B$11,Paramètres!$A$1:$I$89,3,0)*VLOOKUP('Données projet'!$B$11,Paramètres!$A$1:$I$89,5,0)</f>
        <v>77.875200000000007</v>
      </c>
      <c r="BF40" s="14">
        <f t="shared" si="37"/>
        <v>21.616848354491538</v>
      </c>
      <c r="BG40" s="22">
        <f t="shared" si="7"/>
        <v>173.28198421740612</v>
      </c>
      <c r="BH40" s="62">
        <f t="shared" si="8"/>
        <v>466.61531755073941</v>
      </c>
      <c r="BI40" s="62">
        <f ca="1">AVERAGE(OFFSET($BH$3,0,0,'Données projet'!$E$11+1,1))-AVERAGE(OFFSET($H$3,0,0,'Données projet'!$E$11+1,1))</f>
        <v>238.29088076221427</v>
      </c>
      <c r="BJ40" s="62">
        <f t="shared" si="38"/>
        <v>102.64102748467457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10.867999999999991</v>
      </c>
      <c r="D41" s="12">
        <f t="shared" si="32"/>
        <v>3.793969871029335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113.18011830268252</v>
      </c>
      <c r="H41" s="70">
        <f t="shared" si="1"/>
        <v>318.86959752537604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8.5</v>
      </c>
      <c r="N41" s="14">
        <f>IF('Données projet'!$A$36&gt;35,N40+M41-V40,IF(A41&lt;'Données projet'!$A$36,$K$205^A41,IF(A41='Données projet'!$A$36,'Données projet'!$B$36,N40+M41-V40)))</f>
        <v>223.00000000000011</v>
      </c>
      <c r="O41" s="14">
        <f>N41*VLOOKUP('Données projet'!$B$9,Paramètres!$A$1:$I$89,3,0)*VLOOKUP('Données projet'!$B$9,Paramètres!$A$1:$I$89,5,0)</f>
        <v>104.36400000000006</v>
      </c>
      <c r="P41" s="14">
        <f t="shared" si="33"/>
        <v>27.999061703554649</v>
      </c>
      <c r="Q41" s="22">
        <f t="shared" si="53"/>
        <v>230.53233246702442</v>
      </c>
      <c r="R41" s="62">
        <f t="shared" si="0"/>
        <v>523.86566580035776</v>
      </c>
      <c r="S41" s="62">
        <f ca="1">AVERAGE(OFFSET($R$3,0,0,'Données projet'!$E$9+1,1))-AVERAGE(OFFSET($H$3,0,0,'Données projet'!$E$9+1,1))</f>
        <v>188.51537094662768</v>
      </c>
      <c r="T41" s="62">
        <f t="shared" si="34"/>
        <v>181.95202230446716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0.58285434522529489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0.58285434522529489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10.3</v>
      </c>
      <c r="AI41" s="14">
        <f>IF('Données projet'!$A$62&gt;35,AI40+AH41-AQ40,IF(A41&lt;'Données projet'!$A$62,$AF$205^A41,IF(A41='Données projet'!$A$62,'Données projet'!$B$62,AI40+AH41-AQ40)))</f>
        <v>226.40000000000009</v>
      </c>
      <c r="AJ41" s="14">
        <f>AI41*VLOOKUP('Données projet'!$B$10,Paramètres!$A$1:$I$89,3,0)*VLOOKUP('Données projet'!$B$10,Paramètres!$A$1:$I$89,5,0)</f>
        <v>135.38720000000006</v>
      </c>
      <c r="AK41" s="14">
        <f t="shared" si="35"/>
        <v>35.238226113459113</v>
      </c>
      <c r="AL41" s="22">
        <f t="shared" si="4"/>
        <v>297.17261714760809</v>
      </c>
      <c r="AM41" s="62">
        <f t="shared" si="5"/>
        <v>590.50595048094146</v>
      </c>
      <c r="AN41" s="62">
        <f ca="1">AVERAGE(OFFSET($AM$3,0,0,'Données projet'!$E$10+1,1))-AVERAGE(OFFSET($H$3,0,0,'Données projet'!$E$10+1,1))</f>
        <v>318.69447733545013</v>
      </c>
      <c r="AO41" s="62">
        <f t="shared" si="36"/>
        <v>186.33351136372443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0.1828043173661153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0.15353202637931243</v>
      </c>
      <c r="AX41" s="23">
        <f t="shared" si="6"/>
        <v>0.33633634374542776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5.4</v>
      </c>
      <c r="BD41" s="13">
        <f>IF('Données projet'!$A$88&gt;35,BD40+BC41-BL40,IF(A41&lt;'Données projet'!$A$88,$BA$205^A41,IF(A41='Données projet'!$A$88,'Données projet'!$B$88,BD40+BC41-BL40)))</f>
        <v>82.2</v>
      </c>
      <c r="BE41" s="14">
        <f>BD41*VLOOKUP('Données projet'!$B$11,Paramètres!$A$1:$I$89,3,0)*VLOOKUP('Données projet'!$B$11,Paramètres!$A$1:$I$89,5,0)</f>
        <v>83.350800000000007</v>
      </c>
      <c r="BF41" s="14">
        <f t="shared" si="37"/>
        <v>22.954505421678146</v>
      </c>
      <c r="BG41" s="22">
        <f t="shared" si="7"/>
        <v>185.14840694275611</v>
      </c>
      <c r="BH41" s="62">
        <f t="shared" si="8"/>
        <v>478.48174027608945</v>
      </c>
      <c r="BI41" s="62">
        <f ca="1">AVERAGE(OFFSET($BH$3,0,0,'Données projet'!$E$11+1,1))-AVERAGE(OFFSET($H$3,0,0,'Données projet'!$E$11+1,1))</f>
        <v>238.29088076221427</v>
      </c>
      <c r="BJ41" s="62">
        <f t="shared" si="38"/>
        <v>102.64102748467457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11.153999999999991</v>
      </c>
      <c r="D42" s="12">
        <f t="shared" si="32"/>
        <v>3.8820558441562265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116.06779949874976</v>
      </c>
      <c r="H42" s="70">
        <f t="shared" si="1"/>
        <v>319.52113059523873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8.5</v>
      </c>
      <c r="N42" s="14">
        <f>IF('Données projet'!$A$36&gt;35,N41+M42-V41,IF(A42&lt;'Données projet'!$A$36,$K$205^A42,IF(A42='Données projet'!$A$36,'Données projet'!$B$36,N41+M42-V41)))</f>
        <v>231.50000000000011</v>
      </c>
      <c r="O42" s="14">
        <f>N42*VLOOKUP('Données projet'!$B$9,Paramètres!$A$1:$I$89,3,0)*VLOOKUP('Données projet'!$B$9,Paramètres!$A$1:$I$89,5,0)</f>
        <v>108.34200000000004</v>
      </c>
      <c r="P42" s="14">
        <f t="shared" si="33"/>
        <v>28.940002222844083</v>
      </c>
      <c r="Q42" s="22">
        <f t="shared" si="53"/>
        <v>239.09948720478678</v>
      </c>
      <c r="R42" s="62">
        <f t="shared" si="0"/>
        <v>532.43282053812004</v>
      </c>
      <c r="S42" s="62">
        <f ca="1">AVERAGE(OFFSET($R$3,0,0,'Données projet'!$E$9+1,1))-AVERAGE(OFFSET($H$3,0,0,'Données projet'!$E$9+1,1))</f>
        <v>188.51537094662768</v>
      </c>
      <c r="T42" s="62">
        <f t="shared" si="34"/>
        <v>181.95202230446716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0.57142492702147418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0.57142492702147418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10.3</v>
      </c>
      <c r="AI42" s="14">
        <f>IF('Données projet'!$A$62&gt;35,AI41+AH42-AQ41,IF(A42&lt;'Données projet'!$A$62,$AF$205^A42,IF(A42='Données projet'!$A$62,'Données projet'!$B$62,AI41+AH42-AQ41)))</f>
        <v>236.7000000000001</v>
      </c>
      <c r="AJ42" s="14">
        <f>AI42*VLOOKUP('Données projet'!$B$10,Paramètres!$A$1:$I$89,3,0)*VLOOKUP('Données projet'!$B$10,Paramètres!$A$1:$I$89,5,0)</f>
        <v>141.54660000000007</v>
      </c>
      <c r="AK42" s="14">
        <f t="shared" si="35"/>
        <v>36.65108297022995</v>
      </c>
      <c r="AL42" s="22">
        <f t="shared" si="4"/>
        <v>310.36096450648392</v>
      </c>
      <c r="AM42" s="62">
        <f t="shared" si="5"/>
        <v>603.69429783981718</v>
      </c>
      <c r="AN42" s="62">
        <f ca="1">AVERAGE(OFFSET($AM$3,0,0,'Données projet'!$E$10+1,1))-AVERAGE(OFFSET($H$3,0,0,'Données projet'!$E$10+1,1))</f>
        <v>318.69447733545013</v>
      </c>
      <c r="AO42" s="62">
        <f t="shared" si="36"/>
        <v>186.33351136372443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0.1792196362021897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0.10856353698212372</v>
      </c>
      <c r="AX42" s="23">
        <f t="shared" si="6"/>
        <v>0.2877831731843134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5.4</v>
      </c>
      <c r="BD42" s="13">
        <f>IF('Données projet'!$A$88&gt;35,BD41+BC42-BL41,IF(A42&lt;'Données projet'!$A$88,$BA$205^A42,IF(A42='Données projet'!$A$88,'Données projet'!$B$88,BD41+BC42-BL41)))</f>
        <v>87.600000000000009</v>
      </c>
      <c r="BE42" s="14">
        <f>BD42*VLOOKUP('Données projet'!$B$11,Paramètres!$A$1:$I$89,3,0)*VLOOKUP('Données projet'!$B$11,Paramètres!$A$1:$I$89,5,0)</f>
        <v>88.826400000000007</v>
      </c>
      <c r="BF42" s="14">
        <f t="shared" si="37"/>
        <v>24.28196507443278</v>
      </c>
      <c r="BG42" s="22">
        <f t="shared" si="7"/>
        <v>196.99706917130376</v>
      </c>
      <c r="BH42" s="62">
        <f t="shared" si="8"/>
        <v>490.33040250463705</v>
      </c>
      <c r="BI42" s="62">
        <f ca="1">AVERAGE(OFFSET($BH$3,0,0,'Données projet'!$E$11+1,1))-AVERAGE(OFFSET($H$3,0,0,'Données projet'!$E$11+1,1))</f>
        <v>238.29088076221427</v>
      </c>
      <c r="BJ42" s="62">
        <f t="shared" si="38"/>
        <v>102.64102748467457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11.439999999999991</v>
      </c>
      <c r="D43" s="12">
        <f t="shared" si="32"/>
        <v>3.9698792760720729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118.95345406090716</v>
      </c>
      <c r="H43" s="70">
        <f t="shared" si="1"/>
        <v>320.17220640582548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240</v>
      </c>
      <c r="L43" s="13">
        <f>VLOOKUP(A43,'Données projet'!$A$35:$I$55,9,0)</f>
        <v>8.5</v>
      </c>
      <c r="M43" s="13">
        <f t="array" ref="M43">INDEX(L:L,MIN(IF(ISNUMBER(L43:L239),ROW(L43:L239),"")))</f>
        <v>8.5</v>
      </c>
      <c r="N43" s="14">
        <f>IF('Données projet'!$A$36&gt;35,N42+M43-V42,IF(A43&lt;'Données projet'!$A$36,$K$205^A43,IF(A43='Données projet'!$A$36,'Données projet'!$B$36,N42+M43-V42)))</f>
        <v>240.00000000000011</v>
      </c>
      <c r="O43" s="14">
        <f>N43*VLOOKUP('Données projet'!$B$9,Paramètres!$A$1:$I$89,3,0)*VLOOKUP('Données projet'!$B$9,Paramètres!$A$1:$I$89,5,0)</f>
        <v>112.32000000000005</v>
      </c>
      <c r="P43" s="14">
        <f t="shared" si="33"/>
        <v>29.87692891707237</v>
      </c>
      <c r="Q43" s="22">
        <f t="shared" si="53"/>
        <v>247.65965119723444</v>
      </c>
      <c r="R43" s="62">
        <f t="shared" si="0"/>
        <v>540.99298453056781</v>
      </c>
      <c r="S43" s="62">
        <f ca="1">AVERAGE(OFFSET($R$3,0,0,'Données projet'!$E$9+1,1))-AVERAGE(OFFSET($H$3,0,0,'Données projet'!$E$9+1,1))</f>
        <v>188.51537094662768</v>
      </c>
      <c r="T43" s="62">
        <f t="shared" si="34"/>
        <v>181.95202230446716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60</v>
      </c>
      <c r="W43" s="17">
        <f>IF(ISNA(VLOOKUP(A43,'Données projet'!$A$35:$I$55,5,0)),0%,VLOOKUP(A43,'Données projet'!$A$35:$I$55,5,0)*VLOOKUP('Données projet'!$B$9,Paramètres!$A$1:$I$89,7,0))</f>
        <v>5.5000000000000007E-2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2.6089657777181996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2.6089657777181996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247</v>
      </c>
      <c r="AG43" s="13">
        <f>VLOOKUP(A43,'Données projet'!$A$61:$I$81,9,0)</f>
        <v>10.3</v>
      </c>
      <c r="AH43" s="13">
        <f t="array" ref="AH43">INDEX(AG:AG,MIN(IF(ISNUMBER(AG43:AG239),ROW(AG43:AG239),"")))</f>
        <v>10.3</v>
      </c>
      <c r="AI43" s="14">
        <f>IF('Données projet'!$A$62&gt;35,AI42+AH43-AQ42,IF(A43&lt;'Données projet'!$A$62,$AF$205^A43,IF(A43='Données projet'!$A$62,'Données projet'!$B$62,AI42+AH43-AQ42)))</f>
        <v>247.00000000000011</v>
      </c>
      <c r="AJ43" s="14">
        <f>AI43*VLOOKUP('Données projet'!$B$10,Paramètres!$A$1:$I$89,3,0)*VLOOKUP('Données projet'!$B$10,Paramètres!$A$1:$I$89,5,0)</f>
        <v>147.70600000000007</v>
      </c>
      <c r="AK43" s="14">
        <f t="shared" si="35"/>
        <v>38.056799214709841</v>
      </c>
      <c r="AL43" s="22">
        <f t="shared" si="4"/>
        <v>323.53687529895308</v>
      </c>
      <c r="AM43" s="62">
        <f t="shared" si="5"/>
        <v>616.87020863228645</v>
      </c>
      <c r="AN43" s="62">
        <f ca="1">AVERAGE(OFFSET($AM$3,0,0,'Données projet'!$E$10+1,1))-AVERAGE(OFFSET($H$3,0,0,'Données projet'!$E$10+1,1))</f>
        <v>318.69447733545013</v>
      </c>
      <c r="AO43" s="62">
        <f t="shared" si="36"/>
        <v>186.33351136372443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2.2500000000000003E-2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0.35</v>
      </c>
      <c r="AU43" s="23">
        <f>EXP(-LN(2)/35)*AU42+(1-EXP(-LN(2)/35))/(LN(2)/35)*AQ43*AR43*VLOOKUP('Données projet'!$B$10,Paramètres!$A$1:$I$89,3,0)*0.475*44/12</f>
        <v>0.55053266815616841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5.0532666305077312</v>
      </c>
      <c r="AX43" s="23">
        <f t="shared" si="6"/>
        <v>5.6037992986638994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93</v>
      </c>
      <c r="BB43" s="13">
        <f>VLOOKUP(A43,'Données projet'!$A$87:$I$107,9,0)</f>
        <v>5.4</v>
      </c>
      <c r="BC43" s="13">
        <f t="array" ref="BC43">INDEX(BB:BB,MIN(IF(ISNUMBER(BB43:BB239),ROW(BB43:BB239),"")))</f>
        <v>5.4</v>
      </c>
      <c r="BD43" s="13">
        <f>IF('Données projet'!$A$88&gt;35,BD42+BC43-BL42,IF(A43&lt;'Données projet'!$A$88,$BA$205^A43,IF(A43='Données projet'!$A$88,'Données projet'!$B$88,BD42+BC43-BL42)))</f>
        <v>93.000000000000014</v>
      </c>
      <c r="BE43" s="14">
        <f>BD43*VLOOKUP('Données projet'!$B$11,Paramètres!$A$1:$I$89,3,0)*VLOOKUP('Données projet'!$B$11,Paramètres!$A$1:$I$89,5,0)</f>
        <v>94.302000000000021</v>
      </c>
      <c r="BF43" s="14">
        <f t="shared" si="37"/>
        <v>25.599927492506424</v>
      </c>
      <c r="BG43" s="22">
        <f t="shared" si="7"/>
        <v>208.82919038278203</v>
      </c>
      <c r="BH43" s="62">
        <f t="shared" si="8"/>
        <v>502.16252371611534</v>
      </c>
      <c r="BI43" s="62">
        <f ca="1">AVERAGE(OFFSET($BH$3,0,0,'Données projet'!$E$11+1,1))-AVERAGE(OFFSET($H$3,0,0,'Données projet'!$E$11+1,1))</f>
        <v>238.29088076221427</v>
      </c>
      <c r="BJ43" s="62">
        <f t="shared" si="38"/>
        <v>102.64102748467457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14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11.72599999999999</v>
      </c>
      <c r="D44" s="12">
        <f t="shared" si="32"/>
        <v>4.0574474851930775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121.83713848219212</v>
      </c>
      <c r="H44" s="70">
        <f t="shared" si="1"/>
        <v>320.8228377033779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9.3000000000000007</v>
      </c>
      <c r="N44" s="14">
        <f>IF('Données projet'!$A$36&gt;35,N43+M44-V43,IF(A44&lt;'Données projet'!$A$36,$K$205^A44,IF(A44='Données projet'!$A$36,'Données projet'!$B$36,N43+M44-V43)))</f>
        <v>189.30000000000013</v>
      </c>
      <c r="O44" s="14">
        <f>N44*VLOOKUP('Données projet'!$B$9,Paramètres!$A$1:$I$89,3,0)*VLOOKUP('Données projet'!$B$9,Paramètres!$A$1:$I$89,5,0)</f>
        <v>88.592400000000055</v>
      </c>
      <c r="P44" s="14">
        <f t="shared" si="33"/>
        <v>24.225434945039222</v>
      </c>
      <c r="Q44" s="22">
        <f t="shared" si="53"/>
        <v>196.49106252927675</v>
      </c>
      <c r="R44" s="62">
        <f t="shared" si="0"/>
        <v>489.82439586261006</v>
      </c>
      <c r="S44" s="62">
        <f ca="1">AVERAGE(OFFSET($R$3,0,0,'Données projet'!$E$9+1,1))-AVERAGE(OFFSET($H$3,0,0,'Données projet'!$E$9+1,1))</f>
        <v>188.51537094662768</v>
      </c>
      <c r="T44" s="62">
        <f t="shared" si="34"/>
        <v>181.95202230446716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2.557805550129141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2.557805550129141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9.5</v>
      </c>
      <c r="AI44" s="14">
        <f>IF('Données projet'!$A$62&gt;35,AI43+AH44-AQ43,IF(A44&lt;'Données projet'!$A$62,$AF$205^A44,IF(A44='Données projet'!$A$62,'Données projet'!$B$62,AI43+AH44-AQ43)))</f>
        <v>235.50000000000011</v>
      </c>
      <c r="AJ44" s="14">
        <f>AI44*VLOOKUP('Données projet'!$B$10,Paramètres!$A$1:$I$89,3,0)*VLOOKUP('Données projet'!$B$10,Paramètres!$A$1:$I$89,5,0)</f>
        <v>140.82900000000006</v>
      </c>
      <c r="AK44" s="14">
        <f t="shared" si="35"/>
        <v>36.486852448658766</v>
      </c>
      <c r="AL44" s="22">
        <f t="shared" si="4"/>
        <v>308.82510968141406</v>
      </c>
      <c r="AM44" s="62">
        <f t="shared" si="5"/>
        <v>602.15844301474738</v>
      </c>
      <c r="AN44" s="62">
        <f ca="1">AVERAGE(OFFSET($AM$3,0,0,'Données projet'!$E$10+1,1))-AVERAGE(OFFSET($H$3,0,0,'Données projet'!$E$10+1,1))</f>
        <v>318.69447733545013</v>
      </c>
      <c r="AO44" s="62">
        <f t="shared" si="36"/>
        <v>186.33351136372443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0.53973705832539687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3.573199101575713</v>
      </c>
      <c r="AX44" s="23">
        <f t="shared" si="6"/>
        <v>4.1129361599011096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5.6</v>
      </c>
      <c r="BD44" s="13">
        <f>IF('Données projet'!$A$88&gt;35,BD43+BC44-BL43,IF(A44&lt;'Données projet'!$A$88,$BA$205^A44,IF(A44='Données projet'!$A$88,'Données projet'!$B$88,BD43+BC44-BL43)))</f>
        <v>84.600000000000009</v>
      </c>
      <c r="BE44" s="14">
        <f>BD44*VLOOKUP('Données projet'!$B$11,Paramètres!$A$1:$I$89,3,0)*VLOOKUP('Données projet'!$B$11,Paramètres!$A$1:$I$89,5,0)</f>
        <v>85.784400000000019</v>
      </c>
      <c r="BF44" s="14">
        <f t="shared" si="37"/>
        <v>23.545702623664209</v>
      </c>
      <c r="BG44" s="22">
        <f t="shared" si="7"/>
        <v>190.41659540288185</v>
      </c>
      <c r="BH44" s="62">
        <f t="shared" si="8"/>
        <v>483.74992873621517</v>
      </c>
      <c r="BI44" s="62">
        <f ca="1">AVERAGE(OFFSET($BH$3,0,0,'Données projet'!$E$11+1,1))-AVERAGE(OFFSET($H$3,0,0,'Données projet'!$E$11+1,1))</f>
        <v>238.29088076221427</v>
      </c>
      <c r="BJ44" s="62">
        <f t="shared" si="38"/>
        <v>102.64102748467457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</v>
      </c>
      <c r="D45" s="12">
        <f t="shared" si="32"/>
        <v>4.1447674125853897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124.71890634276436</v>
      </c>
      <c r="H45" s="70">
        <f t="shared" si="1"/>
        <v>321.47303657691953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9.3000000000000007</v>
      </c>
      <c r="N45" s="14">
        <f>IF('Données projet'!$A$36&gt;35,N44+M45-V44,IF(A45&lt;'Données projet'!$A$36,$K$205^A45,IF(A45='Données projet'!$A$36,'Données projet'!$B$36,N44+M45-V44)))</f>
        <v>198.60000000000014</v>
      </c>
      <c r="O45" s="14">
        <f>N45*VLOOKUP('Données projet'!$B$9,Paramètres!$A$1:$I$89,3,0)*VLOOKUP('Données projet'!$B$9,Paramètres!$A$1:$I$89,5,0)</f>
        <v>92.944800000000072</v>
      </c>
      <c r="P45" s="14">
        <f t="shared" si="33"/>
        <v>25.274103566777832</v>
      </c>
      <c r="Q45" s="22">
        <f t="shared" si="53"/>
        <v>205.89792371213812</v>
      </c>
      <c r="R45" s="62">
        <f t="shared" si="0"/>
        <v>499.23125704547147</v>
      </c>
      <c r="S45" s="62">
        <f ca="1">AVERAGE(OFFSET($R$3,0,0,'Données projet'!$E$9+1,1))-AVERAGE(OFFSET($H$3,0,0,'Données projet'!$E$9+1,1))</f>
        <v>188.51537094662768</v>
      </c>
      <c r="T45" s="62">
        <f t="shared" si="34"/>
        <v>181.95202230446716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2.5076485433984463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2.5076485433984463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9.5</v>
      </c>
      <c r="AI45" s="14">
        <f>IF('Données projet'!$A$62&gt;35,AI44+AH45-AQ44,IF(A45&lt;'Données projet'!$A$62,$AF$205^A45,IF(A45='Données projet'!$A$62,'Données projet'!$B$62,AI44+AH45-AQ44)))</f>
        <v>245.00000000000011</v>
      </c>
      <c r="AJ45" s="14">
        <f>AI45*VLOOKUP('Données projet'!$B$10,Paramètres!$A$1:$I$89,3,0)*VLOOKUP('Données projet'!$B$10,Paramètres!$A$1:$I$89,5,0)</f>
        <v>146.51000000000008</v>
      </c>
      <c r="AK45" s="14">
        <f t="shared" si="35"/>
        <v>37.784387209607431</v>
      </c>
      <c r="AL45" s="22">
        <f t="shared" si="4"/>
        <v>320.97939105673305</v>
      </c>
      <c r="AM45" s="62">
        <f t="shared" si="5"/>
        <v>614.31272439006636</v>
      </c>
      <c r="AN45" s="62">
        <f ca="1">AVERAGE(OFFSET($AM$3,0,0,'Données projet'!$E$10+1,1))-AVERAGE(OFFSET($H$3,0,0,'Données projet'!$E$10+1,1))</f>
        <v>318.69447733545013</v>
      </c>
      <c r="AO45" s="62">
        <f t="shared" si="36"/>
        <v>186.33351136372443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0.52915314381873491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2.526633315253866</v>
      </c>
      <c r="AX45" s="23">
        <f t="shared" si="6"/>
        <v>3.0557864590726007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5.6</v>
      </c>
      <c r="BD45" s="13">
        <f>IF('Données projet'!$A$88&gt;35,BD44+BC45-BL44,IF(A45&lt;'Données projet'!$A$88,$BA$205^A45,IF(A45='Données projet'!$A$88,'Données projet'!$B$88,BD44+BC45-BL44)))</f>
        <v>90.2</v>
      </c>
      <c r="BE45" s="14">
        <f>BD45*VLOOKUP('Données projet'!$B$11,Paramètres!$A$1:$I$89,3,0)*VLOOKUP('Données projet'!$B$11,Paramètres!$A$1:$I$89,5,0)</f>
        <v>91.462800000000001</v>
      </c>
      <c r="BF45" s="14">
        <f t="shared" si="37"/>
        <v>24.917685409456144</v>
      </c>
      <c r="BG45" s="22">
        <f t="shared" si="7"/>
        <v>202.69601208813609</v>
      </c>
      <c r="BH45" s="62">
        <f t="shared" si="8"/>
        <v>496.02934542146943</v>
      </c>
      <c r="BI45" s="62">
        <f ca="1">AVERAGE(OFFSET($BH$3,0,0,'Données projet'!$E$11+1,1))-AVERAGE(OFFSET($H$3,0,0,'Données projet'!$E$11+1,1))</f>
        <v>238.29088076221427</v>
      </c>
      <c r="BJ45" s="62">
        <f t="shared" si="38"/>
        <v>102.64102748467457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12.297999999999989</v>
      </c>
      <c r="D46" s="12">
        <f t="shared" si="32"/>
        <v>4.2318456499363721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127.59880852582455</v>
      </c>
      <c r="H46" s="70">
        <f t="shared" si="1"/>
        <v>322.12281450697247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9.3000000000000007</v>
      </c>
      <c r="N46" s="14">
        <f>IF('Données projet'!$A$36&gt;35,N45+M46-V45,IF(A46&lt;'Données projet'!$A$36,$K$205^A46,IF(A46='Données projet'!$A$36,'Données projet'!$B$36,N45+M46-V45)))</f>
        <v>207.90000000000015</v>
      </c>
      <c r="O46" s="14">
        <f>N46*VLOOKUP('Données projet'!$B$9,Paramètres!$A$1:$I$89,3,0)*VLOOKUP('Données projet'!$B$9,Paramètres!$A$1:$I$89,5,0)</f>
        <v>97.297200000000075</v>
      </c>
      <c r="P46" s="14">
        <f t="shared" si="33"/>
        <v>26.317069501926472</v>
      </c>
      <c r="Q46" s="22">
        <f t="shared" si="53"/>
        <v>215.2948527158554</v>
      </c>
      <c r="R46" s="62">
        <f t="shared" si="0"/>
        <v>508.62818604918868</v>
      </c>
      <c r="S46" s="62">
        <f ca="1">AVERAGE(OFFSET($R$3,0,0,'Données projet'!$E$9+1,1))-AVERAGE(OFFSET($H$3,0,0,'Données projet'!$E$9+1,1))</f>
        <v>188.51537094662768</v>
      </c>
      <c r="T46" s="62">
        <f t="shared" si="34"/>
        <v>181.95202230446716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2.4584750849769872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2.4584750849769872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9.5</v>
      </c>
      <c r="AI46" s="14">
        <f>IF('Données projet'!$A$62&gt;35,AI45+AH46-AQ45,IF(A46&lt;'Données projet'!$A$62,$AF$205^A46,IF(A46='Données projet'!$A$62,'Données projet'!$B$62,AI45+AH46-AQ45)))</f>
        <v>254.50000000000011</v>
      </c>
      <c r="AJ46" s="14">
        <f>AI46*VLOOKUP('Données projet'!$B$10,Paramètres!$A$1:$I$89,3,0)*VLOOKUP('Données projet'!$B$10,Paramètres!$A$1:$I$89,5,0)</f>
        <v>152.19100000000009</v>
      </c>
      <c r="AK46" s="14">
        <f t="shared" si="35"/>
        <v>39.076077236632756</v>
      </c>
      <c r="AL46" s="22">
        <f t="shared" si="4"/>
        <v>333.12349285380219</v>
      </c>
      <c r="AM46" s="62">
        <f t="shared" si="5"/>
        <v>626.45682618713545</v>
      </c>
      <c r="AN46" s="62">
        <f ca="1">AVERAGE(OFFSET($AM$3,0,0,'Données projet'!$E$10+1,1))-AVERAGE(OFFSET($H$3,0,0,'Données projet'!$E$10+1,1))</f>
        <v>318.69447733545013</v>
      </c>
      <c r="AO46" s="62">
        <f t="shared" si="36"/>
        <v>186.33351136372443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0.51877677341999817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1.7865995507878567</v>
      </c>
      <c r="AX46" s="23">
        <f t="shared" si="6"/>
        <v>2.3053763242078551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5.6</v>
      </c>
      <c r="BD46" s="13">
        <f>IF('Données projet'!$A$88&gt;35,BD45+BC46-BL45,IF(A46&lt;'Données projet'!$A$88,$BA$205^A46,IF(A46='Données projet'!$A$88,'Données projet'!$B$88,BD45+BC46-BL45)))</f>
        <v>95.8</v>
      </c>
      <c r="BE46" s="14">
        <f>BD46*VLOOKUP('Données projet'!$B$11,Paramètres!$A$1:$I$89,3,0)*VLOOKUP('Données projet'!$B$11,Paramètres!$A$1:$I$89,5,0)</f>
        <v>97.141200000000012</v>
      </c>
      <c r="BF46" s="14">
        <f t="shared" si="37"/>
        <v>26.279782450761708</v>
      </c>
      <c r="BG46" s="22">
        <f t="shared" si="7"/>
        <v>214.95821110174333</v>
      </c>
      <c r="BH46" s="62">
        <f t="shared" si="8"/>
        <v>508.29154443507662</v>
      </c>
      <c r="BI46" s="62">
        <f ca="1">AVERAGE(OFFSET($BH$3,0,0,'Données projet'!$E$11+1,1))-AVERAGE(OFFSET($H$3,0,0,'Données projet'!$E$11+1,1))</f>
        <v>238.29088076221427</v>
      </c>
      <c r="BJ46" s="62">
        <f t="shared" si="38"/>
        <v>102.64102748467457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12.583999999999989</v>
      </c>
      <c r="D47" s="12">
        <f t="shared" si="32"/>
        <v>4.3186884648505339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130.47689341288125</v>
      </c>
      <c r="H47" s="70">
        <f t="shared" si="1"/>
        <v>322.77218240961463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9.3000000000000007</v>
      </c>
      <c r="N47" s="14">
        <f>IF('Données projet'!$A$36&gt;35,N46+M47-V46,IF(A47&lt;'Données projet'!$A$36,$K$205^A47,IF(A47='Données projet'!$A$36,'Données projet'!$B$36,N46+M47-V46)))</f>
        <v>217.20000000000016</v>
      </c>
      <c r="O47" s="14">
        <f>N47*VLOOKUP('Données projet'!$B$9,Paramètres!$A$1:$I$89,3,0)*VLOOKUP('Données projet'!$B$9,Paramètres!$A$1:$I$89,5,0)</f>
        <v>101.64960000000006</v>
      </c>
      <c r="P47" s="14">
        <f t="shared" si="33"/>
        <v>27.354616995972222</v>
      </c>
      <c r="Q47" s="22">
        <f t="shared" si="53"/>
        <v>224.68234460131839</v>
      </c>
      <c r="R47" s="62">
        <f t="shared" si="0"/>
        <v>518.01567793465165</v>
      </c>
      <c r="S47" s="62">
        <f ca="1">AVERAGE(OFFSET($R$3,0,0,'Données projet'!$E$9+1,1))-AVERAGE(OFFSET($H$3,0,0,'Données projet'!$E$9+1,1))</f>
        <v>188.51537094662768</v>
      </c>
      <c r="T47" s="62">
        <f t="shared" si="34"/>
        <v>181.95202230446716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2.4102658880823249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2.4102658880823249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9.5</v>
      </c>
      <c r="AI47" s="14">
        <f>IF('Données projet'!$A$62&gt;35,AI46+AH47-AQ46,IF(A47&lt;'Données projet'!$A$62,$AF$205^A47,IF(A47='Données projet'!$A$62,'Données projet'!$B$62,AI46+AH47-AQ46)))</f>
        <v>264.00000000000011</v>
      </c>
      <c r="AJ47" s="14">
        <f>AI47*VLOOKUP('Données projet'!$B$10,Paramètres!$A$1:$I$89,3,0)*VLOOKUP('Données projet'!$B$10,Paramètres!$A$1:$I$89,5,0)</f>
        <v>157.87200000000007</v>
      </c>
      <c r="AK47" s="14">
        <f t="shared" si="35"/>
        <v>40.362165684361159</v>
      </c>
      <c r="AL47" s="22">
        <f t="shared" si="4"/>
        <v>345.25783856692919</v>
      </c>
      <c r="AM47" s="62">
        <f t="shared" si="5"/>
        <v>638.59117190026245</v>
      </c>
      <c r="AN47" s="62">
        <f ca="1">AVERAGE(OFFSET($AM$3,0,0,'Données projet'!$E$10+1,1))-AVERAGE(OFFSET($H$3,0,0,'Données projet'!$E$10+1,1))</f>
        <v>318.69447733545013</v>
      </c>
      <c r="AO47" s="62">
        <f t="shared" si="36"/>
        <v>186.33351136372443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0.50860387731581969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1.2633166576269332</v>
      </c>
      <c r="AX47" s="23">
        <f t="shared" si="6"/>
        <v>1.7719205349427529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5.6</v>
      </c>
      <c r="BD47" s="13">
        <f>IF('Données projet'!$A$88&gt;35,BD46+BC47-BL46,IF(A47&lt;'Données projet'!$A$88,$BA$205^A47,IF(A47='Données projet'!$A$88,'Données projet'!$B$88,BD46+BC47-BL46)))</f>
        <v>101.39999999999999</v>
      </c>
      <c r="BE47" s="14">
        <f>BD47*VLOOKUP('Données projet'!$B$11,Paramètres!$A$1:$I$89,3,0)*VLOOKUP('Données projet'!$B$11,Paramètres!$A$1:$I$89,5,0)</f>
        <v>102.81959999999999</v>
      </c>
      <c r="BF47" s="14">
        <f t="shared" si="37"/>
        <v>27.632637448562328</v>
      </c>
      <c r="BG47" s="22">
        <f t="shared" si="7"/>
        <v>227.20431355624603</v>
      </c>
      <c r="BH47" s="62">
        <f t="shared" si="8"/>
        <v>520.53764688957938</v>
      </c>
      <c r="BI47" s="62">
        <f ca="1">AVERAGE(OFFSET($BH$3,0,0,'Données projet'!$E$11+1,1))-AVERAGE(OFFSET($H$3,0,0,'Données projet'!$E$11+1,1))</f>
        <v>238.29088076221427</v>
      </c>
      <c r="BJ47" s="62">
        <f t="shared" si="38"/>
        <v>102.64102748467457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12.869999999999989</v>
      </c>
      <c r="D48" s="12">
        <f t="shared" si="32"/>
        <v>4.4053018237810528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133.35320706076595</v>
      </c>
      <c r="H48" s="70">
        <f t="shared" si="1"/>
        <v>323.42115067641862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9.3000000000000007</v>
      </c>
      <c r="N48" s="14">
        <f>IF('Données projet'!$A$36&gt;35,N47+M48-V47,IF(A48&lt;'Données projet'!$A$36,$K$205^A48,IF(A48='Données projet'!$A$36,'Données projet'!$B$36,N47+M48-V47)))</f>
        <v>226.50000000000017</v>
      </c>
      <c r="O48" s="14">
        <f>N48*VLOOKUP('Données projet'!$B$9,Paramètres!$A$1:$I$89,3,0)*VLOOKUP('Données projet'!$B$9,Paramètres!$A$1:$I$89,5,0)</f>
        <v>106.00200000000008</v>
      </c>
      <c r="P48" s="14">
        <f t="shared" si="33"/>
        <v>28.387004576208234</v>
      </c>
      <c r="Q48" s="22">
        <f t="shared" si="53"/>
        <v>234.06084963689617</v>
      </c>
      <c r="R48" s="62">
        <f t="shared" si="0"/>
        <v>527.39418297022951</v>
      </c>
      <c r="S48" s="62">
        <f ca="1">AVERAGE(OFFSET($R$3,0,0,'Données projet'!$E$9+1,1))-AVERAGE(OFFSET($H$3,0,0,'Données projet'!$E$9+1,1))</f>
        <v>188.51537094662768</v>
      </c>
      <c r="T48" s="62">
        <f t="shared" si="34"/>
        <v>181.95202230446716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2.3630020441340602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2.3630020441340602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9.5</v>
      </c>
      <c r="AI48" s="14">
        <f>IF('Données projet'!$A$62&gt;35,AI47+AH48-AQ47,IF(A48&lt;'Données projet'!$A$62,$AF$205^A48,IF(A48='Données projet'!$A$62,'Données projet'!$B$62,AI47+AH48-AQ47)))</f>
        <v>273.50000000000011</v>
      </c>
      <c r="AJ48" s="14">
        <f>AI48*VLOOKUP('Données projet'!$B$10,Paramètres!$A$1:$I$89,3,0)*VLOOKUP('Données projet'!$B$10,Paramètres!$A$1:$I$89,5,0)</f>
        <v>163.55300000000008</v>
      </c>
      <c r="AK48" s="14">
        <f t="shared" si="35"/>
        <v>41.642877215727864</v>
      </c>
      <c r="AL48" s="22">
        <f t="shared" si="4"/>
        <v>357.38281948405944</v>
      </c>
      <c r="AM48" s="62">
        <f t="shared" si="5"/>
        <v>650.71615281739275</v>
      </c>
      <c r="AN48" s="62">
        <f ca="1">AVERAGE(OFFSET($AM$3,0,0,'Données projet'!$E$10+1,1))-AVERAGE(OFFSET($H$3,0,0,'Données projet'!$E$10+1,1))</f>
        <v>318.69447733545013</v>
      </c>
      <c r="AO48" s="62">
        <f t="shared" si="36"/>
        <v>186.33351136372443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0.49863046549939016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0.89329977539392846</v>
      </c>
      <c r="AX48" s="23">
        <f t="shared" si="6"/>
        <v>1.3919302408933185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107</v>
      </c>
      <c r="BB48" s="13">
        <f>VLOOKUP(A48,'Données projet'!$A$87:$I$107,9,0)</f>
        <v>5.6</v>
      </c>
      <c r="BC48" s="13">
        <f t="array" ref="BC48">INDEX(BB:BB,MIN(IF(ISNUMBER(BB48:BB244),ROW(BB48:BB244),"")))</f>
        <v>5.6</v>
      </c>
      <c r="BD48" s="13">
        <f>IF('Données projet'!$A$88&gt;35,BD47+BC48-BL47,IF(A48&lt;'Données projet'!$A$88,$BA$205^A48,IF(A48='Données projet'!$A$88,'Données projet'!$B$88,BD47+BC48-BL47)))</f>
        <v>106.99999999999999</v>
      </c>
      <c r="BE48" s="14">
        <f>BD48*VLOOKUP('Données projet'!$B$11,Paramètres!$A$1:$I$89,3,0)*VLOOKUP('Données projet'!$B$11,Paramètres!$A$1:$I$89,5,0)</f>
        <v>108.498</v>
      </c>
      <c r="BF48" s="14">
        <f t="shared" si="37"/>
        <v>28.976818989145283</v>
      </c>
      <c r="BG48" s="22">
        <f t="shared" si="7"/>
        <v>239.43530973942802</v>
      </c>
      <c r="BH48" s="62">
        <f t="shared" si="8"/>
        <v>532.76864307276128</v>
      </c>
      <c r="BI48" s="62">
        <f ca="1">AVERAGE(OFFSET($BH$3,0,0,'Données projet'!$E$11+1,1))-AVERAGE(OFFSET($H$3,0,0,'Données projet'!$E$11+1,1))</f>
        <v>238.29088076221427</v>
      </c>
      <c r="BJ48" s="62">
        <f t="shared" si="38"/>
        <v>102.64102748467457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14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13.155999999999988</v>
      </c>
      <c r="D49" s="12">
        <f t="shared" si="32"/>
        <v>4.4916914128654266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136.22779336246987</v>
      </c>
      <c r="H49" s="70">
        <f t="shared" si="1"/>
        <v>324.06972921074055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9.3000000000000007</v>
      </c>
      <c r="N49" s="14">
        <f>IF('Données projet'!$A$36&gt;35,N48+M49-V48,IF(A49&lt;'Données projet'!$A$36,$K$205^A49,IF(A49='Données projet'!$A$36,'Données projet'!$B$36,N48+M49-V48)))</f>
        <v>235.80000000000018</v>
      </c>
      <c r="O49" s="14">
        <f>N49*VLOOKUP('Données projet'!$B$9,Paramètres!$A$1:$I$89,3,0)*VLOOKUP('Données projet'!$B$9,Paramètres!$A$1:$I$89,5,0)</f>
        <v>110.35440000000008</v>
      </c>
      <c r="P49" s="14">
        <f t="shared" si="33"/>
        <v>29.414468338558777</v>
      </c>
      <c r="Q49" s="22">
        <f t="shared" si="53"/>
        <v>243.43077902299001</v>
      </c>
      <c r="R49" s="62">
        <f t="shared" si="0"/>
        <v>536.76411235632327</v>
      </c>
      <c r="S49" s="62">
        <f ca="1">AVERAGE(OFFSET($R$3,0,0,'Données projet'!$E$9+1,1))-AVERAGE(OFFSET($H$3,0,0,'Données projet'!$E$9+1,1))</f>
        <v>188.51537094662768</v>
      </c>
      <c r="T49" s="62">
        <f t="shared" si="34"/>
        <v>181.95202230446716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2.3166650153375228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2.3166650153375228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9.5</v>
      </c>
      <c r="AI49" s="14">
        <f>IF('Données projet'!$A$62&gt;35,AI48+AH49-AQ48,IF(A49&lt;'Données projet'!$A$62,$AF$205^A49,IF(A49='Données projet'!$A$62,'Données projet'!$B$62,AI48+AH49-AQ48)))</f>
        <v>283.00000000000011</v>
      </c>
      <c r="AJ49" s="14">
        <f>AI49*VLOOKUP('Données projet'!$B$10,Paramètres!$A$1:$I$89,3,0)*VLOOKUP('Données projet'!$B$10,Paramètres!$A$1:$I$89,5,0)</f>
        <v>169.23400000000009</v>
      </c>
      <c r="AK49" s="14">
        <f t="shared" si="35"/>
        <v>42.918420001269396</v>
      </c>
      <c r="AL49" s="22">
        <f t="shared" si="4"/>
        <v>369.49879816887761</v>
      </c>
      <c r="AM49" s="62">
        <f t="shared" si="5"/>
        <v>662.83213150221093</v>
      </c>
      <c r="AN49" s="62">
        <f ca="1">AVERAGE(OFFSET($AM$3,0,0,'Données projet'!$E$10+1,1))-AVERAGE(OFFSET($H$3,0,0,'Données projet'!$E$10+1,1))</f>
        <v>318.69447733545013</v>
      </c>
      <c r="AO49" s="62">
        <f t="shared" si="36"/>
        <v>186.33351136372443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0.4888526262055003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0.63165832881346662</v>
      </c>
      <c r="AX49" s="23">
        <f t="shared" si="6"/>
        <v>1.1205109550189669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5.6</v>
      </c>
      <c r="BD49" s="13">
        <f>IF('Données projet'!$A$88&gt;35,BD48+BC49-BL48,IF(A49&lt;'Données projet'!$A$88,$BA$205^A49,IF(A49='Données projet'!$A$88,'Données projet'!$B$88,BD48+BC49-BL48)))</f>
        <v>98.59999999999998</v>
      </c>
      <c r="BE49" s="14">
        <f>BD49*VLOOKUP('Données projet'!$B$11,Paramètres!$A$1:$I$89,3,0)*VLOOKUP('Données projet'!$B$11,Paramètres!$A$1:$I$89,5,0)</f>
        <v>99.980399999999989</v>
      </c>
      <c r="BF49" s="14">
        <f t="shared" si="37"/>
        <v>26.957328065359373</v>
      </c>
      <c r="BG49" s="22">
        <f t="shared" si="7"/>
        <v>221.08320971383421</v>
      </c>
      <c r="BH49" s="62">
        <f t="shared" si="8"/>
        <v>514.41654304716758</v>
      </c>
      <c r="BI49" s="62">
        <f ca="1">AVERAGE(OFFSET($BH$3,0,0,'Données projet'!$E$11+1,1))-AVERAGE(OFFSET($H$3,0,0,'Données projet'!$E$11+1,1))</f>
        <v>238.29088076221427</v>
      </c>
      <c r="BJ49" s="62">
        <f t="shared" si="38"/>
        <v>102.64102748467457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13.441999999999988</v>
      </c>
      <c r="D50" s="12">
        <f t="shared" si="32"/>
        <v>4.5778626568982537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139.10069419360045</v>
      </c>
      <c r="H50" s="70">
        <f t="shared" si="1"/>
        <v>324.71792746076443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9.3000000000000007</v>
      </c>
      <c r="N50" s="14">
        <f>IF('Données projet'!$A$36&gt;35,N49+M50-V49,IF(A50&lt;'Données projet'!$A$36,$K$205^A50,IF(A50='Données projet'!$A$36,'Données projet'!$B$36,N49+M50-V49)))</f>
        <v>245.10000000000019</v>
      </c>
      <c r="O50" s="14">
        <f>N50*VLOOKUP('Données projet'!$B$9,Paramètres!$A$1:$I$89,3,0)*VLOOKUP('Données projet'!$B$9,Paramètres!$A$1:$I$89,5,0)</f>
        <v>114.70680000000009</v>
      </c>
      <c r="P50" s="14">
        <f t="shared" si="33"/>
        <v>30.437224701280645</v>
      </c>
      <c r="Q50" s="22">
        <f t="shared" si="53"/>
        <v>252.79250968806392</v>
      </c>
      <c r="R50" s="62">
        <f t="shared" si="0"/>
        <v>546.12584302139726</v>
      </c>
      <c r="S50" s="62">
        <f ca="1">AVERAGE(OFFSET($R$3,0,0,'Données projet'!$E$9+1,1))-AVERAGE(OFFSET($H$3,0,0,'Données projet'!$E$9+1,1))</f>
        <v>188.51537094662768</v>
      </c>
      <c r="T50" s="62">
        <f t="shared" si="34"/>
        <v>181.95202230446716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2.2712366274128888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2.2712366274128888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9.5</v>
      </c>
      <c r="AI50" s="14">
        <f>IF('Données projet'!$A$62&gt;35,AI49+AH50-AQ49,IF(A50&lt;'Données projet'!$A$62,$AF$205^A50,IF(A50='Données projet'!$A$62,'Données projet'!$B$62,AI49+AH50-AQ49)))</f>
        <v>292.50000000000011</v>
      </c>
      <c r="AJ50" s="14">
        <f>AI50*VLOOKUP('Données projet'!$B$10,Paramètres!$A$1:$I$89,3,0)*VLOOKUP('Données projet'!$B$10,Paramètres!$A$1:$I$89,5,0)</f>
        <v>174.91500000000011</v>
      </c>
      <c r="AK50" s="14">
        <f t="shared" si="35"/>
        <v>44.188987442418814</v>
      </c>
      <c r="AL50" s="22">
        <f t="shared" si="4"/>
        <v>381.60611146221294</v>
      </c>
      <c r="AM50" s="62">
        <f t="shared" si="5"/>
        <v>674.93944479554625</v>
      </c>
      <c r="AN50" s="62">
        <f ca="1">AVERAGE(OFFSET($AM$3,0,0,'Données projet'!$E$10+1,1))-AVERAGE(OFFSET($H$3,0,0,'Données projet'!$E$10+1,1))</f>
        <v>318.69447733545013</v>
      </c>
      <c r="AO50" s="62">
        <f t="shared" si="36"/>
        <v>186.33351136372443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0.47926652437627049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0.44664988769696423</v>
      </c>
      <c r="AX50" s="23">
        <f t="shared" si="6"/>
        <v>0.92591641207323472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5.6</v>
      </c>
      <c r="BD50" s="13">
        <f>IF('Données projet'!$A$88&gt;35,BD49+BC50-BL49,IF(A50&lt;'Données projet'!$A$88,$BA$205^A50,IF(A50='Données projet'!$A$88,'Données projet'!$B$88,BD49+BC50-BL49)))</f>
        <v>104.19999999999997</v>
      </c>
      <c r="BE50" s="14">
        <f>BD50*VLOOKUP('Données projet'!$B$11,Paramètres!$A$1:$I$89,3,0)*VLOOKUP('Données projet'!$B$11,Paramètres!$A$1:$I$89,5,0)</f>
        <v>105.65879999999999</v>
      </c>
      <c r="BF50" s="14">
        <f t="shared" si="37"/>
        <v>28.305779445097851</v>
      </c>
      <c r="BG50" s="22">
        <f t="shared" si="7"/>
        <v>233.32164253354537</v>
      </c>
      <c r="BH50" s="62">
        <f t="shared" si="8"/>
        <v>526.65497586687866</v>
      </c>
      <c r="BI50" s="62">
        <f ca="1">AVERAGE(OFFSET($BH$3,0,0,'Données projet'!$E$11+1,1))-AVERAGE(OFFSET($H$3,0,0,'Données projet'!$E$11+1,1))</f>
        <v>238.29088076221427</v>
      </c>
      <c r="BJ50" s="62">
        <f t="shared" si="38"/>
        <v>102.64102748467457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13.727999999999987</v>
      </c>
      <c r="D51" s="12">
        <f t="shared" si="32"/>
        <v>4.663820736643725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141.97194954602165</v>
      </c>
      <c r="H51" s="70">
        <f t="shared" si="1"/>
        <v>325.36575444965445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9.3000000000000007</v>
      </c>
      <c r="N51" s="14">
        <f>IF('Données projet'!$A$36&gt;35,N50+M51-V50,IF(A51&lt;'Données projet'!$A$36,$K$205^A51,IF(A51='Données projet'!$A$36,'Données projet'!$B$36,N50+M51-V50)))</f>
        <v>254.4000000000002</v>
      </c>
      <c r="O51" s="14">
        <f>N51*VLOOKUP('Données projet'!$B$9,Paramètres!$A$1:$I$89,3,0)*VLOOKUP('Données projet'!$B$9,Paramètres!$A$1:$I$89,5,0)</f>
        <v>119.0592000000001</v>
      </c>
      <c r="P51" s="14">
        <f t="shared" si="33"/>
        <v>31.455472728968992</v>
      </c>
      <c r="Q51" s="22">
        <f t="shared" si="53"/>
        <v>262.14638833628783</v>
      </c>
      <c r="R51" s="62">
        <f t="shared" si="0"/>
        <v>555.47972166962109</v>
      </c>
      <c r="S51" s="62">
        <f ca="1">AVERAGE(OFFSET($R$3,0,0,'Données projet'!$E$9+1,1))-AVERAGE(OFFSET($H$3,0,0,'Données projet'!$E$9+1,1))</f>
        <v>188.51537094662768</v>
      </c>
      <c r="T51" s="62">
        <f t="shared" si="34"/>
        <v>181.95202230446716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2.2266990624668761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2.2266990624668761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9.5</v>
      </c>
      <c r="AI51" s="14">
        <f>IF('Données projet'!$A$62&gt;35,AI50+AH51-AQ50,IF(A51&lt;'Données projet'!$A$62,$AF$205^A51,IF(A51='Données projet'!$A$62,'Données projet'!$B$62,AI50+AH51-AQ50)))</f>
        <v>302.00000000000011</v>
      </c>
      <c r="AJ51" s="14">
        <f>AI51*VLOOKUP('Données projet'!$B$10,Paramètres!$A$1:$I$89,3,0)*VLOOKUP('Données projet'!$B$10,Paramètres!$A$1:$I$89,5,0)</f>
        <v>180.59600000000006</v>
      </c>
      <c r="AK51" s="14">
        <f t="shared" si="35"/>
        <v>45.45475966463092</v>
      </c>
      <c r="AL51" s="22">
        <f t="shared" si="4"/>
        <v>393.7050730825656</v>
      </c>
      <c r="AM51" s="62">
        <f t="shared" si="5"/>
        <v>687.03840641589886</v>
      </c>
      <c r="AN51" s="62">
        <f ca="1">AVERAGE(OFFSET($AM$3,0,0,'Données projet'!$E$10+1,1))-AVERAGE(OFFSET($H$3,0,0,'Données projet'!$E$10+1,1))</f>
        <v>318.69447733545013</v>
      </c>
      <c r="AO51" s="62">
        <f t="shared" si="36"/>
        <v>186.33351136372443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0.46986840015696713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0.31582916440673331</v>
      </c>
      <c r="AX51" s="23">
        <f t="shared" si="6"/>
        <v>0.78569756456370043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5.6</v>
      </c>
      <c r="BD51" s="13">
        <f>IF('Données projet'!$A$88&gt;35,BD50+BC51-BL50,IF(A51&lt;'Données projet'!$A$88,$BA$205^A51,IF(A51='Données projet'!$A$88,'Données projet'!$B$88,BD50+BC51-BL50)))</f>
        <v>109.79999999999997</v>
      </c>
      <c r="BE51" s="14">
        <f>BD51*VLOOKUP('Données projet'!$B$11,Paramètres!$A$1:$I$89,3,0)*VLOOKUP('Données projet'!$B$11,Paramètres!$A$1:$I$89,5,0)</f>
        <v>111.33719999999997</v>
      </c>
      <c r="BF51" s="14">
        <f t="shared" si="37"/>
        <v>29.645817422905317</v>
      </c>
      <c r="BG51" s="22">
        <f t="shared" si="7"/>
        <v>245.54542201156005</v>
      </c>
      <c r="BH51" s="62">
        <f t="shared" si="8"/>
        <v>538.87875534489331</v>
      </c>
      <c r="BI51" s="62">
        <f ca="1">AVERAGE(OFFSET($BH$3,0,0,'Données projet'!$E$11+1,1))-AVERAGE(OFFSET($H$3,0,0,'Données projet'!$E$11+1,1))</f>
        <v>238.29088076221427</v>
      </c>
      <c r="BJ51" s="62">
        <f t="shared" si="38"/>
        <v>102.64102748467457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14.013999999999987</v>
      </c>
      <c r="D52" s="12">
        <f t="shared" si="32"/>
        <v>4.749570604664699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144.84159765004321</v>
      </c>
      <c r="H52" s="70">
        <f t="shared" si="1"/>
        <v>326.01321880312429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9.3000000000000007</v>
      </c>
      <c r="N52" s="14">
        <f>IF('Données projet'!$A$36&gt;35,N51+M52-V51,IF(A52&lt;'Données projet'!$A$36,$K$205^A52,IF(A52='Données projet'!$A$36,'Données projet'!$B$36,N51+M52-V51)))</f>
        <v>263.70000000000022</v>
      </c>
      <c r="O52" s="14">
        <f>N52*VLOOKUP('Données projet'!$B$9,Paramètres!$A$1:$I$89,3,0)*VLOOKUP('Données projet'!$B$9,Paramètres!$A$1:$I$89,5,0)</f>
        <v>123.41160000000009</v>
      </c>
      <c r="P52" s="14">
        <f t="shared" si="33"/>
        <v>32.469396107180408</v>
      </c>
      <c r="Q52" s="22">
        <f t="shared" si="53"/>
        <v>271.49273488667268</v>
      </c>
      <c r="R52" s="62">
        <f t="shared" si="0"/>
        <v>564.82606822000594</v>
      </c>
      <c r="S52" s="62">
        <f ca="1">AVERAGE(OFFSET($R$3,0,0,'Données projet'!$E$9+1,1))-AVERAGE(OFFSET($H$3,0,0,'Données projet'!$E$9+1,1))</f>
        <v>188.51537094662768</v>
      </c>
      <c r="T52" s="62">
        <f t="shared" si="34"/>
        <v>181.95202230446716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2.1830348520042224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2.1830348520042224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9.5</v>
      </c>
      <c r="AI52" s="14">
        <f>IF('Données projet'!$A$62&gt;35,AI51+AH52-AQ51,IF(A52&lt;'Données projet'!$A$62,$AF$205^A52,IF(A52='Données projet'!$A$62,'Données projet'!$B$62,AI51+AH52-AQ51)))</f>
        <v>311.50000000000011</v>
      </c>
      <c r="AJ52" s="14">
        <f>AI52*VLOOKUP('Données projet'!$B$10,Paramètres!$A$1:$I$89,3,0)*VLOOKUP('Données projet'!$B$10,Paramètres!$A$1:$I$89,5,0)</f>
        <v>186.27700000000007</v>
      </c>
      <c r="AK52" s="14">
        <f t="shared" si="35"/>
        <v>46.715904817352708</v>
      </c>
      <c r="AL52" s="22">
        <f t="shared" si="4"/>
        <v>405.79597589022273</v>
      </c>
      <c r="AM52" s="62">
        <f t="shared" si="5"/>
        <v>699.12930922355599</v>
      </c>
      <c r="AN52" s="62">
        <f ca="1">AVERAGE(OFFSET($AM$3,0,0,'Données projet'!$E$10+1,1))-AVERAGE(OFFSET($H$3,0,0,'Données projet'!$E$10+1,1))</f>
        <v>318.69447733545013</v>
      </c>
      <c r="AO52" s="62">
        <f t="shared" si="36"/>
        <v>186.33351136372443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0.46065456742131455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0.22332494384848212</v>
      </c>
      <c r="AX52" s="23">
        <f t="shared" si="6"/>
        <v>0.68397951126979661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5.6</v>
      </c>
      <c r="BD52" s="13">
        <f>IF('Données projet'!$A$88&gt;35,BD51+BC52-BL51,IF(A52&lt;'Données projet'!$A$88,$BA$205^A52,IF(A52='Données projet'!$A$88,'Données projet'!$B$88,BD51+BC52-BL51)))</f>
        <v>115.39999999999996</v>
      </c>
      <c r="BE52" s="14">
        <f>BD52*VLOOKUP('Données projet'!$B$11,Paramètres!$A$1:$I$89,3,0)*VLOOKUP('Données projet'!$B$11,Paramètres!$A$1:$I$89,5,0)</f>
        <v>117.01559999999996</v>
      </c>
      <c r="BF52" s="14">
        <f t="shared" si="37"/>
        <v>30.977920050269788</v>
      </c>
      <c r="BG52" s="22">
        <f t="shared" si="7"/>
        <v>257.7553807542198</v>
      </c>
      <c r="BH52" s="62">
        <f t="shared" si="8"/>
        <v>551.08871408755317</v>
      </c>
      <c r="BI52" s="62">
        <f ca="1">AVERAGE(OFFSET($BH$3,0,0,'Données projet'!$E$11+1,1))-AVERAGE(OFFSET($H$3,0,0,'Données projet'!$E$11+1,1))</f>
        <v>238.29088076221427</v>
      </c>
      <c r="BJ52" s="62">
        <f t="shared" si="38"/>
        <v>102.64102748467457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14.299999999999986</v>
      </c>
      <c r="D53" s="12">
        <f t="shared" si="32"/>
        <v>4.8351169998231018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147.70967508635371</v>
      </c>
      <c r="H53" s="70">
        <f t="shared" si="1"/>
        <v>326.66032877469183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273</v>
      </c>
      <c r="L53" s="13">
        <f>VLOOKUP(A53,'Données projet'!$A$35:$I$55,9,0)</f>
        <v>9.3000000000000007</v>
      </c>
      <c r="M53" s="13">
        <f t="array" ref="M53">INDEX(L:L,MIN(IF(ISNUMBER(L53:L249),ROW(L53:L249),"")))</f>
        <v>9.3000000000000007</v>
      </c>
      <c r="N53" s="14">
        <f>IF('Données projet'!$A$36&gt;35,N52+M53-V52,IF(A53&lt;'Données projet'!$A$36,$K$205^A53,IF(A53='Données projet'!$A$36,'Données projet'!$B$36,N52+M53-V52)))</f>
        <v>273.00000000000023</v>
      </c>
      <c r="O53" s="14">
        <f>N53*VLOOKUP('Données projet'!$B$9,Paramètres!$A$1:$I$89,3,0)*VLOOKUP('Données projet'!$B$9,Paramètres!$A$1:$I$89,5,0)</f>
        <v>127.7640000000001</v>
      </c>
      <c r="P53" s="14">
        <f t="shared" si="33"/>
        <v>33.479164830670079</v>
      </c>
      <c r="Q53" s="22">
        <f t="shared" si="53"/>
        <v>280.83184541341717</v>
      </c>
      <c r="R53" s="62">
        <f t="shared" si="0"/>
        <v>574.16517874675048</v>
      </c>
      <c r="S53" s="62">
        <f ca="1">AVERAGE(OFFSET($R$3,0,0,'Données projet'!$E$9+1,1))-AVERAGE(OFFSET($H$3,0,0,'Données projet'!$E$9+1,1))</f>
        <v>188.51537094662768</v>
      </c>
      <c r="T53" s="62">
        <f t="shared" si="34"/>
        <v>181.95202230446716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80</v>
      </c>
      <c r="W53" s="17">
        <f>IF(ISNA(VLOOKUP(A53,'Données projet'!$A$35:$I$55,5,0)),0%,VLOOKUP(A53,'Données projet'!$A$35:$I$55,5,0)*VLOOKUP('Données projet'!$B$9,Paramètres!$A$1:$I$89,7,0))</f>
        <v>8.2500000000000004E-2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6.2377191600378534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6.2377191600378534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321</v>
      </c>
      <c r="AG53" s="13">
        <f>VLOOKUP(A53,'Données projet'!$A$61:$I$81,9,0)</f>
        <v>9.5</v>
      </c>
      <c r="AH53" s="13">
        <f t="array" ref="AH53">INDEX(AG:AG,MIN(IF(ISNUMBER(AG53:AG249),ROW(AG53:AG249),"")))</f>
        <v>9.5</v>
      </c>
      <c r="AI53" s="14">
        <f>IF('Données projet'!$A$62&gt;35,AI52+AH53-AQ52,IF(A53&lt;'Données projet'!$A$62,$AF$205^A53,IF(A53='Données projet'!$A$62,'Données projet'!$B$62,AI52+AH53-AQ52)))</f>
        <v>321.00000000000011</v>
      </c>
      <c r="AJ53" s="14">
        <f>AI53*VLOOKUP('Données projet'!$B$10,Paramètres!$A$1:$I$89,3,0)*VLOOKUP('Données projet'!$B$10,Paramètres!$A$1:$I$89,5,0)</f>
        <v>191.95800000000008</v>
      </c>
      <c r="AK53" s="14">
        <f t="shared" si="35"/>
        <v>47.972580210954611</v>
      </c>
      <c r="AL53" s="22">
        <f t="shared" si="4"/>
        <v>417.87909386741279</v>
      </c>
      <c r="AM53" s="62">
        <f t="shared" si="5"/>
        <v>711.21242720074611</v>
      </c>
      <c r="AN53" s="62">
        <f ca="1">AVERAGE(OFFSET($AM$3,0,0,'Données projet'!$E$10+1,1))-AVERAGE(OFFSET($H$3,0,0,'Données projet'!$E$10+1,1))</f>
        <v>318.69447733545013</v>
      </c>
      <c r="AO53" s="62">
        <f t="shared" si="36"/>
        <v>186.33351136372443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25</v>
      </c>
      <c r="AR53" s="17">
        <f>IF(ISNA(VLOOKUP(A53,'Données projet'!$A$61:$I$81,5,0)),0%,VLOOKUP(A53,'Données projet'!$A$61:$I$81,5,0)*VLOOKUP('Données projet'!$B$10,Paramètres!$A$1:$I$89,7,0))</f>
        <v>4.5000000000000005E-2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0.3</v>
      </c>
      <c r="AU53" s="23">
        <f>EXP(-LN(2)/35)*AU52+(1-EXP(-LN(2)/35))/(LN(2)/35)*AQ53*AR53*VLOOKUP('Données projet'!$B$10,Paramètres!$A$1:$I$89,3,0)*0.475*44/12</f>
        <v>1.3440676497226758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5.2359764366095662</v>
      </c>
      <c r="AX53" s="23">
        <f t="shared" si="6"/>
        <v>6.5800440863322418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121</v>
      </c>
      <c r="BB53" s="13">
        <f>VLOOKUP(A53,'Données projet'!$A$87:$I$107,9,0)</f>
        <v>5.6</v>
      </c>
      <c r="BC53" s="13">
        <f t="array" ref="BC53">INDEX(BB:BB,MIN(IF(ISNUMBER(BB53:BB249),ROW(BB53:BB249),"")))</f>
        <v>5.6</v>
      </c>
      <c r="BD53" s="13">
        <f>IF('Données projet'!$A$88&gt;35,BD52+BC53-BL52,IF(A53&lt;'Données projet'!$A$88,$BA$205^A53,IF(A53='Données projet'!$A$88,'Données projet'!$B$88,BD52+BC53-BL52)))</f>
        <v>120.99999999999996</v>
      </c>
      <c r="BE53" s="14">
        <f>BD53*VLOOKUP('Données projet'!$B$11,Paramètres!$A$1:$I$89,3,0)*VLOOKUP('Données projet'!$B$11,Paramètres!$A$1:$I$89,5,0)</f>
        <v>122.69399999999997</v>
      </c>
      <c r="BF53" s="14">
        <f t="shared" si="37"/>
        <v>32.302516360650685</v>
      </c>
      <c r="BG53" s="22">
        <f t="shared" si="7"/>
        <v>269.95226599479992</v>
      </c>
      <c r="BH53" s="62">
        <f t="shared" si="8"/>
        <v>563.28559932813323</v>
      </c>
      <c r="BI53" s="62">
        <f ca="1">AVERAGE(OFFSET($BH$3,0,0,'Données projet'!$E$11+1,1))-AVERAGE(OFFSET($H$3,0,0,'Données projet'!$E$11+1,1))</f>
        <v>238.29088076221427</v>
      </c>
      <c r="BJ53" s="62">
        <f t="shared" si="38"/>
        <v>102.64102748467457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14</v>
      </c>
      <c r="BM53" s="17">
        <f>IF(ISNA(VLOOKUP(A53,'Données projet'!$A$87:$I$107,5,0)),0%,VLOOKUP(A53,'Données projet'!$A$87:$I$107,5,0)*VLOOKUP('Données projet'!$B$11,Paramètres!$A$1:$I$89,7,0))</f>
        <v>2.1500000000000002E-2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0.3374050364187699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0.3374050364187699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14.585999999999986</v>
      </c>
      <c r="D54" s="12">
        <f t="shared" si="32"/>
        <v>4.9204644605875423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150.57621688874585</v>
      </c>
      <c r="H54" s="70">
        <f t="shared" si="1"/>
        <v>327.30709226885659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10.7</v>
      </c>
      <c r="N54" s="14">
        <f>IF('Données projet'!$A$36&gt;35,N53+M54-V53,IF(A54&lt;'Données projet'!$A$36,$K$205^A54,IF(A54='Données projet'!$A$36,'Données projet'!$B$36,N53+M54-V53)))</f>
        <v>203.70000000000022</v>
      </c>
      <c r="O54" s="14">
        <f>N54*VLOOKUP('Données projet'!$B$9,Paramètres!$A$1:$I$89,3,0)*VLOOKUP('Données projet'!$B$9,Paramètres!$A$1:$I$89,5,0)</f>
        <v>95.331600000000108</v>
      </c>
      <c r="P54" s="14">
        <f t="shared" si="33"/>
        <v>25.846739983373912</v>
      </c>
      <c r="Q54" s="22">
        <f t="shared" si="53"/>
        <v>211.05227547104309</v>
      </c>
      <c r="R54" s="62">
        <f t="shared" si="0"/>
        <v>504.38560880437637</v>
      </c>
      <c r="S54" s="62">
        <f ca="1">AVERAGE(OFFSET($R$3,0,0,'Données projet'!$E$9+1,1))-AVERAGE(OFFSET($H$3,0,0,'Données projet'!$E$9+1,1))</f>
        <v>188.51537094662768</v>
      </c>
      <c r="T54" s="62">
        <f t="shared" si="34"/>
        <v>181.95202230446716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6.115401291942522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6.115401291942522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8.3000000000000007</v>
      </c>
      <c r="AI54" s="14">
        <f>IF('Données projet'!$A$62&gt;35,AI53+AH54-AQ53,IF(A54&lt;'Données projet'!$A$62,$AF$205^A54,IF(A54='Données projet'!$A$62,'Données projet'!$B$62,AI53+AH54-AQ53)))</f>
        <v>304.30000000000013</v>
      </c>
      <c r="AJ54" s="14">
        <f>AI54*VLOOKUP('Données projet'!$B$10,Paramètres!$A$1:$I$89,3,0)*VLOOKUP('Données projet'!$B$10,Paramètres!$A$1:$I$89,5,0)</f>
        <v>181.9714000000001</v>
      </c>
      <c r="AK54" s="14">
        <f t="shared" si="35"/>
        <v>45.760507906331149</v>
      </c>
      <c r="AL54" s="22">
        <f t="shared" si="4"/>
        <v>396.63307293686029</v>
      </c>
      <c r="AM54" s="62">
        <f t="shared" si="5"/>
        <v>689.9664062701936</v>
      </c>
      <c r="AN54" s="62">
        <f ca="1">AVERAGE(OFFSET($AM$3,0,0,'Données projet'!$E$10+1,1))-AVERAGE(OFFSET($H$3,0,0,'Données projet'!$E$10+1,1))</f>
        <v>318.69447733545013</v>
      </c>
      <c r="AO54" s="62">
        <f t="shared" si="36"/>
        <v>186.33351136372443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1.3177113029119318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3.7023944444595998</v>
      </c>
      <c r="AX54" s="23">
        <f t="shared" si="6"/>
        <v>5.0201057473715318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</v>
      </c>
      <c r="BD54" s="13">
        <f>IF('Données projet'!$A$88&gt;35,BD53+BC54-BL53,IF(A54&lt;'Données projet'!$A$88,$BA$205^A54,IF(A54='Données projet'!$A$88,'Données projet'!$B$88,BD53+BC54-BL53)))</f>
        <v>112.59999999999995</v>
      </c>
      <c r="BE54" s="14">
        <f>BD54*VLOOKUP('Données projet'!$B$11,Paramètres!$A$1:$I$89,3,0)*VLOOKUP('Données projet'!$B$11,Paramètres!$A$1:$I$89,5,0)</f>
        <v>114.17639999999996</v>
      </c>
      <c r="BF54" s="14">
        <f t="shared" si="37"/>
        <v>30.312832781759997</v>
      </c>
      <c r="BG54" s="22">
        <f t="shared" si="7"/>
        <v>251.65208042823193</v>
      </c>
      <c r="BH54" s="62">
        <f t="shared" si="8"/>
        <v>544.98541376156527</v>
      </c>
      <c r="BI54" s="62">
        <f ca="1">AVERAGE(OFFSET($BH$3,0,0,'Données projet'!$E$11+1,1))-AVERAGE(OFFSET($H$3,0,0,'Données projet'!$E$11+1,1))</f>
        <v>238.29088076221427</v>
      </c>
      <c r="BJ54" s="62">
        <f t="shared" si="38"/>
        <v>102.64102748467457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0.33078872945134929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0.33078872945134929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14.871999999999986</v>
      </c>
      <c r="D55" s="12">
        <f t="shared" si="32"/>
        <v>5.0056173372676938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153.44125663855752</v>
      </c>
      <c r="H55" s="70">
        <f t="shared" si="1"/>
        <v>327.95351686240787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10.7</v>
      </c>
      <c r="N55" s="14">
        <f>IF('Données projet'!$A$36&gt;35,N54+M55-V54,IF(A55&lt;'Données projet'!$A$36,$K$205^A55,IF(A55='Données projet'!$A$36,'Données projet'!$B$36,N54+M55-V54)))</f>
        <v>214.4000000000002</v>
      </c>
      <c r="O55" s="14">
        <f>N55*VLOOKUP('Données projet'!$B$9,Paramètres!$A$1:$I$89,3,0)*VLOOKUP('Données projet'!$B$9,Paramètres!$A$1:$I$89,5,0)</f>
        <v>100.33920000000009</v>
      </c>
      <c r="P55" s="14">
        <f t="shared" si="33"/>
        <v>27.042791337995531</v>
      </c>
      <c r="Q55" s="22">
        <f t="shared" si="53"/>
        <v>221.85696824700904</v>
      </c>
      <c r="R55" s="62">
        <f t="shared" si="0"/>
        <v>515.19030158034229</v>
      </c>
      <c r="S55" s="62">
        <f ca="1">AVERAGE(OFFSET($R$3,0,0,'Données projet'!$E$9+1,1))-AVERAGE(OFFSET($H$3,0,0,'Données projet'!$E$9+1,1))</f>
        <v>188.51537094662768</v>
      </c>
      <c r="T55" s="62">
        <f t="shared" si="34"/>
        <v>181.95202230446716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5.9954820026340077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5.9954820026340077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8.3000000000000007</v>
      </c>
      <c r="AI55" s="14">
        <f>IF('Données projet'!$A$62&gt;35,AI54+AH55-AQ54,IF(A55&lt;'Données projet'!$A$62,$AF$205^A55,IF(A55='Données projet'!$A$62,'Données projet'!$B$62,AI54+AH55-AQ54)))</f>
        <v>312.60000000000014</v>
      </c>
      <c r="AJ55" s="14">
        <f>AI55*VLOOKUP('Données projet'!$B$10,Paramètres!$A$1:$I$89,3,0)*VLOOKUP('Données projet'!$B$10,Paramètres!$A$1:$I$89,5,0)</f>
        <v>186.93480000000011</v>
      </c>
      <c r="AK55" s="14">
        <f t="shared" si="35"/>
        <v>46.861640519348171</v>
      </c>
      <c r="AL55" s="22">
        <f t="shared" si="4"/>
        <v>407.19546723786488</v>
      </c>
      <c r="AM55" s="62">
        <f t="shared" si="5"/>
        <v>700.52880057119819</v>
      </c>
      <c r="AN55" s="62">
        <f ca="1">AVERAGE(OFFSET($AM$3,0,0,'Données projet'!$E$10+1,1))-AVERAGE(OFFSET($H$3,0,0,'Données projet'!$E$10+1,1))</f>
        <v>318.69447733545013</v>
      </c>
      <c r="AO55" s="62">
        <f t="shared" si="36"/>
        <v>186.33351136372443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1.2918717879863624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2.6179882183047836</v>
      </c>
      <c r="AX55" s="23">
        <f t="shared" si="6"/>
        <v>3.9098600062911459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</v>
      </c>
      <c r="BD55" s="13">
        <f>IF('Données projet'!$A$88&gt;35,BD54+BC55-BL54,IF(A55&lt;'Données projet'!$A$88,$BA$205^A55,IF(A55='Données projet'!$A$88,'Données projet'!$B$88,BD54+BC55-BL54)))</f>
        <v>118.19999999999995</v>
      </c>
      <c r="BE55" s="14">
        <f>BD55*VLOOKUP('Données projet'!$B$11,Paramètres!$A$1:$I$89,3,0)*VLOOKUP('Données projet'!$B$11,Paramètres!$A$1:$I$89,5,0)</f>
        <v>119.85479999999995</v>
      </c>
      <c r="BF55" s="14">
        <f t="shared" si="37"/>
        <v>31.641131392625841</v>
      </c>
      <c r="BG55" s="22">
        <f t="shared" si="7"/>
        <v>263.85541384215657</v>
      </c>
      <c r="BH55" s="62">
        <f t="shared" si="8"/>
        <v>557.18874717548988</v>
      </c>
      <c r="BI55" s="62">
        <f ca="1">AVERAGE(OFFSET($BH$3,0,0,'Données projet'!$E$11+1,1))-AVERAGE(OFFSET($H$3,0,0,'Données projet'!$E$11+1,1))</f>
        <v>238.29088076221427</v>
      </c>
      <c r="BJ55" s="62">
        <f t="shared" si="38"/>
        <v>102.64102748467457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0.32430216422801106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0.32430216422801106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15.157999999999985</v>
      </c>
      <c r="D56" s="12">
        <f t="shared" si="32"/>
        <v>5.0905798032809688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156.30482655164246</v>
      </c>
      <c r="H56" s="70">
        <f t="shared" si="1"/>
        <v>328.59960982404766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10.7</v>
      </c>
      <c r="N56" s="14">
        <f>IF('Données projet'!$A$36&gt;35,N55+M56-V55,IF(A56&lt;'Données projet'!$A$36,$K$205^A56,IF(A56='Données projet'!$A$36,'Données projet'!$B$36,N55+M56-V55)))</f>
        <v>225.10000000000019</v>
      </c>
      <c r="O56" s="14">
        <f>N56*VLOOKUP('Données projet'!$B$9,Paramètres!$A$1:$I$89,3,0)*VLOOKUP('Données projet'!$B$9,Paramètres!$A$1:$I$89,5,0)</f>
        <v>105.3468000000001</v>
      </c>
      <c r="P56" s="14">
        <f t="shared" si="33"/>
        <v>28.231911765169116</v>
      </c>
      <c r="Q56" s="22">
        <f t="shared" si="53"/>
        <v>232.64958965766968</v>
      </c>
      <c r="R56" s="62">
        <f t="shared" si="0"/>
        <v>525.98292299100297</v>
      </c>
      <c r="S56" s="62">
        <f ca="1">AVERAGE(OFFSET($R$3,0,0,'Données projet'!$E$9+1,1))-AVERAGE(OFFSET($H$3,0,0,'Données projet'!$E$9+1,1))</f>
        <v>188.51537094662768</v>
      </c>
      <c r="T56" s="62">
        <f t="shared" si="34"/>
        <v>181.95202230446716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5.8779142574452896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5.8779142574452896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8.3000000000000007</v>
      </c>
      <c r="AI56" s="14">
        <f>IF('Données projet'!$A$62&gt;35,AI55+AH56-AQ55,IF(A56&lt;'Données projet'!$A$62,$AF$205^A56,IF(A56='Données projet'!$A$62,'Données projet'!$B$62,AI55+AH56-AQ55)))</f>
        <v>320.90000000000015</v>
      </c>
      <c r="AJ56" s="14">
        <f>AI56*VLOOKUP('Données projet'!$B$10,Paramètres!$A$1:$I$89,3,0)*VLOOKUP('Données projet'!$B$10,Paramètres!$A$1:$I$89,5,0)</f>
        <v>191.89820000000009</v>
      </c>
      <c r="AK56" s="14">
        <f t="shared" si="35"/>
        <v>47.95937480892843</v>
      </c>
      <c r="AL56" s="22">
        <f t="shared" si="4"/>
        <v>417.75194279221722</v>
      </c>
      <c r="AM56" s="62">
        <f t="shared" si="5"/>
        <v>711.08527612555054</v>
      </c>
      <c r="AN56" s="62">
        <f ca="1">AVERAGE(OFFSET($AM$3,0,0,'Données projet'!$E$10+1,1))-AVERAGE(OFFSET($H$3,0,0,'Données projet'!$E$10+1,1))</f>
        <v>318.69447733545013</v>
      </c>
      <c r="AO56" s="62">
        <f t="shared" si="36"/>
        <v>186.33351136372443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1.2665389701879355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1.8511972222298001</v>
      </c>
      <c r="AX56" s="23">
        <f t="shared" si="6"/>
        <v>3.1177361924177358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</v>
      </c>
      <c r="BD56" s="13">
        <f>IF('Données projet'!$A$88&gt;35,BD55+BC56-BL55,IF(A56&lt;'Données projet'!$A$88,$BA$205^A56,IF(A56='Données projet'!$A$88,'Données projet'!$B$88,BD55+BC56-BL55)))</f>
        <v>123.79999999999994</v>
      </c>
      <c r="BE56" s="14">
        <f>BD56*VLOOKUP('Données projet'!$B$11,Paramètres!$A$1:$I$89,3,0)*VLOOKUP('Données projet'!$B$11,Paramètres!$A$1:$I$89,5,0)</f>
        <v>125.53319999999997</v>
      </c>
      <c r="BF56" s="14">
        <f t="shared" si="37"/>
        <v>32.962122082003134</v>
      </c>
      <c r="BG56" s="22">
        <f t="shared" si="7"/>
        <v>276.046019292822</v>
      </c>
      <c r="BH56" s="62">
        <f t="shared" si="8"/>
        <v>569.37935262615531</v>
      </c>
      <c r="BI56" s="62">
        <f ca="1">AVERAGE(OFFSET($BH$3,0,0,'Données projet'!$E$11+1,1))-AVERAGE(OFFSET($H$3,0,0,'Données projet'!$E$11+1,1))</f>
        <v>238.29088076221427</v>
      </c>
      <c r="BJ56" s="62">
        <f t="shared" si="38"/>
        <v>102.64102748467457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0.31794279659228836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0.31794279659228836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15.443999999999985</v>
      </c>
      <c r="D57" s="12">
        <f t="shared" si="32"/>
        <v>5.1753558655448373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159.16695755859163</v>
      </c>
      <c r="H57" s="70">
        <f t="shared" si="1"/>
        <v>329.24537813249054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10.7</v>
      </c>
      <c r="N57" s="14">
        <f>IF('Données projet'!$A$36&gt;35,N56+M57-V56,IF(A57&lt;'Données projet'!$A$36,$K$205^A57,IF(A57='Données projet'!$A$36,'Données projet'!$B$36,N56+M57-V56)))</f>
        <v>235.80000000000018</v>
      </c>
      <c r="O57" s="14">
        <f>N57*VLOOKUP('Données projet'!$B$9,Paramètres!$A$1:$I$89,3,0)*VLOOKUP('Données projet'!$B$9,Paramètres!$A$1:$I$89,5,0)</f>
        <v>110.35440000000008</v>
      </c>
      <c r="P57" s="14">
        <f t="shared" si="33"/>
        <v>29.414468338558777</v>
      </c>
      <c r="Q57" s="22">
        <f t="shared" si="53"/>
        <v>243.43077902299001</v>
      </c>
      <c r="R57" s="62">
        <f t="shared" si="0"/>
        <v>536.76411235632327</v>
      </c>
      <c r="S57" s="62">
        <f ca="1">AVERAGE(OFFSET($R$3,0,0,'Données projet'!$E$9+1,1))-AVERAGE(OFFSET($H$3,0,0,'Données projet'!$E$9+1,1))</f>
        <v>188.51537094662768</v>
      </c>
      <c r="T57" s="62">
        <f t="shared" si="34"/>
        <v>181.95202230446716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5.7626519440304778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5.7626519440304778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8.3000000000000007</v>
      </c>
      <c r="AI57" s="14">
        <f>IF('Données projet'!$A$62&gt;35,AI56+AH57-AQ56,IF(A57&lt;'Données projet'!$A$62,$AF$205^A57,IF(A57='Données projet'!$A$62,'Données projet'!$B$62,AI56+AH57-AQ56)))</f>
        <v>329.20000000000016</v>
      </c>
      <c r="AJ57" s="14">
        <f>AI57*VLOOKUP('Données projet'!$B$10,Paramètres!$A$1:$I$89,3,0)*VLOOKUP('Données projet'!$B$10,Paramètres!$A$1:$I$89,5,0)</f>
        <v>196.8616000000001</v>
      </c>
      <c r="AK57" s="14">
        <f t="shared" si="35"/>
        <v>49.053808777612403</v>
      </c>
      <c r="AL57" s="22">
        <f t="shared" si="4"/>
        <v>428.30267028767508</v>
      </c>
      <c r="AM57" s="62">
        <f t="shared" si="5"/>
        <v>721.6360036210084</v>
      </c>
      <c r="AN57" s="62">
        <f ca="1">AVERAGE(OFFSET($AM$3,0,0,'Données projet'!$E$10+1,1))-AVERAGE(OFFSET($H$3,0,0,'Données projet'!$E$10+1,1))</f>
        <v>318.69447733545013</v>
      </c>
      <c r="AO57" s="62">
        <f t="shared" si="36"/>
        <v>186.33351136372443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1.2417029134950426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1.308994109152392</v>
      </c>
      <c r="AX57" s="23">
        <f t="shared" si="6"/>
        <v>2.5506970226474346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</v>
      </c>
      <c r="BD57" s="13">
        <f>IF('Données projet'!$A$88&gt;35,BD56+BC57-BL56,IF(A57&lt;'Données projet'!$A$88,$BA$205^A57,IF(A57='Données projet'!$A$88,'Données projet'!$B$88,BD56+BC57-BL56)))</f>
        <v>129.39999999999995</v>
      </c>
      <c r="BE57" s="14">
        <f>BD57*VLOOKUP('Données projet'!$B$11,Paramètres!$A$1:$I$89,3,0)*VLOOKUP('Données projet'!$B$11,Paramètres!$A$1:$I$89,5,0)</f>
        <v>131.21159999999995</v>
      </c>
      <c r="BF57" s="14">
        <f t="shared" si="37"/>
        <v>34.276173183172517</v>
      </c>
      <c r="BG57" s="22">
        <f t="shared" si="7"/>
        <v>288.22453829402536</v>
      </c>
      <c r="BH57" s="62">
        <f t="shared" si="8"/>
        <v>581.55787162735874</v>
      </c>
      <c r="BI57" s="62">
        <f ca="1">AVERAGE(OFFSET($BH$3,0,0,'Données projet'!$E$11+1,1))-AVERAGE(OFFSET($H$3,0,0,'Données projet'!$E$11+1,1))</f>
        <v>238.29088076221427</v>
      </c>
      <c r="BJ57" s="62">
        <f t="shared" si="38"/>
        <v>102.64102748467457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0.31170813227707089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0.31170813227707089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15.729999999999984</v>
      </c>
      <c r="D58" s="12">
        <f t="shared" si="32"/>
        <v>5.2599493740775545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162.02767937884417</v>
      </c>
      <c r="H58" s="70">
        <f t="shared" si="1"/>
        <v>329.89082849318504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10.7</v>
      </c>
      <c r="N58" s="14">
        <f>IF('Données projet'!$A$36&gt;35,N57+M58-V57,IF(A58&lt;'Données projet'!$A$36,$K$205^A58,IF(A58='Données projet'!$A$36,'Données projet'!$B$36,N57+M58-V57)))</f>
        <v>246.50000000000017</v>
      </c>
      <c r="O58" s="14">
        <f>N58*VLOOKUP('Données projet'!$B$9,Paramètres!$A$1:$I$89,3,0)*VLOOKUP('Données projet'!$B$9,Paramètres!$A$1:$I$89,5,0)</f>
        <v>115.36200000000007</v>
      </c>
      <c r="P58" s="14">
        <f t="shared" si="33"/>
        <v>30.590792934974772</v>
      </c>
      <c r="Q58" s="22">
        <f t="shared" si="53"/>
        <v>254.20111436174784</v>
      </c>
      <c r="R58" s="62">
        <f t="shared" si="0"/>
        <v>547.5344476950811</v>
      </c>
      <c r="S58" s="62">
        <f ca="1">AVERAGE(OFFSET($R$3,0,0,'Données projet'!$E$9+1,1))-AVERAGE(OFFSET($H$3,0,0,'Données projet'!$E$9+1,1))</f>
        <v>188.51537094662768</v>
      </c>
      <c r="T58" s="62">
        <f t="shared" si="34"/>
        <v>181.95202230446716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5.6496498542786613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5.6496498542786613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8.3000000000000007</v>
      </c>
      <c r="AI58" s="14">
        <f>IF('Données projet'!$A$62&gt;35,AI57+AH58-AQ57,IF(A58&lt;'Données projet'!$A$62,$AF$205^A58,IF(A58='Données projet'!$A$62,'Données projet'!$B$62,AI57+AH58-AQ57)))</f>
        <v>337.50000000000017</v>
      </c>
      <c r="AJ58" s="14">
        <f>AI58*VLOOKUP('Données projet'!$B$10,Paramètres!$A$1:$I$89,3,0)*VLOOKUP('Données projet'!$B$10,Paramètres!$A$1:$I$89,5,0)</f>
        <v>201.82500000000013</v>
      </c>
      <c r="AK58" s="14">
        <f t="shared" si="35"/>
        <v>50.145035204519765</v>
      </c>
      <c r="AL58" s="22">
        <f t="shared" si="4"/>
        <v>438.84781131453877</v>
      </c>
      <c r="AM58" s="62">
        <f t="shared" si="5"/>
        <v>732.18114464787209</v>
      </c>
      <c r="AN58" s="62">
        <f ca="1">AVERAGE(OFFSET($AM$3,0,0,'Données projet'!$E$10+1,1))-AVERAGE(OFFSET($H$3,0,0,'Données projet'!$E$10+1,1))</f>
        <v>318.69447733545013</v>
      </c>
      <c r="AO58" s="62">
        <f t="shared" si="36"/>
        <v>186.33351136372443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1.2173538767253986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0.92559861111490027</v>
      </c>
      <c r="AX58" s="23">
        <f t="shared" si="6"/>
        <v>2.142952487840299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135</v>
      </c>
      <c r="BB58" s="13">
        <f>VLOOKUP(A58,'Données projet'!$A$87:$I$107,9,0)</f>
        <v>5.6</v>
      </c>
      <c r="BC58" s="13">
        <f t="array" ref="BC58">INDEX(BB:BB,MIN(IF(ISNUMBER(BB58:BB254),ROW(BB58:BB254),"")))</f>
        <v>5.6</v>
      </c>
      <c r="BD58" s="13">
        <f>IF('Données projet'!$A$88&gt;35,BD57+BC58-BL57,IF(A58&lt;'Données projet'!$A$88,$BA$205^A58,IF(A58='Données projet'!$A$88,'Données projet'!$B$88,BD57+BC58-BL57)))</f>
        <v>134.99999999999994</v>
      </c>
      <c r="BE58" s="14">
        <f>BD58*VLOOKUP('Données projet'!$B$11,Paramètres!$A$1:$I$89,3,0)*VLOOKUP('Données projet'!$B$11,Paramètres!$A$1:$I$89,5,0)</f>
        <v>136.88999999999996</v>
      </c>
      <c r="BF58" s="14">
        <f t="shared" si="37"/>
        <v>35.583619346017713</v>
      </c>
      <c r="BG58" s="22">
        <f t="shared" si="7"/>
        <v>300.3915536943141</v>
      </c>
      <c r="BH58" s="62">
        <f t="shared" si="8"/>
        <v>593.72488702764736</v>
      </c>
      <c r="BI58" s="62">
        <f ca="1">AVERAGE(OFFSET($BH$3,0,0,'Données projet'!$E$11+1,1))-AVERAGE(OFFSET($H$3,0,0,'Données projet'!$E$11+1,1))</f>
        <v>238.29088076221427</v>
      </c>
      <c r="BJ58" s="62">
        <f t="shared" si="38"/>
        <v>102.64102748467457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14</v>
      </c>
      <c r="BM58" s="17">
        <f>IF(ISNA(VLOOKUP(A58,'Données projet'!$A$87:$I$107,5,0)),0%,VLOOKUP(A58,'Données projet'!$A$87:$I$107,5,0)*VLOOKUP('Données projet'!$B$11,Paramètres!$A$1:$I$89,7,0))</f>
        <v>2.1500000000000002E-2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0.64300076234507508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0.64300076234507508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16.015999999999984</v>
      </c>
      <c r="D59" s="12">
        <f t="shared" si="32"/>
        <v>5.3443640308809153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164.88702058925608</v>
      </c>
      <c r="H59" s="70">
        <f t="shared" si="1"/>
        <v>330.5359673537842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10.7</v>
      </c>
      <c r="N59" s="14">
        <f>IF('Données projet'!$A$36&gt;35,N58+M59-V58,IF(A59&lt;'Données projet'!$A$36,$K$205^A59,IF(A59='Données projet'!$A$36,'Données projet'!$B$36,N58+M59-V58)))</f>
        <v>257.20000000000016</v>
      </c>
      <c r="O59" s="14">
        <f>N59*VLOOKUP('Données projet'!$B$9,Paramètres!$A$1:$I$89,3,0)*VLOOKUP('Données projet'!$B$9,Paramètres!$A$1:$I$89,5,0)</f>
        <v>120.36960000000008</v>
      </c>
      <c r="P59" s="14">
        <f t="shared" si="33"/>
        <v>31.761186989855986</v>
      </c>
      <c r="Q59" s="22">
        <f t="shared" si="53"/>
        <v>264.96112067399929</v>
      </c>
      <c r="R59" s="62">
        <f t="shared" si="0"/>
        <v>558.29445400733266</v>
      </c>
      <c r="S59" s="62">
        <f ca="1">AVERAGE(OFFSET($R$3,0,0,'Données projet'!$E$9+1,1))-AVERAGE(OFFSET($H$3,0,0,'Données projet'!$E$9+1,1))</f>
        <v>188.51537094662768</v>
      </c>
      <c r="T59" s="62">
        <f t="shared" si="34"/>
        <v>181.95202230446716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5.5388636665824089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5.5388636665824089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8.3000000000000007</v>
      </c>
      <c r="AI59" s="14">
        <f>IF('Données projet'!$A$62&gt;35,AI58+AH59-AQ58,IF(A59&lt;'Données projet'!$A$62,$AF$205^A59,IF(A59='Données projet'!$A$62,'Données projet'!$B$62,AI58+AH59-AQ58)))</f>
        <v>345.80000000000018</v>
      </c>
      <c r="AJ59" s="14">
        <f>AI59*VLOOKUP('Données projet'!$B$10,Paramètres!$A$1:$I$89,3,0)*VLOOKUP('Données projet'!$B$10,Paramètres!$A$1:$I$89,5,0)</f>
        <v>206.78840000000014</v>
      </c>
      <c r="AK59" s="14">
        <f t="shared" si="35"/>
        <v>51.233142045264508</v>
      </c>
      <c r="AL59" s="22">
        <f t="shared" si="4"/>
        <v>449.38751906216925</v>
      </c>
      <c r="AM59" s="62">
        <f t="shared" si="5"/>
        <v>742.72085239550256</v>
      </c>
      <c r="AN59" s="62">
        <f ca="1">AVERAGE(OFFSET($AM$3,0,0,'Données projet'!$E$10+1,1))-AVERAGE(OFFSET($H$3,0,0,'Données projet'!$E$10+1,1))</f>
        <v>318.69447733545013</v>
      </c>
      <c r="AO59" s="62">
        <f t="shared" si="36"/>
        <v>186.33351136372443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1.1934823097153613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0.65449705457619611</v>
      </c>
      <c r="AX59" s="23">
        <f t="shared" si="6"/>
        <v>1.8479793642915574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5.4</v>
      </c>
      <c r="BD59" s="13">
        <f>IF('Données projet'!$A$88&gt;35,BD58+BC59-BL58,IF(A59&lt;'Données projet'!$A$88,$BA$205^A59,IF(A59='Données projet'!$A$88,'Données projet'!$B$88,BD58+BC59-BL58)))</f>
        <v>126.39999999999995</v>
      </c>
      <c r="BE59" s="14">
        <f>BD59*VLOOKUP('Données projet'!$B$11,Paramètres!$A$1:$I$89,3,0)*VLOOKUP('Données projet'!$B$11,Paramètres!$A$1:$I$89,5,0)</f>
        <v>128.16959999999995</v>
      </c>
      <c r="BF59" s="14">
        <f t="shared" si="37"/>
        <v>33.573059214253476</v>
      </c>
      <c r="BG59" s="22">
        <f t="shared" si="7"/>
        <v>281.70179813149139</v>
      </c>
      <c r="BH59" s="62">
        <f t="shared" si="8"/>
        <v>575.03513146482464</v>
      </c>
      <c r="BI59" s="62">
        <f ca="1">AVERAGE(OFFSET($BH$3,0,0,'Données projet'!$E$11+1,1))-AVERAGE(OFFSET($H$3,0,0,'Données projet'!$E$11+1,1))</f>
        <v>238.29088076221427</v>
      </c>
      <c r="BJ59" s="62">
        <f t="shared" si="38"/>
        <v>102.64102748467457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0.63039190958722746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0.63039190958722746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16.301999999999985</v>
      </c>
      <c r="D60" s="12">
        <f t="shared" si="32"/>
        <v>5.4286033981705595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167.74500868763229</v>
      </c>
      <c r="H60" s="70">
        <f t="shared" si="1"/>
        <v>331.18080091848037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10.7</v>
      </c>
      <c r="N60" s="14">
        <f>IF('Données projet'!$A$36&gt;35,N59+M60-V59,IF(A60&lt;'Données projet'!$A$36,$K$205^A60,IF(A60='Données projet'!$A$36,'Données projet'!$B$36,N59+M60-V59)))</f>
        <v>267.90000000000015</v>
      </c>
      <c r="O60" s="14">
        <f>N60*VLOOKUP('Données projet'!$B$9,Paramètres!$A$1:$I$89,3,0)*VLOOKUP('Données projet'!$B$9,Paramètres!$A$1:$I$89,5,0)</f>
        <v>125.37720000000006</v>
      </c>
      <c r="P60" s="14">
        <f t="shared" si="33"/>
        <v>32.925925439106848</v>
      </c>
      <c r="Q60" s="22">
        <f t="shared" si="53"/>
        <v>275.71127680644457</v>
      </c>
      <c r="R60" s="62">
        <f t="shared" si="0"/>
        <v>569.04461013977789</v>
      </c>
      <c r="S60" s="62">
        <f ca="1">AVERAGE(OFFSET($R$3,0,0,'Données projet'!$E$9+1,1))-AVERAGE(OFFSET($H$3,0,0,'Données projet'!$E$9+1,1))</f>
        <v>188.51537094662768</v>
      </c>
      <c r="T60" s="62">
        <f t="shared" si="34"/>
        <v>181.95202230446716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5.4302499284539776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5.4302499284539776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8.3000000000000007</v>
      </c>
      <c r="AI60" s="14">
        <f>IF('Données projet'!$A$62&gt;35,AI59+AH60-AQ59,IF(A60&lt;'Données projet'!$A$62,$AF$205^A60,IF(A60='Données projet'!$A$62,'Données projet'!$B$62,AI59+AH60-AQ59)))</f>
        <v>354.10000000000019</v>
      </c>
      <c r="AJ60" s="14">
        <f>AI60*VLOOKUP('Données projet'!$B$10,Paramètres!$A$1:$I$89,3,0)*VLOOKUP('Données projet'!$B$10,Paramètres!$A$1:$I$89,5,0)</f>
        <v>211.75180000000015</v>
      </c>
      <c r="AK60" s="14">
        <f t="shared" si="35"/>
        <v>52.318212792392849</v>
      </c>
      <c r="AL60" s="22">
        <f t="shared" si="4"/>
        <v>459.92193894675114</v>
      </c>
      <c r="AM60" s="62">
        <f t="shared" si="5"/>
        <v>753.25527228008445</v>
      </c>
      <c r="AN60" s="62">
        <f ca="1">AVERAGE(OFFSET($AM$3,0,0,'Données projet'!$E$10+1,1))-AVERAGE(OFFSET($H$3,0,0,'Données projet'!$E$10+1,1))</f>
        <v>318.69447733545013</v>
      </c>
      <c r="AO60" s="62">
        <f t="shared" si="36"/>
        <v>186.33351136372443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1.1700788495741727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0.46279930555745019</v>
      </c>
      <c r="AX60" s="23">
        <f t="shared" si="6"/>
        <v>1.6328781551316229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5.4</v>
      </c>
      <c r="BD60" s="13">
        <f>IF('Données projet'!$A$88&gt;35,BD59+BC60-BL59,IF(A60&lt;'Données projet'!$A$88,$BA$205^A60,IF(A60='Données projet'!$A$88,'Données projet'!$B$88,BD59+BC60-BL59)))</f>
        <v>131.79999999999995</v>
      </c>
      <c r="BE60" s="14">
        <f>BD60*VLOOKUP('Données projet'!$B$11,Paramètres!$A$1:$I$89,3,0)*VLOOKUP('Données projet'!$B$11,Paramètres!$A$1:$I$89,5,0)</f>
        <v>133.64519999999996</v>
      </c>
      <c r="BF60" s="14">
        <f t="shared" si="37"/>
        <v>34.837297589797373</v>
      </c>
      <c r="BG60" s="22">
        <f t="shared" si="7"/>
        <v>293.44034996889701</v>
      </c>
      <c r="BH60" s="62">
        <f t="shared" si="8"/>
        <v>586.77368330223032</v>
      </c>
      <c r="BI60" s="62">
        <f ca="1">AVERAGE(OFFSET($BH$3,0,0,'Données projet'!$E$11+1,1))-AVERAGE(OFFSET($H$3,0,0,'Données projet'!$E$11+1,1))</f>
        <v>238.29088076221427</v>
      </c>
      <c r="BJ60" s="62">
        <f t="shared" si="38"/>
        <v>102.64102748467457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0.61803030874132048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0.61803030874132048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16.587999999999987</v>
      </c>
      <c r="D61" s="12">
        <f t="shared" si="32"/>
        <v>5.5126709060123593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170.60167015167426</v>
      </c>
      <c r="H61" s="70">
        <f t="shared" si="1"/>
        <v>331.82533516130479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10.7</v>
      </c>
      <c r="N61" s="14">
        <f>IF('Données projet'!$A$36&gt;35,N60+M61-V60,IF(A61&lt;'Données projet'!$A$36,$K$205^A61,IF(A61='Données projet'!$A$36,'Données projet'!$B$36,N60+M61-V60)))</f>
        <v>278.60000000000014</v>
      </c>
      <c r="O61" s="14">
        <f>N61*VLOOKUP('Données projet'!$B$9,Paramètres!$A$1:$I$89,3,0)*VLOOKUP('Données projet'!$B$9,Paramètres!$A$1:$I$89,5,0)</f>
        <v>130.38480000000007</v>
      </c>
      <c r="P61" s="14">
        <f t="shared" si="33"/>
        <v>34.085260013456015</v>
      </c>
      <c r="Q61" s="22">
        <f t="shared" si="53"/>
        <v>286.45202119010264</v>
      </c>
      <c r="R61" s="62">
        <f t="shared" si="0"/>
        <v>579.7853545234359</v>
      </c>
      <c r="S61" s="62">
        <f ca="1">AVERAGE(OFFSET($R$3,0,0,'Données projet'!$E$9+1,1))-AVERAGE(OFFSET($H$3,0,0,'Données projet'!$E$9+1,1))</f>
        <v>188.51537094662768</v>
      </c>
      <c r="T61" s="62">
        <f t="shared" si="34"/>
        <v>181.95202230446716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5.3237660394824058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5.3237660394824058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8.3000000000000007</v>
      </c>
      <c r="AI61" s="14">
        <f>IF('Données projet'!$A$62&gt;35,AI60+AH61-AQ60,IF(A61&lt;'Données projet'!$A$62,$AF$205^A61,IF(A61='Données projet'!$A$62,'Données projet'!$B$62,AI60+AH61-AQ60)))</f>
        <v>362.4000000000002</v>
      </c>
      <c r="AJ61" s="14">
        <f>AI61*VLOOKUP('Données projet'!$B$10,Paramètres!$A$1:$I$89,3,0)*VLOOKUP('Données projet'!$B$10,Paramètres!$A$1:$I$89,5,0)</f>
        <v>216.71520000000012</v>
      </c>
      <c r="AK61" s="14">
        <f t="shared" si="35"/>
        <v>53.400326801074698</v>
      </c>
      <c r="AL61" s="22">
        <f t="shared" si="4"/>
        <v>470.45120917853865</v>
      </c>
      <c r="AM61" s="62">
        <f t="shared" si="5"/>
        <v>763.7845425118719</v>
      </c>
      <c r="AN61" s="62">
        <f ca="1">AVERAGE(OFFSET($AM$3,0,0,'Données projet'!$E$10+1,1))-AVERAGE(OFFSET($H$3,0,0,'Données projet'!$E$10+1,1))</f>
        <v>318.69447733545013</v>
      </c>
      <c r="AO61" s="62">
        <f t="shared" si="36"/>
        <v>186.33351136372443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1.1471343170116517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0.32724852728809811</v>
      </c>
      <c r="AX61" s="23">
        <f t="shared" si="6"/>
        <v>1.4743828442997498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5.4</v>
      </c>
      <c r="BD61" s="13">
        <f>IF('Données projet'!$A$88&gt;35,BD60+BC61-BL60,IF(A61&lt;'Données projet'!$A$88,$BA$205^A61,IF(A61='Données projet'!$A$88,'Données projet'!$B$88,BD60+BC61-BL60)))</f>
        <v>137.19999999999996</v>
      </c>
      <c r="BE61" s="14">
        <f>BD61*VLOOKUP('Données projet'!$B$11,Paramètres!$A$1:$I$89,3,0)*VLOOKUP('Données projet'!$B$11,Paramètres!$A$1:$I$89,5,0)</f>
        <v>139.12079999999997</v>
      </c>
      <c r="BF61" s="14">
        <f t="shared" si="37"/>
        <v>36.095519333110218</v>
      </c>
      <c r="BG61" s="22">
        <f t="shared" si="7"/>
        <v>305.16842283850025</v>
      </c>
      <c r="BH61" s="62">
        <f t="shared" si="8"/>
        <v>598.50175617183356</v>
      </c>
      <c r="BI61" s="62">
        <f ca="1">AVERAGE(OFFSET($BH$3,0,0,'Données projet'!$E$11+1,1))-AVERAGE(OFFSET($H$3,0,0,'Données projet'!$E$11+1,1))</f>
        <v>238.29088076221427</v>
      </c>
      <c r="BJ61" s="62">
        <f t="shared" si="38"/>
        <v>102.64102748467457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0.60591111134816966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0.60591111134816966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16.873999999999988</v>
      </c>
      <c r="D62" s="12">
        <f t="shared" si="32"/>
        <v>5.5965698594172402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173.45703049374706</v>
      </c>
      <c r="H62" s="70">
        <f t="shared" si="1"/>
        <v>332.46957583848496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10.7</v>
      </c>
      <c r="N62" s="14">
        <f>IF('Données projet'!$A$36&gt;35,N61+M62-V61,IF(A62&lt;'Données projet'!$A$36,$K$205^A62,IF(A62='Données projet'!$A$36,'Données projet'!$B$36,N61+M62-V61)))</f>
        <v>289.30000000000013</v>
      </c>
      <c r="O62" s="14">
        <f>N62*VLOOKUP('Données projet'!$B$9,Paramètres!$A$1:$I$89,3,0)*VLOOKUP('Données projet'!$B$9,Paramètres!$A$1:$I$89,5,0)</f>
        <v>135.39240000000007</v>
      </c>
      <c r="P62" s="14">
        <f t="shared" si="33"/>
        <v>35.239422012483274</v>
      </c>
      <c r="Q62" s="22">
        <f t="shared" si="53"/>
        <v>297.18375667174178</v>
      </c>
      <c r="R62" s="62">
        <f t="shared" si="0"/>
        <v>590.51709000507503</v>
      </c>
      <c r="S62" s="62">
        <f ca="1">AVERAGE(OFFSET($R$3,0,0,'Données projet'!$E$9+1,1))-AVERAGE(OFFSET($H$3,0,0,'Données projet'!$E$9+1,1))</f>
        <v>188.51537094662768</v>
      </c>
      <c r="T62" s="62">
        <f t="shared" si="34"/>
        <v>181.95202230446716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5.2193702346248081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5.2193702346248081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8.3000000000000007</v>
      </c>
      <c r="AI62" s="14">
        <f>IF('Données projet'!$A$62&gt;35,AI61+AH62-AQ61,IF(A62&lt;'Données projet'!$A$62,$AF$205^A62,IF(A62='Données projet'!$A$62,'Données projet'!$B$62,AI61+AH62-AQ61)))</f>
        <v>370.70000000000022</v>
      </c>
      <c r="AJ62" s="14">
        <f>AI62*VLOOKUP('Données projet'!$B$10,Paramètres!$A$1:$I$89,3,0)*VLOOKUP('Données projet'!$B$10,Paramètres!$A$1:$I$89,5,0)</f>
        <v>221.67860000000013</v>
      </c>
      <c r="AK62" s="14">
        <f t="shared" si="35"/>
        <v>54.479559584117418</v>
      </c>
      <c r="AL62" s="22">
        <f t="shared" si="4"/>
        <v>480.97546127567131</v>
      </c>
      <c r="AM62" s="62">
        <f t="shared" si="5"/>
        <v>774.30879460900462</v>
      </c>
      <c r="AN62" s="62">
        <f ca="1">AVERAGE(OFFSET($AM$3,0,0,'Données projet'!$E$10+1,1))-AVERAGE(OFFSET($H$3,0,0,'Données projet'!$E$10+1,1))</f>
        <v>318.69447733545013</v>
      </c>
      <c r="AO62" s="62">
        <f t="shared" si="36"/>
        <v>186.33351136372443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1.1246397127378986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0.23139965277872512</v>
      </c>
      <c r="AX62" s="23">
        <f t="shared" si="6"/>
        <v>1.3560393655166239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5.4</v>
      </c>
      <c r="BD62" s="13">
        <f>IF('Données projet'!$A$88&gt;35,BD61+BC62-BL61,IF(A62&lt;'Données projet'!$A$88,$BA$205^A62,IF(A62='Données projet'!$A$88,'Données projet'!$B$88,BD61+BC62-BL61)))</f>
        <v>142.59999999999997</v>
      </c>
      <c r="BE62" s="14">
        <f>BD62*VLOOKUP('Données projet'!$B$11,Paramètres!$A$1:$I$89,3,0)*VLOOKUP('Données projet'!$B$11,Paramètres!$A$1:$I$89,5,0)</f>
        <v>144.59639999999999</v>
      </c>
      <c r="BF62" s="14">
        <f t="shared" si="37"/>
        <v>37.347988348805522</v>
      </c>
      <c r="BG62" s="22">
        <f t="shared" si="7"/>
        <v>316.8864763741696</v>
      </c>
      <c r="BH62" s="62">
        <f t="shared" si="8"/>
        <v>610.21980970750292</v>
      </c>
      <c r="BI62" s="62">
        <f ca="1">AVERAGE(OFFSET($BH$3,0,0,'Données projet'!$E$11+1,1))-AVERAGE(OFFSET($H$3,0,0,'Données projet'!$E$11+1,1))</f>
        <v>238.29088076221427</v>
      </c>
      <c r="BJ62" s="62">
        <f t="shared" si="38"/>
        <v>102.64102748467457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0.59402956402391804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0.59402956402391804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17.159999999999989</v>
      </c>
      <c r="D63" s="12">
        <f t="shared" si="32"/>
        <v>5.6803034449413801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176.31111431182811</v>
      </c>
      <c r="H63" s="70">
        <f t="shared" si="1"/>
        <v>333.11352849993955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300</v>
      </c>
      <c r="L63" s="13">
        <f>VLOOKUP(A63,'Données projet'!$A$35:$I$55,9,0)</f>
        <v>10.7</v>
      </c>
      <c r="M63" s="13">
        <f t="array" ref="M63">INDEX(L:L,MIN(IF(ISNUMBER(L63:L259),ROW(L63:L259),"")))</f>
        <v>10.7</v>
      </c>
      <c r="N63" s="14">
        <f>IF('Données projet'!$A$36&gt;35,N62+M63-V62,IF(A63&lt;'Données projet'!$A$36,$K$205^A63,IF(A63='Données projet'!$A$36,'Données projet'!$B$36,N62+M63-V62)))</f>
        <v>300.00000000000011</v>
      </c>
      <c r="O63" s="14">
        <f>N63*VLOOKUP('Données projet'!$B$9,Paramètres!$A$1:$I$89,3,0)*VLOOKUP('Données projet'!$B$9,Paramètres!$A$1:$I$89,5,0)</f>
        <v>140.40000000000006</v>
      </c>
      <c r="P63" s="14">
        <f t="shared" si="33"/>
        <v>36.388624656711201</v>
      </c>
      <c r="Q63" s="22">
        <f t="shared" si="53"/>
        <v>307.90685461043876</v>
      </c>
      <c r="R63" s="62">
        <f t="shared" si="0"/>
        <v>601.24018794377207</v>
      </c>
      <c r="S63" s="62">
        <f ca="1">AVERAGE(OFFSET($R$3,0,0,'Données projet'!$E$9+1,1))-AVERAGE(OFFSET($H$3,0,0,'Données projet'!$E$9+1,1))</f>
        <v>188.51537094662768</v>
      </c>
      <c r="T63" s="62">
        <f t="shared" si="34"/>
        <v>181.95202230446716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90</v>
      </c>
      <c r="W63" s="17">
        <f>IF(ISNA(VLOOKUP(A63,'Données projet'!$A$35:$I$55,5,0)),0%,VLOOKUP(A63,'Données projet'!$A$35:$I$55,5,0)*VLOOKUP('Données projet'!$B$9,Paramètres!$A$1:$I$89,7,0))</f>
        <v>0.11000000000000001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11.263260002767792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11.263260002767792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379</v>
      </c>
      <c r="AG63" s="13">
        <f>VLOOKUP(A63,'Données projet'!$A$61:$I$81,9,0)</f>
        <v>8.3000000000000007</v>
      </c>
      <c r="AH63" s="13">
        <f t="array" ref="AH63">INDEX(AG:AG,MIN(IF(ISNUMBER(AG63:AG259),ROW(AG63:AG259),"")))</f>
        <v>8.3000000000000007</v>
      </c>
      <c r="AI63" s="14">
        <f>IF('Données projet'!$A$62&gt;35,AI62+AH63-AQ62,IF(A63&lt;'Données projet'!$A$62,$AF$205^A63,IF(A63='Données projet'!$A$62,'Données projet'!$B$62,AI62+AH63-AQ62)))</f>
        <v>379.00000000000023</v>
      </c>
      <c r="AJ63" s="14">
        <f>AI63*VLOOKUP('Données projet'!$B$10,Paramètres!$A$1:$I$89,3,0)*VLOOKUP('Données projet'!$B$10,Paramètres!$A$1:$I$89,5,0)</f>
        <v>226.64200000000017</v>
      </c>
      <c r="AK63" s="14">
        <f t="shared" si="35"/>
        <v>55.555983079812862</v>
      </c>
      <c r="AL63" s="22">
        <f t="shared" si="4"/>
        <v>491.4948205306743</v>
      </c>
      <c r="AM63" s="62">
        <f t="shared" si="5"/>
        <v>784.82815386400762</v>
      </c>
      <c r="AN63" s="62">
        <f ca="1">AVERAGE(OFFSET($AM$3,0,0,'Données projet'!$E$10+1,1))-AVERAGE(OFFSET($H$3,0,0,'Données projet'!$E$10+1,1))</f>
        <v>318.69447733545013</v>
      </c>
      <c r="AO63" s="62">
        <f t="shared" si="36"/>
        <v>186.33351136372443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27</v>
      </c>
      <c r="AR63" s="17">
        <f>IF(ISNA(VLOOKUP(A63,'Données projet'!$A$61:$I$81,5,0)),0%,VLOOKUP(A63,'Données projet'!$A$61:$I$81,5,0)*VLOOKUP('Données projet'!$B$10,Paramètres!$A$1:$I$89,7,0))</f>
        <v>9.0000000000000011E-2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0.4</v>
      </c>
      <c r="AU63" s="23">
        <f>EXP(-LN(2)/35)*AU62+(1-EXP(-LN(2)/35))/(LN(2)/35)*AQ63*AR63*VLOOKUP('Données projet'!$B$10,Paramètres!$A$1:$I$89,3,0)*0.475*44/12</f>
        <v>3.0302700867110137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7.4760333339889771</v>
      </c>
      <c r="AX63" s="23">
        <f t="shared" si="6"/>
        <v>10.506303420699991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148</v>
      </c>
      <c r="BB63" s="13">
        <f>VLOOKUP(A63,'Données projet'!$A$87:$I$107,9,0)</f>
        <v>5.4</v>
      </c>
      <c r="BC63" s="13">
        <f t="array" ref="BC63">INDEX(BB:BB,MIN(IF(ISNUMBER(BB63:BB259),ROW(BB63:BB259),"")))</f>
        <v>5.4</v>
      </c>
      <c r="BD63" s="13">
        <f>IF('Données projet'!$A$88&gt;35,BD62+BC63-BL62,IF(A63&lt;'Données projet'!$A$88,$BA$205^A63,IF(A63='Données projet'!$A$88,'Données projet'!$B$88,BD62+BC63-BL62)))</f>
        <v>147.99999999999997</v>
      </c>
      <c r="BE63" s="14">
        <f>BD63*VLOOKUP('Données projet'!$B$11,Paramètres!$A$1:$I$89,3,0)*VLOOKUP('Données projet'!$B$11,Paramètres!$A$1:$I$89,5,0)</f>
        <v>150.07199999999997</v>
      </c>
      <c r="BF63" s="14">
        <f t="shared" si="37"/>
        <v>38.594947422201457</v>
      </c>
      <c r="BG63" s="22">
        <f t="shared" si="7"/>
        <v>328.5949334270008</v>
      </c>
      <c r="BH63" s="62">
        <f t="shared" si="8"/>
        <v>621.92826676033405</v>
      </c>
      <c r="BI63" s="62">
        <f ca="1">AVERAGE(OFFSET($BH$3,0,0,'Données projet'!$E$11+1,1))-AVERAGE(OFFSET($H$3,0,0,'Données projet'!$E$11+1,1))</f>
        <v>238.29088076221427</v>
      </c>
      <c r="BJ63" s="62">
        <f t="shared" si="38"/>
        <v>102.64102748467457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4.3000000000000003E-2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1.2571910794332064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1.2571910794332064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17.445999999999991</v>
      </c>
      <c r="D64" s="12">
        <f t="shared" si="32"/>
        <v>5.7638747368339107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179.16394533696348</v>
      </c>
      <c r="H64" s="70">
        <f t="shared" si="1"/>
        <v>333.75719849998569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11.5</v>
      </c>
      <c r="N64" s="14">
        <f>IF('Données projet'!$A$36&gt;35,N63+M64-V63,IF(A64&lt;'Données projet'!$A$36,$K$205^A64,IF(A64='Données projet'!$A$36,'Données projet'!$B$36,N63+M64-V63)))</f>
        <v>221.50000000000011</v>
      </c>
      <c r="O64" s="14">
        <f>N64*VLOOKUP('Données projet'!$B$9,Paramètres!$A$1:$I$89,3,0)*VLOOKUP('Données projet'!$B$9,Paramètres!$A$1:$I$89,5,0)</f>
        <v>103.66200000000005</v>
      </c>
      <c r="P64" s="14">
        <f t="shared" si="33"/>
        <v>27.832584032361705</v>
      </c>
      <c r="Q64" s="22">
        <f t="shared" si="53"/>
        <v>229.01973385636336</v>
      </c>
      <c r="R64" s="62">
        <f t="shared" si="0"/>
        <v>522.35306718969673</v>
      </c>
      <c r="S64" s="62">
        <f ca="1">AVERAGE(OFFSET($R$3,0,0,'Données projet'!$E$9+1,1))-AVERAGE(OFFSET($H$3,0,0,'Données projet'!$E$9+1,1))</f>
        <v>188.51537094662768</v>
      </c>
      <c r="T64" s="62">
        <f t="shared" si="34"/>
        <v>181.95202230446716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11.042394344023769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11.042394344023769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</v>
      </c>
      <c r="AI64" s="14">
        <f>IF('Données projet'!$A$62&gt;35,AI63+AH64-AQ63,IF(A64&lt;'Données projet'!$A$62,$AF$205^A64,IF(A64='Données projet'!$A$62,'Données projet'!$B$62,AI63+AH64-AQ63)))</f>
        <v>359.00000000000023</v>
      </c>
      <c r="AJ64" s="14">
        <f>AI64*VLOOKUP('Données projet'!$B$10,Paramètres!$A$1:$I$89,3,0)*VLOOKUP('Données projet'!$B$10,Paramètres!$A$1:$I$89,5,0)</f>
        <v>214.68200000000013</v>
      </c>
      <c r="AK64" s="14">
        <f t="shared" si="35"/>
        <v>52.957403780225121</v>
      </c>
      <c r="AL64" s="22">
        <f t="shared" si="4"/>
        <v>466.13862825055907</v>
      </c>
      <c r="AM64" s="62">
        <f t="shared" si="5"/>
        <v>759.47196158389238</v>
      </c>
      <c r="AN64" s="62">
        <f ca="1">AVERAGE(OFFSET($AM$3,0,0,'Données projet'!$E$10+1,1))-AVERAGE(OFFSET($H$3,0,0,'Données projet'!$E$10+1,1))</f>
        <v>318.69447733545013</v>
      </c>
      <c r="AO64" s="62">
        <f t="shared" si="36"/>
        <v>186.33351136372443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2.970848338592861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5.2863538668402796</v>
      </c>
      <c r="AX64" s="23">
        <f t="shared" si="6"/>
        <v>8.2572022054331402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5.4</v>
      </c>
      <c r="BD64" s="13">
        <f>IF('Données projet'!$A$88&gt;35,BD63+BC64-BL63,IF(A64&lt;'Données projet'!$A$88,$BA$205^A64,IF(A64='Données projet'!$A$88,'Données projet'!$B$88,BD63+BC64-BL63)))</f>
        <v>139.39999999999998</v>
      </c>
      <c r="BE64" s="14">
        <f>BD64*VLOOKUP('Données projet'!$B$11,Paramètres!$A$1:$I$89,3,0)*VLOOKUP('Données projet'!$B$11,Paramètres!$A$1:$I$89,5,0)</f>
        <v>141.35159999999999</v>
      </c>
      <c r="BF64" s="14">
        <f t="shared" si="37"/>
        <v>36.606464720907098</v>
      </c>
      <c r="BG64" s="22">
        <f t="shared" si="7"/>
        <v>309.94362938891317</v>
      </c>
      <c r="BH64" s="62">
        <f t="shared" si="8"/>
        <v>603.27696272224648</v>
      </c>
      <c r="BI64" s="62">
        <f ca="1">AVERAGE(OFFSET($BH$3,0,0,'Données projet'!$E$11+1,1))-AVERAGE(OFFSET($H$3,0,0,'Données projet'!$E$11+1,1))</f>
        <v>238.29088076221427</v>
      </c>
      <c r="BJ64" s="62">
        <f t="shared" si="38"/>
        <v>102.64102748467457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1.2325383291763634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1.2325383291763634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17.731999999999992</v>
      </c>
      <c r="D65" s="12">
        <f t="shared" si="32"/>
        <v>5.8472867027700657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182.01554647752326</v>
      </c>
      <c r="H65" s="70">
        <f t="shared" si="1"/>
        <v>334.40059100732452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11.5</v>
      </c>
      <c r="N65" s="14">
        <f>IF('Données projet'!$A$36&gt;35,N64+M65-V64,IF(A65&lt;'Données projet'!$A$36,$K$205^A65,IF(A65='Données projet'!$A$36,'Données projet'!$B$36,N64+M65-V64)))</f>
        <v>233.00000000000011</v>
      </c>
      <c r="O65" s="14">
        <f>N65*VLOOKUP('Données projet'!$B$9,Paramètres!$A$1:$I$89,3,0)*VLOOKUP('Données projet'!$B$9,Paramètres!$A$1:$I$89,5,0)</f>
        <v>109.04400000000005</v>
      </c>
      <c r="P65" s="14">
        <f t="shared" si="33"/>
        <v>29.105629216479489</v>
      </c>
      <c r="Q65" s="22">
        <f t="shared" si="53"/>
        <v>240.61060421870187</v>
      </c>
      <c r="R65" s="62">
        <f t="shared" si="0"/>
        <v>533.94393755203521</v>
      </c>
      <c r="S65" s="62">
        <f ca="1">AVERAGE(OFFSET($R$3,0,0,'Données projet'!$E$9+1,1))-AVERAGE(OFFSET($H$3,0,0,'Données projet'!$E$9+1,1))</f>
        <v>188.51537094662768</v>
      </c>
      <c r="T65" s="62">
        <f t="shared" si="34"/>
        <v>181.95202230446716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10.825859726132968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10.825859726132968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</v>
      </c>
      <c r="AI65" s="14">
        <f>IF('Données projet'!$A$62&gt;35,AI64+AH65-AQ64,IF(A65&lt;'Données projet'!$A$62,$AF$205^A65,IF(A65='Données projet'!$A$62,'Données projet'!$B$62,AI64+AH65-AQ64)))</f>
        <v>366.00000000000023</v>
      </c>
      <c r="AJ65" s="14">
        <f>AI65*VLOOKUP('Données projet'!$B$10,Paramètres!$A$1:$I$89,3,0)*VLOOKUP('Données projet'!$B$10,Paramètres!$A$1:$I$89,5,0)</f>
        <v>218.86800000000014</v>
      </c>
      <c r="AK65" s="14">
        <f t="shared" si="35"/>
        <v>53.868777293257544</v>
      </c>
      <c r="AL65" s="22">
        <f t="shared" si="4"/>
        <v>475.01655378575714</v>
      </c>
      <c r="AM65" s="62">
        <f t="shared" si="5"/>
        <v>768.34988711909045</v>
      </c>
      <c r="AN65" s="62">
        <f ca="1">AVERAGE(OFFSET($AM$3,0,0,'Données projet'!$E$10+1,1))-AVERAGE(OFFSET($H$3,0,0,'Données projet'!$E$10+1,1))</f>
        <v>318.69447733545013</v>
      </c>
      <c r="AO65" s="62">
        <f t="shared" si="36"/>
        <v>186.33351136372443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2.9125918147116177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3.7380166669944894</v>
      </c>
      <c r="AX65" s="23">
        <f t="shared" si="6"/>
        <v>6.6506084817061071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5.4</v>
      </c>
      <c r="BD65" s="13">
        <f>IF('Données projet'!$A$88&gt;35,BD64+BC65-BL64,IF(A65&lt;'Données projet'!$A$88,$BA$205^A65,IF(A65='Données projet'!$A$88,'Données projet'!$B$88,BD64+BC65-BL64)))</f>
        <v>144.79999999999998</v>
      </c>
      <c r="BE65" s="14">
        <f>BD65*VLOOKUP('Données projet'!$B$11,Paramètres!$A$1:$I$89,3,0)*VLOOKUP('Données projet'!$B$11,Paramètres!$A$1:$I$89,5,0)</f>
        <v>146.82719999999998</v>
      </c>
      <c r="BF65" s="14">
        <f t="shared" si="37"/>
        <v>37.856660748046984</v>
      </c>
      <c r="BG65" s="22">
        <f t="shared" si="7"/>
        <v>321.6577241361818</v>
      </c>
      <c r="BH65" s="62">
        <f t="shared" si="8"/>
        <v>614.99105746951511</v>
      </c>
      <c r="BI65" s="62">
        <f ca="1">AVERAGE(OFFSET($BH$3,0,0,'Données projet'!$E$11+1,1))-AVERAGE(OFFSET($H$3,0,0,'Données projet'!$E$11+1,1))</f>
        <v>238.29088076221427</v>
      </c>
      <c r="BJ65" s="62">
        <f t="shared" si="38"/>
        <v>102.64102748467457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1.2083690043153641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1.2083690043153641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66" s="12">
        <f t="shared" si="32"/>
        <v>5.9305422092039777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184.86593986052188</v>
      </c>
      <c r="H66" s="70">
        <f t="shared" si="1"/>
        <v>335.04371101436357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11.5</v>
      </c>
      <c r="N66" s="14">
        <f>IF('Données projet'!$A$36&gt;35,N65+M66-V65,IF(A66&lt;'Données projet'!$A$36,$K$205^A66,IF(A66='Données projet'!$A$36,'Données projet'!$B$36,N65+M66-V65)))</f>
        <v>244.50000000000011</v>
      </c>
      <c r="O66" s="14">
        <f>N66*VLOOKUP('Données projet'!$B$9,Paramètres!$A$1:$I$89,3,0)*VLOOKUP('Données projet'!$B$9,Paramètres!$A$1:$I$89,5,0)</f>
        <v>114.42600000000006</v>
      </c>
      <c r="P66" s="14">
        <f t="shared" si="33"/>
        <v>30.371378515374204</v>
      </c>
      <c r="Q66" s="22">
        <f t="shared" si="53"/>
        <v>252.18876758094348</v>
      </c>
      <c r="R66" s="62">
        <f t="shared" si="0"/>
        <v>545.52210091427673</v>
      </c>
      <c r="S66" s="62">
        <f ca="1">AVERAGE(OFFSET($R$3,0,0,'Données projet'!$E$9+1,1))-AVERAGE(OFFSET($H$3,0,0,'Données projet'!$E$9+1,1))</f>
        <v>188.51537094662768</v>
      </c>
      <c r="T66" s="62">
        <f t="shared" si="34"/>
        <v>181.95202230446716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10.61357122002593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10.61357122002593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</v>
      </c>
      <c r="AI66" s="14">
        <f>IF('Données projet'!$A$62&gt;35,AI65+AH66-AQ65,IF(A66&lt;'Données projet'!$A$62,$AF$205^A66,IF(A66='Données projet'!$A$62,'Données projet'!$B$62,AI65+AH66-AQ65)))</f>
        <v>373.00000000000023</v>
      </c>
      <c r="AJ66" s="14">
        <f>AI66*VLOOKUP('Données projet'!$B$10,Paramètres!$A$1:$I$89,3,0)*VLOOKUP('Données projet'!$B$10,Paramètres!$A$1:$I$89,5,0)</f>
        <v>223.05400000000017</v>
      </c>
      <c r="AK66" s="14">
        <f t="shared" si="35"/>
        <v>54.778124005813432</v>
      </c>
      <c r="AL66" s="22">
        <f t="shared" si="4"/>
        <v>483.89094931012534</v>
      </c>
      <c r="AM66" s="62">
        <f t="shared" si="5"/>
        <v>777.22428264345865</v>
      </c>
      <c r="AN66" s="62">
        <f ca="1">AVERAGE(OFFSET($AM$3,0,0,'Données projet'!$E$10+1,1))-AVERAGE(OFFSET($H$3,0,0,'Données projet'!$E$10+1,1))</f>
        <v>318.69447733545013</v>
      </c>
      <c r="AO66" s="62">
        <f t="shared" si="36"/>
        <v>186.33351136372443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2.8554776657307146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2.6431769334201403</v>
      </c>
      <c r="AX66" s="23">
        <f t="shared" si="6"/>
        <v>5.4986545991508553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5.4</v>
      </c>
      <c r="BD66" s="13">
        <f>IF('Données projet'!$A$88&gt;35,BD65+BC66-BL65,IF(A66&lt;'Données projet'!$A$88,$BA$205^A66,IF(A66='Données projet'!$A$88,'Données projet'!$B$88,BD65+BC66-BL65)))</f>
        <v>150.19999999999999</v>
      </c>
      <c r="BE66" s="14">
        <f>BD66*VLOOKUP('Données projet'!$B$11,Paramètres!$A$1:$I$89,3,0)*VLOOKUP('Données projet'!$B$11,Paramètres!$A$1:$I$89,5,0)</f>
        <v>152.30279999999999</v>
      </c>
      <c r="BF66" s="14">
        <f t="shared" si="37"/>
        <v>39.101440255006928</v>
      </c>
      <c r="BG66" s="22">
        <f t="shared" si="7"/>
        <v>333.3623851108037</v>
      </c>
      <c r="BH66" s="62">
        <f t="shared" si="8"/>
        <v>626.69571844413701</v>
      </c>
      <c r="BI66" s="62">
        <f ca="1">AVERAGE(OFFSET($BH$3,0,0,'Données projet'!$E$11+1,1))-AVERAGE(OFFSET($H$3,0,0,'Données projet'!$E$11+1,1))</f>
        <v>238.29088076221427</v>
      </c>
      <c r="BJ66" s="62">
        <f t="shared" si="38"/>
        <v>102.64102748467457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1.1846736251730565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1.1846736251730565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18.303999999999995</v>
      </c>
      <c r="D67" s="12">
        <f t="shared" si="32"/>
        <v>6.0136440263719573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187.71514687023964</v>
      </c>
      <c r="H67" s="70">
        <f t="shared" si="1"/>
        <v>335.68656334593112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11.5</v>
      </c>
      <c r="N67" s="14">
        <f>IF('Données projet'!$A$36&gt;35,N66+M67-V66,IF(A67&lt;'Données projet'!$A$36,$K$205^A67,IF(A67='Données projet'!$A$36,'Données projet'!$B$36,N66+M67-V66)))</f>
        <v>256.00000000000011</v>
      </c>
      <c r="O67" s="14">
        <f>N67*VLOOKUP('Données projet'!$B$9,Paramètres!$A$1:$I$89,3,0)*VLOOKUP('Données projet'!$B$9,Paramètres!$A$1:$I$89,5,0)</f>
        <v>119.80800000000005</v>
      </c>
      <c r="P67" s="14">
        <f t="shared" si="33"/>
        <v>31.630214274643563</v>
      </c>
      <c r="Q67" s="22">
        <f t="shared" ref="Q67:Q98" si="54">(O67+P67)*0.475*44/12</f>
        <v>263.7548898616709</v>
      </c>
      <c r="R67" s="62">
        <f t="shared" ref="R67:R130" si="55">Q67+(I67+J67)*44/12</f>
        <v>557.08822319500428</v>
      </c>
      <c r="S67" s="62">
        <f ca="1">AVERAGE(OFFSET($R$3,0,0,'Données projet'!$E$9+1,1))-AVERAGE(OFFSET($H$3,0,0,'Données projet'!$E$9+1,1))</f>
        <v>188.51537094662768</v>
      </c>
      <c r="T67" s="62">
        <f t="shared" si="34"/>
        <v>181.95202230446716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10.405445562040446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10.405445562040446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</v>
      </c>
      <c r="AI67" s="14">
        <f>IF('Données projet'!$A$62&gt;35,AI66+AH67-AQ66,IF(A67&lt;'Données projet'!$A$62,$AF$205^A67,IF(A67='Données projet'!$A$62,'Données projet'!$B$62,AI66+AH67-AQ66)))</f>
        <v>380.00000000000023</v>
      </c>
      <c r="AJ67" s="14">
        <f>AI67*VLOOKUP('Données projet'!$B$10,Paramètres!$A$1:$I$89,3,0)*VLOOKUP('Données projet'!$B$10,Paramètres!$A$1:$I$89,5,0)</f>
        <v>227.24000000000018</v>
      </c>
      <c r="AK67" s="14">
        <f t="shared" si="35"/>
        <v>55.685486340484253</v>
      </c>
      <c r="AL67" s="22">
        <f t="shared" si="4"/>
        <v>492.76188870967707</v>
      </c>
      <c r="AM67" s="62">
        <f t="shared" si="5"/>
        <v>786.09522204301038</v>
      </c>
      <c r="AN67" s="62">
        <f ca="1">AVERAGE(OFFSET($AM$3,0,0,'Données projet'!$E$10+1,1))-AVERAGE(OFFSET($H$3,0,0,'Données projet'!$E$10+1,1))</f>
        <v>318.69447733545013</v>
      </c>
      <c r="AO67" s="62">
        <f t="shared" si="36"/>
        <v>186.33351136372443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2.799483490375136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1.8690083334972449</v>
      </c>
      <c r="AX67" s="23">
        <f t="shared" si="6"/>
        <v>4.6684918238723814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5.4</v>
      </c>
      <c r="BD67" s="13">
        <f>IF('Données projet'!$A$88&gt;35,BD66+BC67-BL66,IF(A67&lt;'Données projet'!$A$88,$BA$205^A67,IF(A67='Données projet'!$A$88,'Données projet'!$B$88,BD66+BC67-BL66)))</f>
        <v>155.6</v>
      </c>
      <c r="BE67" s="14">
        <f>BD67*VLOOKUP('Données projet'!$B$11,Paramètres!$A$1:$I$89,3,0)*VLOOKUP('Données projet'!$B$11,Paramètres!$A$1:$I$89,5,0)</f>
        <v>157.7784</v>
      </c>
      <c r="BF67" s="14">
        <f t="shared" si="37"/>
        <v>40.341020284861102</v>
      </c>
      <c r="BG67" s="22">
        <f t="shared" si="7"/>
        <v>345.05799032946646</v>
      </c>
      <c r="BH67" s="62">
        <f t="shared" si="8"/>
        <v>638.39132366279978</v>
      </c>
      <c r="BI67" s="62">
        <f ca="1">AVERAGE(OFFSET($BH$3,0,0,'Données projet'!$E$11+1,1))-AVERAGE(OFFSET($H$3,0,0,'Données projet'!$E$11+1,1))</f>
        <v>238.29088076221427</v>
      </c>
      <c r="BJ67" s="62">
        <f t="shared" si="38"/>
        <v>102.64102748467457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1.1614428979629754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1.1614428979629754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18.589999999999996</v>
      </c>
      <c r="D68" s="12">
        <f t="shared" si="32"/>
        <v>6.0965948329741817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190.56318818436208</v>
      </c>
      <c r="H68" s="70">
        <f t="shared" ref="H68:H131" si="56">(B68+E68+F68)*44/12+(C68+D68)*0.475*44/12</f>
        <v>336.32915266742998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11.5</v>
      </c>
      <c r="N68" s="14">
        <f>IF('Données projet'!$A$36&gt;35,N67+M68-V67,IF(A68&lt;'Données projet'!$A$36,$K$205^A68,IF(A68='Données projet'!$A$36,'Données projet'!$B$36,N67+M68-V67)))</f>
        <v>267.50000000000011</v>
      </c>
      <c r="O68" s="14">
        <f>N68*VLOOKUP('Données projet'!$B$9,Paramètres!$A$1:$I$89,3,0)*VLOOKUP('Données projet'!$B$9,Paramètres!$A$1:$I$89,5,0)</f>
        <v>125.19000000000005</v>
      </c>
      <c r="P68" s="14">
        <f t="shared" si="33"/>
        <v>32.882482546564333</v>
      </c>
      <c r="Q68" s="22">
        <f t="shared" si="54"/>
        <v>275.30957376859971</v>
      </c>
      <c r="R68" s="62">
        <f t="shared" si="55"/>
        <v>568.64290710193302</v>
      </c>
      <c r="S68" s="62">
        <f ca="1">AVERAGE(OFFSET($R$3,0,0,'Données projet'!$E$9+1,1))-AVERAGE(OFFSET($H$3,0,0,'Données projet'!$E$9+1,1))</f>
        <v>188.51537094662768</v>
      </c>
      <c r="T68" s="62">
        <f t="shared" si="34"/>
        <v>181.95202230446716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10.201401121263942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10.201401121263942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7</v>
      </c>
      <c r="AI68" s="14">
        <f>IF('Données projet'!$A$62&gt;35,AI67+AH68-AQ67,IF(A68&lt;'Données projet'!$A$62,$AF$205^A68,IF(A68='Données projet'!$A$62,'Données projet'!$B$62,AI67+AH68-AQ67)))</f>
        <v>387.00000000000023</v>
      </c>
      <c r="AJ68" s="14">
        <f>AI68*VLOOKUP('Données projet'!$B$10,Paramètres!$A$1:$I$89,3,0)*VLOOKUP('Données projet'!$B$10,Paramètres!$A$1:$I$89,5,0)</f>
        <v>231.42600000000016</v>
      </c>
      <c r="AK68" s="14">
        <f t="shared" si="35"/>
        <v>56.590905067453271</v>
      </c>
      <c r="AL68" s="22">
        <f t="shared" ref="AL68:AL131" si="58">(AJ68+AK68)*0.475*44/12</f>
        <v>501.62944299248142</v>
      </c>
      <c r="AM68" s="62">
        <f t="shared" ref="AM68:AM131" si="59">AL68+(AD68+AE68)*44/12</f>
        <v>794.96277632581473</v>
      </c>
      <c r="AN68" s="62">
        <f ca="1">AVERAGE(OFFSET($AM$3,0,0,'Données projet'!$E$10+1,1))-AVERAGE(OFFSET($H$3,0,0,'Données projet'!$E$10+1,1))</f>
        <v>318.69447733545013</v>
      </c>
      <c r="AO68" s="62">
        <f t="shared" si="36"/>
        <v>186.33351136372443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2.7445873266452057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1.3215884667100704</v>
      </c>
      <c r="AX68" s="23">
        <f t="shared" ref="AX68:AX131" si="60">SUM(AU68:AW68)</f>
        <v>4.066175793355276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161</v>
      </c>
      <c r="BB68" s="13">
        <f>VLOOKUP(A68,'Données projet'!$A$87:$I$107,9,0)</f>
        <v>5.4</v>
      </c>
      <c r="BC68" s="13">
        <f t="array" ref="BC68">INDEX(BB:BB,MIN(IF(ISNUMBER(BB68:BB264),ROW(BB68:BB264),"")))</f>
        <v>5.4</v>
      </c>
      <c r="BD68" s="13">
        <f>IF('Données projet'!$A$88&gt;35,BD67+BC68-BL67,IF(A68&lt;'Données projet'!$A$88,$BA$205^A68,IF(A68='Données projet'!$A$88,'Données projet'!$B$88,BD67+BC68-BL67)))</f>
        <v>161</v>
      </c>
      <c r="BE68" s="14">
        <f>BD68*VLOOKUP('Données projet'!$B$11,Paramètres!$A$1:$I$89,3,0)*VLOOKUP('Données projet'!$B$11,Paramètres!$A$1:$I$89,5,0)</f>
        <v>163.25400000000002</v>
      </c>
      <c r="BF68" s="14">
        <f t="shared" si="37"/>
        <v>41.575601961656915</v>
      </c>
      <c r="BG68" s="22">
        <f t="shared" ref="BG68:BG131" si="61">(BE68+BF68)*0.475*44/12</f>
        <v>356.7448900832191</v>
      </c>
      <c r="BH68" s="62">
        <f t="shared" ref="BH68:BH131" si="62">BG68+(AY68+AZ68)*44/12</f>
        <v>650.07822341655242</v>
      </c>
      <c r="BI68" s="62">
        <f ca="1">AVERAGE(OFFSET($BH$3,0,0,'Données projet'!$E$11+1,1))-AVERAGE(OFFSET($H$3,0,0,'Données projet'!$E$11+1,1))</f>
        <v>238.29088076221427</v>
      </c>
      <c r="BJ68" s="62">
        <f t="shared" si="38"/>
        <v>102.64102748467457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14</v>
      </c>
      <c r="BM68" s="17">
        <f>IF(ISNA(VLOOKUP(A68,'Données projet'!$A$87:$I$107,5,0)),0%,VLOOKUP(A68,'Données projet'!$A$87:$I$107,5,0)*VLOOKUP('Données projet'!$B$11,Paramètres!$A$1:$I$89,7,0))</f>
        <v>4.3000000000000003E-2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1.8134777839816794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1.8134777839816794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18.875999999999998</v>
      </c>
      <c r="D69" s="12">
        <f t="shared" ref="D69:D132" si="86">IFERROR(EXP(-1.0587+0.8836*LN(C69)+0.284),0)</f>
        <v>6.1793972205601504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193.41008380783273</v>
      </c>
      <c r="H69" s="70">
        <f t="shared" si="56"/>
        <v>336.97148349247556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11.5</v>
      </c>
      <c r="N69" s="14">
        <f>IF('Données projet'!$A$36&gt;35,N68+M69-V68,IF(A69&lt;'Données projet'!$A$36,$K$205^A69,IF(A69='Données projet'!$A$36,'Données projet'!$B$36,N68+M69-V68)))</f>
        <v>279.00000000000011</v>
      </c>
      <c r="O69" s="14">
        <f>N69*VLOOKUP('Données projet'!$B$9,Paramètres!$A$1:$I$89,3,0)*VLOOKUP('Données projet'!$B$9,Paramètres!$A$1:$I$89,5,0)</f>
        <v>130.57200000000006</v>
      </c>
      <c r="P69" s="14">
        <f t="shared" ref="P69:P132" si="87">EXP(-1.0587+0.8836*LN(O69)+0.284)</f>
        <v>34.128497946598308</v>
      </c>
      <c r="Q69" s="22">
        <f t="shared" si="54"/>
        <v>286.85336725699216</v>
      </c>
      <c r="R69" s="62">
        <f t="shared" si="55"/>
        <v>580.18670059032547</v>
      </c>
      <c r="S69" s="62">
        <f ca="1">AVERAGE(OFFSET($R$3,0,0,'Données projet'!$E$9+1,1))-AVERAGE(OFFSET($H$3,0,0,'Données projet'!$E$9+1,1))</f>
        <v>188.51537094662768</v>
      </c>
      <c r="T69" s="62">
        <f t="shared" ref="T69:T132" si="88">$T$3</f>
        <v>181.95202230446716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10.001357867516244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10.001357867516244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</v>
      </c>
      <c r="AI69" s="14">
        <f>IF('Données projet'!$A$62&gt;35,AI68+AH69-AQ68,IF(A69&lt;'Données projet'!$A$62,$AF$205^A69,IF(A69='Données projet'!$A$62,'Données projet'!$B$62,AI68+AH69-AQ68)))</f>
        <v>394.00000000000023</v>
      </c>
      <c r="AJ69" s="14">
        <f>AI69*VLOOKUP('Données projet'!$B$10,Paramètres!$A$1:$I$89,3,0)*VLOOKUP('Données projet'!$B$10,Paramètres!$A$1:$I$89,5,0)</f>
        <v>235.61200000000017</v>
      </c>
      <c r="AK69" s="14">
        <f t="shared" ref="AK69:AK132" si="89">EXP(-1.0587+0.8836*LN(AJ69)+0.284)</f>
        <v>57.494419397561742</v>
      </c>
      <c r="AL69" s="22">
        <f t="shared" si="58"/>
        <v>510.49368045075363</v>
      </c>
      <c r="AM69" s="62">
        <f t="shared" si="59"/>
        <v>803.82701378408694</v>
      </c>
      <c r="AN69" s="62">
        <f ca="1">AVERAGE(OFFSET($AM$3,0,0,'Données projet'!$E$10+1,1))-AVERAGE(OFFSET($H$3,0,0,'Données projet'!$E$10+1,1))</f>
        <v>318.69447733545013</v>
      </c>
      <c r="AO69" s="62">
        <f t="shared" ref="AO69:AO132" si="90">$AO$3</f>
        <v>186.33351136372443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2.6907676432026655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0.93450416674862258</v>
      </c>
      <c r="AX69" s="23">
        <f t="shared" si="60"/>
        <v>3.6252718099512879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</v>
      </c>
      <c r="BD69" s="13">
        <f>IF('Données projet'!$A$88&gt;35,BD68+BC69-BL68,IF(A69&lt;'Données projet'!$A$88,$BA$205^A69,IF(A69='Données projet'!$A$88,'Données projet'!$B$88,BD68+BC69-BL68)))</f>
        <v>152</v>
      </c>
      <c r="BE69" s="14">
        <f>BD69*VLOOKUP('Données projet'!$B$11,Paramètres!$A$1:$I$89,3,0)*VLOOKUP('Données projet'!$B$11,Paramètres!$A$1:$I$89,5,0)</f>
        <v>154.12800000000001</v>
      </c>
      <c r="BF69" s="14">
        <f t="shared" ref="BF69:BF132" si="91">EXP(-1.0587+0.8836*LN(BE69)+0.284)</f>
        <v>39.515201075361155</v>
      </c>
      <c r="BG69" s="22">
        <f t="shared" si="61"/>
        <v>337.26190853958735</v>
      </c>
      <c r="BH69" s="62">
        <f t="shared" si="62"/>
        <v>630.59524187292072</v>
      </c>
      <c r="BI69" s="62">
        <f ca="1">AVERAGE(OFFSET($BH$3,0,0,'Données projet'!$E$11+1,1))-AVERAGE(OFFSET($H$3,0,0,'Données projet'!$E$11+1,1))</f>
        <v>238.29088076221427</v>
      </c>
      <c r="BJ69" s="62">
        <f t="shared" ref="BJ69:BJ132" si="92">$BJ$3</f>
        <v>102.64102748467457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1.7779165907500274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1.7779165907500274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19.161999999999999</v>
      </c>
      <c r="D70" s="12">
        <f t="shared" si="86"/>
        <v>6.2620536976407468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196.25585310459522</v>
      </c>
      <c r="H70" s="70">
        <f t="shared" si="56"/>
        <v>337.61356019005763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11.5</v>
      </c>
      <c r="N70" s="14">
        <f>IF('Données projet'!$A$36&gt;35,N69+M70-V69,IF(A70&lt;'Données projet'!$A$36,$K$205^A70,IF(A70='Données projet'!$A$36,'Données projet'!$B$36,N69+M70-V69)))</f>
        <v>290.50000000000011</v>
      </c>
      <c r="O70" s="14">
        <f>N70*VLOOKUP('Données projet'!$B$9,Paramètres!$A$1:$I$89,3,0)*VLOOKUP('Données projet'!$B$9,Paramètres!$A$1:$I$89,5,0)</f>
        <v>135.95400000000006</v>
      </c>
      <c r="P70" s="14">
        <f t="shared" si="87"/>
        <v>35.368547686628148</v>
      </c>
      <c r="Q70" s="22">
        <f t="shared" si="54"/>
        <v>298.38677055421078</v>
      </c>
      <c r="R70" s="62">
        <f t="shared" si="55"/>
        <v>591.72010388754416</v>
      </c>
      <c r="S70" s="62">
        <f ca="1">AVERAGE(OFFSET($R$3,0,0,'Données projet'!$E$9+1,1))-AVERAGE(OFFSET($H$3,0,0,'Données projet'!$E$9+1,1))</f>
        <v>188.51537094662768</v>
      </c>
      <c r="T70" s="62">
        <f t="shared" si="88"/>
        <v>181.95202230446716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9.8052373399602022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9.8052373399602022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</v>
      </c>
      <c r="AI70" s="14">
        <f>IF('Données projet'!$A$62&gt;35,AI69+AH70-AQ69,IF(A70&lt;'Données projet'!$A$62,$AF$205^A70,IF(A70='Données projet'!$A$62,'Données projet'!$B$62,AI69+AH70-AQ69)))</f>
        <v>401.00000000000023</v>
      </c>
      <c r="AJ70" s="14">
        <f>AI70*VLOOKUP('Données projet'!$B$10,Paramètres!$A$1:$I$89,3,0)*VLOOKUP('Données projet'!$B$10,Paramètres!$A$1:$I$89,5,0)</f>
        <v>239.79800000000017</v>
      </c>
      <c r="AK70" s="14">
        <f t="shared" si="89"/>
        <v>58.396067068575292</v>
      </c>
      <c r="AL70" s="22">
        <f t="shared" si="58"/>
        <v>519.35466681110222</v>
      </c>
      <c r="AM70" s="62">
        <f t="shared" si="59"/>
        <v>812.68800014443559</v>
      </c>
      <c r="AN70" s="62">
        <f ca="1">AVERAGE(OFFSET($AM$3,0,0,'Données projet'!$E$10+1,1))-AVERAGE(OFFSET($H$3,0,0,'Données projet'!$E$10+1,1))</f>
        <v>318.69447733545013</v>
      </c>
      <c r="AO70" s="62">
        <f t="shared" si="90"/>
        <v>186.33351136372443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2.6380033309256681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0.66079423335503518</v>
      </c>
      <c r="AX70" s="23">
        <f t="shared" si="60"/>
        <v>3.2987975642807035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</v>
      </c>
      <c r="BD70" s="13">
        <f>IF('Données projet'!$A$88&gt;35,BD69+BC70-BL69,IF(A70&lt;'Données projet'!$A$88,$BA$205^A70,IF(A70='Données projet'!$A$88,'Données projet'!$B$88,BD69+BC70-BL69)))</f>
        <v>157</v>
      </c>
      <c r="BE70" s="14">
        <f>BD70*VLOOKUP('Données projet'!$B$11,Paramètres!$A$1:$I$89,3,0)*VLOOKUP('Données projet'!$B$11,Paramètres!$A$1:$I$89,5,0)</f>
        <v>159.19800000000001</v>
      </c>
      <c r="BF70" s="14">
        <f t="shared" si="91"/>
        <v>40.661569197787308</v>
      </c>
      <c r="BG70" s="22">
        <f t="shared" si="61"/>
        <v>348.08874968614623</v>
      </c>
      <c r="BH70" s="62">
        <f t="shared" si="62"/>
        <v>641.42208301947949</v>
      </c>
      <c r="BI70" s="62">
        <f ca="1">AVERAGE(OFFSET($BH$3,0,0,'Données projet'!$E$11+1,1))-AVERAGE(OFFSET($H$3,0,0,'Données projet'!$E$11+1,1))</f>
        <v>238.29088076221427</v>
      </c>
      <c r="BJ70" s="62">
        <f t="shared" si="92"/>
        <v>102.64102748467457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1.7430527308274619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1.7430527308274619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19.448</v>
      </c>
      <c r="D71" s="12">
        <f t="shared" si="86"/>
        <v>6.3445666935478933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199.10051482738723</v>
      </c>
      <c r="H71" s="70">
        <f t="shared" si="56"/>
        <v>338.25538699126258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11.5</v>
      </c>
      <c r="N71" s="14">
        <f>IF('Données projet'!$A$36&gt;35,N70+M71-V70,IF(A71&lt;'Données projet'!$A$36,$K$205^A71,IF(A71='Données projet'!$A$36,'Données projet'!$B$36,N70+M71-V70)))</f>
        <v>302.00000000000011</v>
      </c>
      <c r="O71" s="14">
        <f>N71*VLOOKUP('Données projet'!$B$9,Paramètres!$A$1:$I$89,3,0)*VLOOKUP('Données projet'!$B$9,Paramètres!$A$1:$I$89,5,0)</f>
        <v>141.33600000000007</v>
      </c>
      <c r="P71" s="14">
        <f t="shared" si="87"/>
        <v>36.602894951566547</v>
      </c>
      <c r="Q71" s="22">
        <f t="shared" si="54"/>
        <v>309.91024204064519</v>
      </c>
      <c r="R71" s="62">
        <f t="shared" si="55"/>
        <v>603.2435753739785</v>
      </c>
      <c r="S71" s="62">
        <f ca="1">AVERAGE(OFFSET($R$3,0,0,'Données projet'!$E$9+1,1))-AVERAGE(OFFSET($H$3,0,0,'Données projet'!$E$9+1,1))</f>
        <v>188.51537094662768</v>
      </c>
      <c r="T71" s="62">
        <f t="shared" si="88"/>
        <v>181.95202230446716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9.6129626163278239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9.6129626163278239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</v>
      </c>
      <c r="AI71" s="14">
        <f>IF('Données projet'!$A$62&gt;35,AI70+AH71-AQ70,IF(A71&lt;'Données projet'!$A$62,$AF$205^A71,IF(A71='Données projet'!$A$62,'Données projet'!$B$62,AI70+AH71-AQ70)))</f>
        <v>408.00000000000023</v>
      </c>
      <c r="AJ71" s="14">
        <f>AI71*VLOOKUP('Données projet'!$B$10,Paramètres!$A$1:$I$89,3,0)*VLOOKUP('Données projet'!$B$10,Paramètres!$A$1:$I$89,5,0)</f>
        <v>243.98400000000015</v>
      </c>
      <c r="AK71" s="14">
        <f t="shared" si="89"/>
        <v>59.295884425255011</v>
      </c>
      <c r="AL71" s="22">
        <f t="shared" si="58"/>
        <v>528.21246537398599</v>
      </c>
      <c r="AM71" s="62">
        <f t="shared" si="59"/>
        <v>821.54579870731936</v>
      </c>
      <c r="AN71" s="62">
        <f ca="1">AVERAGE(OFFSET($AM$3,0,0,'Données projet'!$E$10+1,1))-AVERAGE(OFFSET($H$3,0,0,'Données projet'!$E$10+1,1))</f>
        <v>318.69447733545013</v>
      </c>
      <c r="AO71" s="62">
        <f t="shared" si="90"/>
        <v>186.33351136372443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2.5862736946293698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0.46725208337431129</v>
      </c>
      <c r="AX71" s="23">
        <f t="shared" si="60"/>
        <v>3.0535257780036811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</v>
      </c>
      <c r="BD71" s="13">
        <f>IF('Données projet'!$A$88&gt;35,BD70+BC71-BL70,IF(A71&lt;'Données projet'!$A$88,$BA$205^A71,IF(A71='Données projet'!$A$88,'Données projet'!$B$88,BD70+BC71-BL70)))</f>
        <v>162</v>
      </c>
      <c r="BE71" s="14">
        <f>BD71*VLOOKUP('Données projet'!$B$11,Paramètres!$A$1:$I$89,3,0)*VLOOKUP('Données projet'!$B$11,Paramètres!$A$1:$I$89,5,0)</f>
        <v>164.268</v>
      </c>
      <c r="BF71" s="14">
        <f t="shared" si="91"/>
        <v>41.803694835525619</v>
      </c>
      <c r="BG71" s="22">
        <f t="shared" si="61"/>
        <v>358.90820183854044</v>
      </c>
      <c r="BH71" s="62">
        <f t="shared" si="62"/>
        <v>652.24153517187369</v>
      </c>
      <c r="BI71" s="62">
        <f ca="1">AVERAGE(OFFSET($BH$3,0,0,'Données projet'!$E$11+1,1))-AVERAGE(OFFSET($H$3,0,0,'Données projet'!$E$11+1,1))</f>
        <v>238.29088076221427</v>
      </c>
      <c r="BJ71" s="62">
        <f t="shared" si="92"/>
        <v>102.64102748467457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1.7088725299331231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1.7088725299331231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72" s="12">
        <f t="shared" si="86"/>
        <v>6.4269385620606752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201.94408714573157</v>
      </c>
      <c r="H72" s="70">
        <f t="shared" si="56"/>
        <v>338.89696799558897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11.5</v>
      </c>
      <c r="N72" s="14">
        <f>IF('Données projet'!$A$36&gt;35,N71+M72-V71,IF(A72&lt;'Données projet'!$A$36,$K$205^A72,IF(A72='Données projet'!$A$36,'Données projet'!$B$36,N71+M72-V71)))</f>
        <v>313.50000000000011</v>
      </c>
      <c r="O72" s="14">
        <f>N72*VLOOKUP('Données projet'!$B$9,Paramètres!$A$1:$I$89,3,0)*VLOOKUP('Données projet'!$B$9,Paramètres!$A$1:$I$89,5,0)</f>
        <v>146.71800000000005</v>
      </c>
      <c r="P72" s="14">
        <f t="shared" si="87"/>
        <v>37.831781747183072</v>
      </c>
      <c r="Q72" s="22">
        <f t="shared" si="54"/>
        <v>321.42420320967722</v>
      </c>
      <c r="R72" s="62">
        <f t="shared" si="55"/>
        <v>614.75753654301047</v>
      </c>
      <c r="S72" s="62">
        <f ca="1">AVERAGE(OFFSET($R$3,0,0,'Données projet'!$E$9+1,1))-AVERAGE(OFFSET($H$3,0,0,'Données projet'!$E$9+1,1))</f>
        <v>188.51537094662768</v>
      </c>
      <c r="T72" s="62">
        <f t="shared" si="88"/>
        <v>181.95202230446716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9.4244582827498764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9.4244582827498764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</v>
      </c>
      <c r="AI72" s="14">
        <f>IF('Données projet'!$A$62&gt;35,AI71+AH72-AQ71,IF(A72&lt;'Données projet'!$A$62,$AF$205^A72,IF(A72='Données projet'!$A$62,'Données projet'!$B$62,AI71+AH72-AQ71)))</f>
        <v>415.00000000000023</v>
      </c>
      <c r="AJ72" s="14">
        <f>AI72*VLOOKUP('Données projet'!$B$10,Paramètres!$A$1:$I$89,3,0)*VLOOKUP('Données projet'!$B$10,Paramètres!$A$1:$I$89,5,0)</f>
        <v>248.17000000000016</v>
      </c>
      <c r="AK72" s="14">
        <f t="shared" si="89"/>
        <v>60.193906493778854</v>
      </c>
      <c r="AL72" s="22">
        <f t="shared" si="58"/>
        <v>537.06713714333182</v>
      </c>
      <c r="AM72" s="62">
        <f t="shared" si="59"/>
        <v>830.40047047666508</v>
      </c>
      <c r="AN72" s="62">
        <f ca="1">AVERAGE(OFFSET($AM$3,0,0,'Données projet'!$E$10+1,1))-AVERAGE(OFFSET($H$3,0,0,'Données projet'!$E$10+1,1))</f>
        <v>318.69447733545013</v>
      </c>
      <c r="AO72" s="62">
        <f t="shared" si="90"/>
        <v>186.33351136372443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2.5355584449488795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0.33039711667751759</v>
      </c>
      <c r="AX72" s="23">
        <f t="shared" si="60"/>
        <v>2.865955561626397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</v>
      </c>
      <c r="BD72" s="13">
        <f>IF('Données projet'!$A$88&gt;35,BD71+BC72-BL71,IF(A72&lt;'Données projet'!$A$88,$BA$205^A72,IF(A72='Données projet'!$A$88,'Données projet'!$B$88,BD71+BC72-BL71)))</f>
        <v>167</v>
      </c>
      <c r="BE72" s="14">
        <f>BD72*VLOOKUP('Données projet'!$B$11,Paramètres!$A$1:$I$89,3,0)*VLOOKUP('Données projet'!$B$11,Paramètres!$A$1:$I$89,5,0)</f>
        <v>169.33799999999999</v>
      </c>
      <c r="BF72" s="14">
        <f t="shared" si="91"/>
        <v>42.941723955722921</v>
      </c>
      <c r="BG72" s="22">
        <f t="shared" si="61"/>
        <v>369.72051922288409</v>
      </c>
      <c r="BH72" s="62">
        <f t="shared" si="62"/>
        <v>663.05385255621741</v>
      </c>
      <c r="BI72" s="62">
        <f ca="1">AVERAGE(OFFSET($BH$3,0,0,'Données projet'!$E$11+1,1))-AVERAGE(OFFSET($H$3,0,0,'Données projet'!$E$11+1,1))</f>
        <v>238.29088076221427</v>
      </c>
      <c r="BJ72" s="62">
        <f t="shared" si="92"/>
        <v>102.64102748467457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1.6753625819304583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1.6753625819304583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20.020000000000003</v>
      </c>
      <c r="D73" s="12">
        <f t="shared" si="86"/>
        <v>6.509171584815296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204.78658767225843</v>
      </c>
      <c r="H73" s="70">
        <f t="shared" si="56"/>
        <v>339.53830717688663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325</v>
      </c>
      <c r="L73" s="13">
        <f>VLOOKUP(A73,'Données projet'!$A$35:$I$55,9,0)</f>
        <v>11.5</v>
      </c>
      <c r="M73" s="13">
        <f t="array" ref="M73">INDEX(L:L,MIN(IF(ISNUMBER(L73:L269),ROW(L73:L269),"")))</f>
        <v>11.5</v>
      </c>
      <c r="N73" s="14">
        <f>IF('Données projet'!$A$36&gt;35,N72+M73-V72,IF(A73&lt;'Données projet'!$A$36,$K$205^A73,IF(A73='Données projet'!$A$36,'Données projet'!$B$36,N72+M73-V72)))</f>
        <v>325.00000000000011</v>
      </c>
      <c r="O73" s="14">
        <f>N73*VLOOKUP('Données projet'!$B$9,Paramètres!$A$1:$I$89,3,0)*VLOOKUP('Données projet'!$B$9,Paramètres!$A$1:$I$89,5,0)</f>
        <v>152.10000000000005</v>
      </c>
      <c r="P73" s="14">
        <f t="shared" si="87"/>
        <v>39.05543131832313</v>
      </c>
      <c r="Q73" s="22">
        <f t="shared" si="54"/>
        <v>332.92904287941286</v>
      </c>
      <c r="R73" s="62">
        <f t="shared" si="55"/>
        <v>626.26237621274618</v>
      </c>
      <c r="S73" s="62">
        <f ca="1">AVERAGE(OFFSET($R$3,0,0,'Données projet'!$E$9+1,1))-AVERAGE(OFFSET($H$3,0,0,'Données projet'!$E$9+1,1))</f>
        <v>188.51537094662768</v>
      </c>
      <c r="T73" s="62">
        <f t="shared" si="88"/>
        <v>181.95202230446716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100</v>
      </c>
      <c r="W73" s="17">
        <f>IF(ISNA(VLOOKUP(A73,'Données projet'!$A$35:$I$55,5,0)),0%,VLOOKUP(A73,'Données projet'!$A$35:$I$55,5,0)*VLOOKUP('Données projet'!$B$9,Paramètres!$A$1:$I$89,7,0))</f>
        <v>0.13750000000000001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17.776092674930545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17.776092674930545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422</v>
      </c>
      <c r="AG73" s="13">
        <f>VLOOKUP(A73,'Données projet'!$A$61:$I$81,9,0)</f>
        <v>7</v>
      </c>
      <c r="AH73" s="13">
        <f t="array" ref="AH73">INDEX(AG:AG,MIN(IF(ISNUMBER(AG73:AG269),ROW(AG73:AG269),"")))</f>
        <v>7</v>
      </c>
      <c r="AI73" s="14">
        <f>IF('Données projet'!$A$62&gt;35,AI72+AH73-AQ72,IF(A73&lt;'Données projet'!$A$62,$AF$205^A73,IF(A73='Données projet'!$A$62,'Données projet'!$B$62,AI72+AH73-AQ72)))</f>
        <v>422.00000000000023</v>
      </c>
      <c r="AJ73" s="14">
        <f>AI73*VLOOKUP('Données projet'!$B$10,Paramètres!$A$1:$I$89,3,0)*VLOOKUP('Données projet'!$B$10,Paramètres!$A$1:$I$89,5,0)</f>
        <v>252.35600000000017</v>
      </c>
      <c r="AK73" s="14">
        <f t="shared" si="89"/>
        <v>61.090167050998808</v>
      </c>
      <c r="AL73" s="22">
        <f t="shared" si="58"/>
        <v>545.91874094715649</v>
      </c>
      <c r="AM73" s="62">
        <f t="shared" si="59"/>
        <v>839.25207428048975</v>
      </c>
      <c r="AN73" s="62">
        <f ca="1">AVERAGE(OFFSET($AM$3,0,0,'Données projet'!$E$10+1,1))-AVERAGE(OFFSET($H$3,0,0,'Données projet'!$E$10+1,1))</f>
        <v>318.69447733545013</v>
      </c>
      <c r="AO73" s="62">
        <f t="shared" si="90"/>
        <v>186.33351136372443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26</v>
      </c>
      <c r="AR73" s="17">
        <f>IF(ISNA(VLOOKUP(A73,'Données projet'!$A$61:$I$81,5,0)),0%,VLOOKUP(A73,'Données projet'!$A$61:$I$81,5,0)*VLOOKUP('Données projet'!$B$10,Paramètres!$A$1:$I$89,7,0))</f>
        <v>0.1125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0.4</v>
      </c>
      <c r="AU73" s="23">
        <f>EXP(-LN(2)/35)*AU72+(1-EXP(-LN(2)/35))/(LN(2)/35)*AQ73*AR73*VLOOKUP('Données projet'!$B$10,Paramètres!$A$1:$I$89,3,0)*0.475*44/12</f>
        <v>4.8061979076134467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7.2752051464637519</v>
      </c>
      <c r="AX73" s="23">
        <f t="shared" si="60"/>
        <v>12.081403054077199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172</v>
      </c>
      <c r="BB73" s="13">
        <f>VLOOKUP(A73,'Données projet'!$A$87:$I$107,9,0)</f>
        <v>5</v>
      </c>
      <c r="BC73" s="13">
        <f t="array" ref="BC73">INDEX(BB:BB,MIN(IF(ISNUMBER(BB73:BB269),ROW(BB73:BB269),"")))</f>
        <v>5</v>
      </c>
      <c r="BD73" s="13">
        <f>IF('Données projet'!$A$88&gt;35,BD72+BC73-BL72,IF(A73&lt;'Données projet'!$A$88,$BA$205^A73,IF(A73='Données projet'!$A$88,'Données projet'!$B$88,BD72+BC73-BL72)))</f>
        <v>172</v>
      </c>
      <c r="BE73" s="14">
        <f>BD73*VLOOKUP('Données projet'!$B$11,Paramètres!$A$1:$I$89,3,0)*VLOOKUP('Données projet'!$B$11,Paramètres!$A$1:$I$89,5,0)</f>
        <v>174.40800000000002</v>
      </c>
      <c r="BF73" s="14">
        <f t="shared" si="91"/>
        <v>44.075793288194824</v>
      </c>
      <c r="BG73" s="22">
        <f t="shared" si="61"/>
        <v>380.52593997693936</v>
      </c>
      <c r="BH73" s="62">
        <f t="shared" si="62"/>
        <v>673.85927331027267</v>
      </c>
      <c r="BI73" s="62">
        <f ca="1">AVERAGE(OFFSET($BH$3,0,0,'Données projet'!$E$11+1,1))-AVERAGE(OFFSET($H$3,0,0,'Données projet'!$E$11+1,1))</f>
        <v>238.29088076221427</v>
      </c>
      <c r="BJ73" s="62">
        <f t="shared" si="92"/>
        <v>102.64102748467457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14</v>
      </c>
      <c r="BM73" s="17">
        <f>IF(ISNA(VLOOKUP(A73,'Données projet'!$A$87:$I$107,5,0)),0%,VLOOKUP(A73,'Données projet'!$A$87:$I$107,5,0)*VLOOKUP('Données projet'!$B$11,Paramètres!$A$1:$I$89,7,0))</f>
        <v>6.4500000000000002E-2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2.6547248528253853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2.6547248528253853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20.306000000000004</v>
      </c>
      <c r="D74" s="12">
        <f t="shared" si="86"/>
        <v>6.5912679745146567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207.62803348748162</v>
      </c>
      <c r="H74" s="70">
        <f t="shared" si="56"/>
        <v>340.17940838894634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12.4</v>
      </c>
      <c r="N74" s="14">
        <f>IF('Données projet'!$A$36&gt;35,N73+M74-V73,IF(A74&lt;'Données projet'!$A$36,$K$205^A74,IF(A74='Données projet'!$A$36,'Données projet'!$B$36,N73+M74-V73)))</f>
        <v>237.40000000000009</v>
      </c>
      <c r="O74" s="14">
        <f>N74*VLOOKUP('Données projet'!$B$9,Paramètres!$A$1:$I$89,3,0)*VLOOKUP('Données projet'!$B$9,Paramètres!$A$1:$I$89,5,0)</f>
        <v>111.10320000000004</v>
      </c>
      <c r="P74" s="14">
        <f t="shared" si="87"/>
        <v>29.590755945457946</v>
      </c>
      <c r="Q74" s="22">
        <f t="shared" si="54"/>
        <v>245.04197327167265</v>
      </c>
      <c r="R74" s="62">
        <f t="shared" si="55"/>
        <v>538.37530660500602</v>
      </c>
      <c r="S74" s="62">
        <f ca="1">AVERAGE(OFFSET($R$3,0,0,'Données projet'!$E$9+1,1))-AVERAGE(OFFSET($H$3,0,0,'Données projet'!$E$9+1,1))</f>
        <v>188.51537094662768</v>
      </c>
      <c r="T74" s="62">
        <f t="shared" si="88"/>
        <v>181.95202230446716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17.427514339921096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17.427514339921096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</v>
      </c>
      <c r="AI74" s="14">
        <f>IF('Données projet'!$A$62&gt;35,AI73+AH74-AQ73,IF(A74&lt;'Données projet'!$A$62,$AF$205^A74,IF(A74='Données projet'!$A$62,'Données projet'!$B$62,AI73+AH74-AQ73)))</f>
        <v>402.00000000000023</v>
      </c>
      <c r="AJ74" s="14">
        <f>AI74*VLOOKUP('Données projet'!$B$10,Paramètres!$A$1:$I$89,3,0)*VLOOKUP('Données projet'!$B$10,Paramètres!$A$1:$I$89,5,0)</f>
        <v>240.39600000000013</v>
      </c>
      <c r="AK74" s="14">
        <f t="shared" si="89"/>
        <v>58.524723634421655</v>
      </c>
      <c r="AL74" s="22">
        <f t="shared" si="58"/>
        <v>520.62026032995118</v>
      </c>
      <c r="AM74" s="62">
        <f t="shared" si="59"/>
        <v>813.95359366328444</v>
      </c>
      <c r="AN74" s="62">
        <f ca="1">AVERAGE(OFFSET($AM$3,0,0,'Données projet'!$E$10+1,1))-AVERAGE(OFFSET($H$3,0,0,'Données projet'!$E$10+1,1))</f>
        <v>318.69447733545013</v>
      </c>
      <c r="AO74" s="62">
        <f t="shared" si="90"/>
        <v>186.33351136372443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4.7119512981364098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5.1443468935877892</v>
      </c>
      <c r="AX74" s="23">
        <f t="shared" si="60"/>
        <v>9.8562981917241999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5</v>
      </c>
      <c r="BD74" s="13">
        <f>IF('Données projet'!$A$88&gt;35,BD73+BC74-BL73,IF(A74&lt;'Données projet'!$A$88,$BA$205^A74,IF(A74='Données projet'!$A$88,'Données projet'!$B$88,BD73+BC74-BL73)))</f>
        <v>163</v>
      </c>
      <c r="BE74" s="14">
        <f>BD74*VLOOKUP('Données projet'!$B$11,Paramètres!$A$1:$I$89,3,0)*VLOOKUP('Données projet'!$B$11,Paramètres!$A$1:$I$89,5,0)</f>
        <v>165.28200000000001</v>
      </c>
      <c r="BF74" s="14">
        <f t="shared" si="91"/>
        <v>42.031623878204442</v>
      </c>
      <c r="BG74" s="22">
        <f t="shared" si="61"/>
        <v>361.07122825453939</v>
      </c>
      <c r="BH74" s="62">
        <f t="shared" si="62"/>
        <v>654.40456158787265</v>
      </c>
      <c r="BI74" s="62">
        <f ca="1">AVERAGE(OFFSET($BH$3,0,0,'Données projet'!$E$11+1,1))-AVERAGE(OFFSET($H$3,0,0,'Données projet'!$E$11+1,1))</f>
        <v>238.29088076221427</v>
      </c>
      <c r="BJ74" s="62">
        <f t="shared" si="92"/>
        <v>102.64102748467457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2.6026673176837547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2.6026673176837547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20.592000000000006</v>
      </c>
      <c r="D75" s="12">
        <f t="shared" si="86"/>
        <v>6.6732298779519539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210.46844116313795</v>
      </c>
      <c r="H75" s="70">
        <f t="shared" si="56"/>
        <v>340.8202753707663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12.4</v>
      </c>
      <c r="N75" s="14">
        <f>IF('Données projet'!$A$36&gt;35,N74+M75-V74,IF(A75&lt;'Données projet'!$A$36,$K$205^A75,IF(A75='Données projet'!$A$36,'Données projet'!$B$36,N74+M75-V74)))</f>
        <v>249.8000000000001</v>
      </c>
      <c r="O75" s="14">
        <f>N75*VLOOKUP('Données projet'!$B$9,Paramètres!$A$1:$I$89,3,0)*VLOOKUP('Données projet'!$B$9,Paramètres!$A$1:$I$89,5,0)</f>
        <v>116.90640000000003</v>
      </c>
      <c r="P75" s="14">
        <f t="shared" si="87"/>
        <v>30.95237478413371</v>
      </c>
      <c r="Q75" s="22">
        <f t="shared" si="54"/>
        <v>257.5206994156996</v>
      </c>
      <c r="R75" s="62">
        <f t="shared" si="55"/>
        <v>550.85403274903297</v>
      </c>
      <c r="S75" s="62">
        <f ca="1">AVERAGE(OFFSET($R$3,0,0,'Données projet'!$E$9+1,1))-AVERAGE(OFFSET($H$3,0,0,'Données projet'!$E$9+1,1))</f>
        <v>188.51537094662768</v>
      </c>
      <c r="T75" s="62">
        <f t="shared" si="88"/>
        <v>181.95202230446716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17.085771413449393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17.085771413449393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</v>
      </c>
      <c r="AI75" s="14">
        <f>IF('Données projet'!$A$62&gt;35,AI74+AH75-AQ74,IF(A75&lt;'Données projet'!$A$62,$AF$205^A75,IF(A75='Données projet'!$A$62,'Données projet'!$B$62,AI74+AH75-AQ74)))</f>
        <v>408.00000000000023</v>
      </c>
      <c r="AJ75" s="14">
        <f>AI75*VLOOKUP('Données projet'!$B$10,Paramètres!$A$1:$I$89,3,0)*VLOOKUP('Données projet'!$B$10,Paramètres!$A$1:$I$89,5,0)</f>
        <v>243.98400000000015</v>
      </c>
      <c r="AK75" s="14">
        <f t="shared" si="89"/>
        <v>59.295884425255011</v>
      </c>
      <c r="AL75" s="22">
        <f t="shared" si="58"/>
        <v>528.21246537398599</v>
      </c>
      <c r="AM75" s="62">
        <f t="shared" si="59"/>
        <v>821.54579870731936</v>
      </c>
      <c r="AN75" s="62">
        <f ca="1">AVERAGE(OFFSET($AM$3,0,0,'Données projet'!$E$10+1,1))-AVERAGE(OFFSET($H$3,0,0,'Données projet'!$E$10+1,1))</f>
        <v>318.69447733545013</v>
      </c>
      <c r="AO75" s="62">
        <f t="shared" si="90"/>
        <v>186.33351136372443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4.6195528071864622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3.6376025732318764</v>
      </c>
      <c r="AX75" s="23">
        <f t="shared" si="60"/>
        <v>8.2571553804183395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5</v>
      </c>
      <c r="BD75" s="13">
        <f>IF('Données projet'!$A$88&gt;35,BD74+BC75-BL74,IF(A75&lt;'Données projet'!$A$88,$BA$205^A75,IF(A75='Données projet'!$A$88,'Données projet'!$B$88,BD74+BC75-BL74)))</f>
        <v>168</v>
      </c>
      <c r="BE75" s="14">
        <f>BD75*VLOOKUP('Données projet'!$B$11,Paramètres!$A$1:$I$89,3,0)*VLOOKUP('Données projet'!$B$11,Paramètres!$A$1:$I$89,5,0)</f>
        <v>170.352</v>
      </c>
      <c r="BF75" s="14">
        <f t="shared" si="91"/>
        <v>43.168850382694451</v>
      </c>
      <c r="BG75" s="22">
        <f t="shared" si="61"/>
        <v>371.88214774985948</v>
      </c>
      <c r="BH75" s="62">
        <f t="shared" si="62"/>
        <v>665.2154810831928</v>
      </c>
      <c r="BI75" s="62">
        <f ca="1">AVERAGE(OFFSET($BH$3,0,0,'Données projet'!$E$11+1,1))-AVERAGE(OFFSET($H$3,0,0,'Données projet'!$E$11+1,1))</f>
        <v>238.29088076221427</v>
      </c>
      <c r="BJ75" s="62">
        <f t="shared" si="92"/>
        <v>102.64102748467457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2.5516305990542905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2.5516305990542905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20.878000000000007</v>
      </c>
      <c r="D76" s="12">
        <f t="shared" si="86"/>
        <v>6.7550593788615148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213.30782678419419</v>
      </c>
      <c r="H76" s="70">
        <f t="shared" si="56"/>
        <v>341.46091175151713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12.4</v>
      </c>
      <c r="N76" s="14">
        <f>IF('Données projet'!$A$36&gt;35,N75+M76-V75,IF(A76&lt;'Données projet'!$A$36,$K$205^A76,IF(A76='Données projet'!$A$36,'Données projet'!$B$36,N75+M76-V75)))</f>
        <v>262.2000000000001</v>
      </c>
      <c r="O76" s="14">
        <f>N76*VLOOKUP('Données projet'!$B$9,Paramètres!$A$1:$I$89,3,0)*VLOOKUP('Données projet'!$B$9,Paramètres!$A$1:$I$89,5,0)</f>
        <v>122.70960000000005</v>
      </c>
      <c r="P76" s="14">
        <f t="shared" si="87"/>
        <v>32.306145387002289</v>
      </c>
      <c r="Q76" s="22">
        <f t="shared" si="54"/>
        <v>269.98575654902908</v>
      </c>
      <c r="R76" s="62">
        <f t="shared" si="55"/>
        <v>563.31908988236239</v>
      </c>
      <c r="S76" s="62">
        <f ca="1">AVERAGE(OFFSET($R$3,0,0,'Données projet'!$E$9+1,1))-AVERAGE(OFFSET($H$3,0,0,'Données projet'!$E$9+1,1))</f>
        <v>188.51537094662768</v>
      </c>
      <c r="T76" s="62">
        <f t="shared" si="88"/>
        <v>181.95202230446716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16.750729857323197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16.750729857323197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</v>
      </c>
      <c r="AI76" s="14">
        <f>IF('Données projet'!$A$62&gt;35,AI75+AH76-AQ75,IF(A76&lt;'Données projet'!$A$62,$AF$205^A76,IF(A76='Données projet'!$A$62,'Données projet'!$B$62,AI75+AH76-AQ75)))</f>
        <v>414.00000000000023</v>
      </c>
      <c r="AJ76" s="14">
        <f>AI76*VLOOKUP('Données projet'!$B$10,Paramètres!$A$1:$I$89,3,0)*VLOOKUP('Données projet'!$B$10,Paramètres!$A$1:$I$89,5,0)</f>
        <v>247.57200000000014</v>
      </c>
      <c r="AK76" s="14">
        <f t="shared" si="89"/>
        <v>60.065726249156576</v>
      </c>
      <c r="AL76" s="22">
        <f t="shared" si="58"/>
        <v>535.80237321728134</v>
      </c>
      <c r="AM76" s="62">
        <f t="shared" si="59"/>
        <v>829.13570655061471</v>
      </c>
      <c r="AN76" s="62">
        <f ca="1">AVERAGE(OFFSET($AM$3,0,0,'Données projet'!$E$10+1,1))-AVERAGE(OFFSET($H$3,0,0,'Données projet'!$E$10+1,1))</f>
        <v>318.69447733545013</v>
      </c>
      <c r="AO76" s="62">
        <f t="shared" si="90"/>
        <v>186.33351136372443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4.5289661942865287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2.572173446793895</v>
      </c>
      <c r="AX76" s="23">
        <f t="shared" si="60"/>
        <v>7.1011396410804242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5</v>
      </c>
      <c r="BD76" s="13">
        <f>IF('Données projet'!$A$88&gt;35,BD75+BC76-BL75,IF(A76&lt;'Données projet'!$A$88,$BA$205^A76,IF(A76='Données projet'!$A$88,'Données projet'!$B$88,BD75+BC76-BL75)))</f>
        <v>173</v>
      </c>
      <c r="BE76" s="14">
        <f>BD76*VLOOKUP('Données projet'!$B$11,Paramètres!$A$1:$I$89,3,0)*VLOOKUP('Données projet'!$B$11,Paramètres!$A$1:$I$89,5,0)</f>
        <v>175.422</v>
      </c>
      <c r="BF76" s="14">
        <f t="shared" si="91"/>
        <v>44.302143412304737</v>
      </c>
      <c r="BG76" s="22">
        <f t="shared" si="61"/>
        <v>382.68621644309741</v>
      </c>
      <c r="BH76" s="62">
        <f t="shared" si="62"/>
        <v>676.01954977643072</v>
      </c>
      <c r="BI76" s="62">
        <f ca="1">AVERAGE(OFFSET($BH$3,0,0,'Données projet'!$E$11+1,1))-AVERAGE(OFFSET($H$3,0,0,'Données projet'!$E$11+1,1))</f>
        <v>238.29088076221427</v>
      </c>
      <c r="BJ76" s="62">
        <f t="shared" si="92"/>
        <v>102.64102748467457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2.5015946793478254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2.5015946793478254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21.164000000000009</v>
      </c>
      <c r="D77" s="12">
        <f t="shared" si="86"/>
        <v>6.8367585006090232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216.14620596961359</v>
      </c>
      <c r="H77" s="70">
        <f t="shared" si="56"/>
        <v>342.10132105522734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12.4</v>
      </c>
      <c r="N77" s="14">
        <f>IF('Données projet'!$A$36&gt;35,N76+M77-V76,IF(A77&lt;'Données projet'!$A$36,$K$205^A77,IF(A77='Données projet'!$A$36,'Données projet'!$B$36,N76+M77-V76)))</f>
        <v>274.60000000000008</v>
      </c>
      <c r="O77" s="14">
        <f>N77*VLOOKUP('Données projet'!$B$9,Paramètres!$A$1:$I$89,3,0)*VLOOKUP('Données projet'!$B$9,Paramètres!$A$1:$I$89,5,0)</f>
        <v>128.51280000000003</v>
      </c>
      <c r="P77" s="14">
        <f t="shared" si="87"/>
        <v>33.652481293856333</v>
      </c>
      <c r="Q77" s="22">
        <f t="shared" si="54"/>
        <v>282.43786492013311</v>
      </c>
      <c r="R77" s="62">
        <f t="shared" si="55"/>
        <v>575.77119825346642</v>
      </c>
      <c r="S77" s="62">
        <f ca="1">AVERAGE(OFFSET($R$3,0,0,'Données projet'!$E$9+1,1))-AVERAGE(OFFSET($H$3,0,0,'Données projet'!$E$9+1,1))</f>
        <v>188.51537094662768</v>
      </c>
      <c r="T77" s="62">
        <f t="shared" si="88"/>
        <v>181.95202230446716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16.422258261757463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16.422258261757463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</v>
      </c>
      <c r="AI77" s="14">
        <f>IF('Données projet'!$A$62&gt;35,AI76+AH77-AQ76,IF(A77&lt;'Données projet'!$A$62,$AF$205^A77,IF(A77='Données projet'!$A$62,'Données projet'!$B$62,AI76+AH77-AQ76)))</f>
        <v>420.00000000000023</v>
      </c>
      <c r="AJ77" s="14">
        <f>AI77*VLOOKUP('Données projet'!$B$10,Paramètres!$A$1:$I$89,3,0)*VLOOKUP('Données projet'!$B$10,Paramètres!$A$1:$I$89,5,0)</f>
        <v>251.16000000000014</v>
      </c>
      <c r="AK77" s="14">
        <f t="shared" si="89"/>
        <v>60.834270430141594</v>
      </c>
      <c r="AL77" s="22">
        <f t="shared" si="58"/>
        <v>543.39002099916354</v>
      </c>
      <c r="AM77" s="62">
        <f t="shared" si="59"/>
        <v>836.72335433249691</v>
      </c>
      <c r="AN77" s="62">
        <f ca="1">AVERAGE(OFFSET($AM$3,0,0,'Données projet'!$E$10+1,1))-AVERAGE(OFFSET($H$3,0,0,'Données projet'!$E$10+1,1))</f>
        <v>318.69447733545013</v>
      </c>
      <c r="AO77" s="62">
        <f t="shared" si="90"/>
        <v>186.33351136372443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4.4401559296131845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1.8188012866159387</v>
      </c>
      <c r="AX77" s="23">
        <f t="shared" si="60"/>
        <v>6.2589572162291232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5</v>
      </c>
      <c r="BD77" s="13">
        <f>IF('Données projet'!$A$88&gt;35,BD76+BC77-BL76,IF(A77&lt;'Données projet'!$A$88,$BA$205^A77,IF(A77='Données projet'!$A$88,'Données projet'!$B$88,BD76+BC77-BL76)))</f>
        <v>178</v>
      </c>
      <c r="BE77" s="14">
        <f>BD77*VLOOKUP('Données projet'!$B$11,Paramètres!$A$1:$I$89,3,0)*VLOOKUP('Données projet'!$B$11,Paramètres!$A$1:$I$89,5,0)</f>
        <v>180.49200000000002</v>
      </c>
      <c r="BF77" s="14">
        <f t="shared" si="91"/>
        <v>45.431629706642653</v>
      </c>
      <c r="BG77" s="22">
        <f t="shared" si="61"/>
        <v>393.4836550724026</v>
      </c>
      <c r="BH77" s="62">
        <f t="shared" si="62"/>
        <v>686.81698840573586</v>
      </c>
      <c r="BI77" s="62">
        <f ca="1">AVERAGE(OFFSET($BH$3,0,0,'Données projet'!$E$11+1,1))-AVERAGE(OFFSET($H$3,0,0,'Données projet'!$E$11+1,1))</f>
        <v>238.29088076221427</v>
      </c>
      <c r="BJ77" s="62">
        <f t="shared" si="92"/>
        <v>102.64102748467457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2.4525399335079063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2.4525399335079063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21.45000000000001</v>
      </c>
      <c r="D78" s="12">
        <f t="shared" si="86"/>
        <v>6.9183292087321391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218.9835938919675</v>
      </c>
      <c r="H78" s="70">
        <f t="shared" si="56"/>
        <v>342.74150670520845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12.4</v>
      </c>
      <c r="N78" s="14">
        <f>IF('Données projet'!$A$36&gt;35,N77+M78-V77,IF(A78&lt;'Données projet'!$A$36,$K$205^A78,IF(A78='Données projet'!$A$36,'Données projet'!$B$36,N77+M78-V77)))</f>
        <v>287.00000000000006</v>
      </c>
      <c r="O78" s="14">
        <f>N78*VLOOKUP('Données projet'!$B$9,Paramètres!$A$1:$I$89,3,0)*VLOOKUP('Données projet'!$B$9,Paramètres!$A$1:$I$89,5,0)</f>
        <v>134.31600000000003</v>
      </c>
      <c r="P78" s="14">
        <f t="shared" si="87"/>
        <v>34.991756585122445</v>
      </c>
      <c r="Q78" s="22">
        <f t="shared" si="54"/>
        <v>294.87767605242163</v>
      </c>
      <c r="R78" s="62">
        <f t="shared" si="55"/>
        <v>588.21100938575501</v>
      </c>
      <c r="S78" s="62">
        <f ca="1">AVERAGE(OFFSET($R$3,0,0,'Données projet'!$E$9+1,1))-AVERAGE(OFFSET($H$3,0,0,'Données projet'!$E$9+1,1))</f>
        <v>188.51537094662768</v>
      </c>
      <c r="T78" s="62">
        <f t="shared" si="88"/>
        <v>181.95202230446716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16.100227793832882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16.100227793832882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6</v>
      </c>
      <c r="AI78" s="14">
        <f>IF('Données projet'!$A$62&gt;35,AI77+AH78-AQ77,IF(A78&lt;'Données projet'!$A$62,$AF$205^A78,IF(A78='Données projet'!$A$62,'Données projet'!$B$62,AI77+AH78-AQ77)))</f>
        <v>426.00000000000023</v>
      </c>
      <c r="AJ78" s="14">
        <f>AI78*VLOOKUP('Données projet'!$B$10,Paramètres!$A$1:$I$89,3,0)*VLOOKUP('Données projet'!$B$10,Paramètres!$A$1:$I$89,5,0)</f>
        <v>254.74800000000016</v>
      </c>
      <c r="AK78" s="14">
        <f t="shared" si="89"/>
        <v>61.601537647979256</v>
      </c>
      <c r="AL78" s="22">
        <f t="shared" si="58"/>
        <v>550.97544473689754</v>
      </c>
      <c r="AM78" s="62">
        <f t="shared" si="59"/>
        <v>844.3087780702308</v>
      </c>
      <c r="AN78" s="62">
        <f ca="1">AVERAGE(OFFSET($AM$3,0,0,'Données projet'!$E$10+1,1))-AVERAGE(OFFSET($H$3,0,0,'Données projet'!$E$10+1,1))</f>
        <v>318.69447733545013</v>
      </c>
      <c r="AO78" s="62">
        <f t="shared" si="90"/>
        <v>186.33351136372443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4.3530871800611717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1.2860867233969477</v>
      </c>
      <c r="AX78" s="23">
        <f t="shared" si="60"/>
        <v>5.6391739034581194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183</v>
      </c>
      <c r="BB78" s="13">
        <f>VLOOKUP(A78,'Données projet'!$A$87:$I$107,9,0)</f>
        <v>5</v>
      </c>
      <c r="BC78" s="13">
        <f t="array" ref="BC78">INDEX(BB:BB,MIN(IF(ISNUMBER(BB78:BB274),ROW(BB78:BB274),"")))</f>
        <v>5</v>
      </c>
      <c r="BD78" s="13">
        <f>IF('Données projet'!$A$88&gt;35,BD77+BC78-BL77,IF(A78&lt;'Données projet'!$A$88,$BA$205^A78,IF(A78='Données projet'!$A$88,'Données projet'!$B$88,BD77+BC78-BL77)))</f>
        <v>183</v>
      </c>
      <c r="BE78" s="14">
        <f>BD78*VLOOKUP('Données projet'!$B$11,Paramètres!$A$1:$I$89,3,0)*VLOOKUP('Données projet'!$B$11,Paramètres!$A$1:$I$89,5,0)</f>
        <v>185.56200000000001</v>
      </c>
      <c r="BF78" s="14">
        <f t="shared" si="91"/>
        <v>46.557428480028591</v>
      </c>
      <c r="BG78" s="22">
        <f t="shared" si="61"/>
        <v>404.27467126938313</v>
      </c>
      <c r="BH78" s="62">
        <f t="shared" si="62"/>
        <v>697.60800460271639</v>
      </c>
      <c r="BI78" s="62">
        <f ca="1">AVERAGE(OFFSET($BH$3,0,0,'Données projet'!$E$11+1,1))-AVERAGE(OFFSET($H$3,0,0,'Données projet'!$E$11+1,1))</f>
        <v>238.29088076221427</v>
      </c>
      <c r="BJ78" s="62">
        <f t="shared" si="92"/>
        <v>102.64102748467457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14</v>
      </c>
      <c r="BM78" s="17">
        <f>IF(ISNA(VLOOKUP(A78,'Données projet'!$A$87:$I$107,5,0)),0%,VLOOKUP(A78,'Données projet'!$A$87:$I$107,5,0)*VLOOKUP('Données projet'!$B$11,Paramètres!$A$1:$I$89,7,0))</f>
        <v>6.4500000000000002E-2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3.4166622305697771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3.4166622305697771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21.736000000000011</v>
      </c>
      <c r="D79" s="12">
        <f t="shared" si="86"/>
        <v>6.9997734133417948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221.82000529597187</v>
      </c>
      <c r="H79" s="70">
        <f t="shared" si="56"/>
        <v>343.38147202823694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12.4</v>
      </c>
      <c r="N79" s="14">
        <f>IF('Données projet'!$A$36&gt;35,N78+M79-V78,IF(A79&lt;'Données projet'!$A$36,$K$205^A79,IF(A79='Données projet'!$A$36,'Données projet'!$B$36,N78+M79-V78)))</f>
        <v>299.40000000000003</v>
      </c>
      <c r="O79" s="14">
        <f>N79*VLOOKUP('Données projet'!$B$9,Paramètres!$A$1:$I$89,3,0)*VLOOKUP('Données projet'!$B$9,Paramètres!$A$1:$I$89,5,0)</f>
        <v>140.11920000000001</v>
      </c>
      <c r="P79" s="14">
        <f t="shared" si="87"/>
        <v>36.324311188425177</v>
      </c>
      <c r="Q79" s="22">
        <f t="shared" si="54"/>
        <v>307.30578198650721</v>
      </c>
      <c r="R79" s="62">
        <f t="shared" si="55"/>
        <v>600.63911531984058</v>
      </c>
      <c r="S79" s="62">
        <f ca="1">AVERAGE(OFFSET($R$3,0,0,'Données projet'!$E$9+1,1))-AVERAGE(OFFSET($H$3,0,0,'Données projet'!$E$9+1,1))</f>
        <v>188.51537094662768</v>
      </c>
      <c r="T79" s="62">
        <f t="shared" si="88"/>
        <v>181.95202230446716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15.784512146965113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15.784512146965113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432.00000000000023</v>
      </c>
      <c r="AJ79" s="14">
        <f>AI79*VLOOKUP('Données projet'!$B$10,Paramètres!$A$1:$I$89,3,0)*VLOOKUP('Données projet'!$B$10,Paramètres!$A$1:$I$89,5,0)</f>
        <v>258.33600000000018</v>
      </c>
      <c r="AK79" s="14">
        <f t="shared" si="89"/>
        <v>62.367547966451262</v>
      </c>
      <c r="AL79" s="22">
        <f t="shared" si="58"/>
        <v>558.55867937490291</v>
      </c>
      <c r="AM79" s="62">
        <f t="shared" si="59"/>
        <v>851.89201270823628</v>
      </c>
      <c r="AN79" s="62">
        <f ca="1">AVERAGE(OFFSET($AM$3,0,0,'Données projet'!$E$10+1,1))-AVERAGE(OFFSET($H$3,0,0,'Données projet'!$E$10+1,1))</f>
        <v>318.69447733545013</v>
      </c>
      <c r="AO79" s="62">
        <f t="shared" si="90"/>
        <v>186.33351136372443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4.2677257955811809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0.90940064330796944</v>
      </c>
      <c r="AX79" s="23">
        <f t="shared" si="60"/>
        <v>5.1771264388891503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4.5999999999999996</v>
      </c>
      <c r="BD79" s="13">
        <f>IF('Données projet'!$A$88&gt;35,BD78+BC79-BL78,IF(A79&lt;'Données projet'!$A$88,$BA$205^A79,IF(A79='Données projet'!$A$88,'Données projet'!$B$88,BD78+BC79-BL78)))</f>
        <v>173.6</v>
      </c>
      <c r="BE79" s="14">
        <f>BD79*VLOOKUP('Données projet'!$B$11,Paramètres!$A$1:$I$89,3,0)*VLOOKUP('Données projet'!$B$11,Paramètres!$A$1:$I$89,5,0)</f>
        <v>176.03040000000001</v>
      </c>
      <c r="BF79" s="14">
        <f t="shared" si="91"/>
        <v>44.437880346232944</v>
      </c>
      <c r="BG79" s="22">
        <f t="shared" si="61"/>
        <v>383.98225493635573</v>
      </c>
      <c r="BH79" s="62">
        <f t="shared" si="62"/>
        <v>677.31558826968899</v>
      </c>
      <c r="BI79" s="62">
        <f ca="1">AVERAGE(OFFSET($BH$3,0,0,'Données projet'!$E$11+1,1))-AVERAGE(OFFSET($H$3,0,0,'Données projet'!$E$11+1,1))</f>
        <v>238.29088076221427</v>
      </c>
      <c r="BJ79" s="62">
        <f t="shared" si="92"/>
        <v>102.64102748467457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3.3496635681864908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3.3496635681864908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22.022000000000013</v>
      </c>
      <c r="D80" s="12">
        <f t="shared" si="86"/>
        <v>7.0810929713935078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224.6554545160202</v>
      </c>
      <c r="H80" s="70">
        <f t="shared" si="56"/>
        <v>344.02122025851037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12.4</v>
      </c>
      <c r="N80" s="14">
        <f>IF('Données projet'!$A$36&gt;35,N79+M80-V79,IF(A80&lt;'Données projet'!$A$36,$K$205^A80,IF(A80='Données projet'!$A$36,'Données projet'!$B$36,N79+M80-V79)))</f>
        <v>311.8</v>
      </c>
      <c r="O80" s="14">
        <f>N80*VLOOKUP('Données projet'!$B$9,Paramètres!$A$1:$I$89,3,0)*VLOOKUP('Données projet'!$B$9,Paramètres!$A$1:$I$89,5,0)</f>
        <v>145.92240000000001</v>
      </c>
      <c r="P80" s="14">
        <f t="shared" si="87"/>
        <v>37.650455281273636</v>
      </c>
      <c r="Q80" s="22">
        <f t="shared" si="54"/>
        <v>319.72272294821823</v>
      </c>
      <c r="R80" s="62">
        <f t="shared" si="55"/>
        <v>613.05605628155149</v>
      </c>
      <c r="S80" s="62">
        <f ca="1">AVERAGE(OFFSET($R$3,0,0,'Données projet'!$E$9+1,1))-AVERAGE(OFFSET($H$3,0,0,'Données projet'!$E$9+1,1))</f>
        <v>188.51537094662768</v>
      </c>
      <c r="T80" s="62">
        <f t="shared" si="88"/>
        <v>181.95202230446716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15.474987491364891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15.474987491364891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438.00000000000023</v>
      </c>
      <c r="AJ80" s="14">
        <f>AI80*VLOOKUP('Données projet'!$B$10,Paramètres!$A$1:$I$89,3,0)*VLOOKUP('Données projet'!$B$10,Paramètres!$A$1:$I$89,5,0)</f>
        <v>261.92400000000015</v>
      </c>
      <c r="AK80" s="14">
        <f t="shared" si="89"/>
        <v>63.132320859995701</v>
      </c>
      <c r="AL80" s="22">
        <f t="shared" si="58"/>
        <v>566.13975883115938</v>
      </c>
      <c r="AM80" s="62">
        <f t="shared" si="59"/>
        <v>859.47309216449275</v>
      </c>
      <c r="AN80" s="62">
        <f ca="1">AVERAGE(OFFSET($AM$3,0,0,'Données projet'!$E$10+1,1))-AVERAGE(OFFSET($H$3,0,0,'Données projet'!$E$10+1,1))</f>
        <v>318.69447733545013</v>
      </c>
      <c r="AO80" s="62">
        <f t="shared" si="90"/>
        <v>186.33351136372443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4.1840382957855384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0.64304336169847398</v>
      </c>
      <c r="AX80" s="23">
        <f t="shared" si="60"/>
        <v>4.8270816574840127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4.5999999999999996</v>
      </c>
      <c r="BD80" s="13">
        <f>IF('Données projet'!$A$88&gt;35,BD79+BC80-BL79,IF(A80&lt;'Données projet'!$A$88,$BA$205^A80,IF(A80='Données projet'!$A$88,'Données projet'!$B$88,BD79+BC80-BL79)))</f>
        <v>178.2</v>
      </c>
      <c r="BE80" s="14">
        <f>BD80*VLOOKUP('Données projet'!$B$11,Paramètres!$A$1:$I$89,3,0)*VLOOKUP('Données projet'!$B$11,Paramètres!$A$1:$I$89,5,0)</f>
        <v>180.69480000000001</v>
      </c>
      <c r="BF80" s="14">
        <f t="shared" si="91"/>
        <v>45.47673168866379</v>
      </c>
      <c r="BG80" s="22">
        <f t="shared" si="61"/>
        <v>393.91541769108943</v>
      </c>
      <c r="BH80" s="62">
        <f t="shared" si="62"/>
        <v>687.24875102442275</v>
      </c>
      <c r="BI80" s="62">
        <f ca="1">AVERAGE(OFFSET($BH$3,0,0,'Données projet'!$E$11+1,1))-AVERAGE(OFFSET($H$3,0,0,'Données projet'!$E$11+1,1))</f>
        <v>238.29088076221427</v>
      </c>
      <c r="BJ80" s="62">
        <f t="shared" si="92"/>
        <v>102.64102748467457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3.2839787087073917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3.2839787087073917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22.308000000000014</v>
      </c>
      <c r="D81" s="12">
        <f t="shared" si="86"/>
        <v>7.1622896888373271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227.48995549277947</v>
      </c>
      <c r="H81" s="70">
        <f t="shared" si="56"/>
        <v>344.66075454139167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12.4</v>
      </c>
      <c r="N81" s="14">
        <f>IF('Données projet'!$A$36&gt;35,N80+M81-V80,IF(A81&lt;'Données projet'!$A$36,$K$205^A81,IF(A81='Données projet'!$A$36,'Données projet'!$B$36,N80+M81-V80)))</f>
        <v>324.2</v>
      </c>
      <c r="O81" s="14">
        <f>N81*VLOOKUP('Données projet'!$B$9,Paramètres!$A$1:$I$89,3,0)*VLOOKUP('Données projet'!$B$9,Paramètres!$A$1:$I$89,5,0)</f>
        <v>151.72559999999999</v>
      </c>
      <c r="P81" s="14">
        <f t="shared" si="87"/>
        <v>38.970472973672763</v>
      </c>
      <c r="Q81" s="22">
        <f t="shared" si="54"/>
        <v>332.12899376248009</v>
      </c>
      <c r="R81" s="62">
        <f t="shared" si="55"/>
        <v>625.46232709581341</v>
      </c>
      <c r="S81" s="62">
        <f ca="1">AVERAGE(OFFSET($R$3,0,0,'Données projet'!$E$9+1,1))-AVERAGE(OFFSET($H$3,0,0,'Données projet'!$E$9+1,1))</f>
        <v>188.51537094662768</v>
      </c>
      <c r="T81" s="62">
        <f t="shared" si="88"/>
        <v>181.95202230446716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15.171532425469589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15.171532425469589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444.00000000000023</v>
      </c>
      <c r="AJ81" s="14">
        <f>AI81*VLOOKUP('Données projet'!$B$10,Paramètres!$A$1:$I$89,3,0)*VLOOKUP('Données projet'!$B$10,Paramètres!$A$1:$I$89,5,0)</f>
        <v>265.51200000000017</v>
      </c>
      <c r="AK81" s="14">
        <f t="shared" si="89"/>
        <v>63.895875238848916</v>
      </c>
      <c r="AL81" s="22">
        <f t="shared" si="58"/>
        <v>573.71871604099545</v>
      </c>
      <c r="AM81" s="62">
        <f t="shared" si="59"/>
        <v>867.05204937432882</v>
      </c>
      <c r="AN81" s="62">
        <f ca="1">AVERAGE(OFFSET($AM$3,0,0,'Données projet'!$E$10+1,1))-AVERAGE(OFFSET($H$3,0,0,'Données projet'!$E$10+1,1))</f>
        <v>318.69447733545013</v>
      </c>
      <c r="AO81" s="62">
        <f t="shared" si="90"/>
        <v>186.33351136372443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4.1019918568165545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0.45470032165398483</v>
      </c>
      <c r="AX81" s="23">
        <f t="shared" si="60"/>
        <v>4.5566921784705396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4.5999999999999996</v>
      </c>
      <c r="BD81" s="13">
        <f>IF('Données projet'!$A$88&gt;35,BD80+BC81-BL80,IF(A81&lt;'Données projet'!$A$88,$BA$205^A81,IF(A81='Données projet'!$A$88,'Données projet'!$B$88,BD80+BC81-BL80)))</f>
        <v>182.79999999999998</v>
      </c>
      <c r="BE81" s="14">
        <f>BD81*VLOOKUP('Données projet'!$B$11,Paramètres!$A$1:$I$89,3,0)*VLOOKUP('Données projet'!$B$11,Paramètres!$A$1:$I$89,5,0)</f>
        <v>185.35919999999999</v>
      </c>
      <c r="BF81" s="14">
        <f t="shared" si="91"/>
        <v>46.512465899126433</v>
      </c>
      <c r="BG81" s="22">
        <f t="shared" si="61"/>
        <v>403.84315144097854</v>
      </c>
      <c r="BH81" s="62">
        <f t="shared" si="62"/>
        <v>697.1764847743118</v>
      </c>
      <c r="BI81" s="62">
        <f ca="1">AVERAGE(OFFSET($BH$3,0,0,'Données projet'!$E$11+1,1))-AVERAGE(OFFSET($H$3,0,0,'Données projet'!$E$11+1,1))</f>
        <v>238.29088076221427</v>
      </c>
      <c r="BJ81" s="62">
        <f t="shared" si="92"/>
        <v>102.64102748467457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3.2195818892588695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3.2195818892588695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22.594000000000015</v>
      </c>
      <c r="D82" s="12">
        <f t="shared" si="86"/>
        <v>7.2433653226544212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230.32352178891142</v>
      </c>
      <c r="H82" s="70">
        <f t="shared" si="56"/>
        <v>345.30007793695643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12.4</v>
      </c>
      <c r="N82" s="14">
        <f>IF('Données projet'!$A$36&gt;35,N81+M82-V81,IF(A82&lt;'Données projet'!$A$36,$K$205^A82,IF(A82='Données projet'!$A$36,'Données projet'!$B$36,N81+M82-V81)))</f>
        <v>336.59999999999997</v>
      </c>
      <c r="O82" s="14">
        <f>N82*VLOOKUP('Données projet'!$B$9,Paramètres!$A$1:$I$89,3,0)*VLOOKUP('Données projet'!$B$9,Paramètres!$A$1:$I$89,5,0)</f>
        <v>157.52879999999999</v>
      </c>
      <c r="P82" s="14">
        <f t="shared" si="87"/>
        <v>40.284625411478977</v>
      </c>
      <c r="Q82" s="22">
        <f t="shared" si="54"/>
        <v>344.52504925832585</v>
      </c>
      <c r="R82" s="62">
        <f t="shared" si="55"/>
        <v>637.85838259165916</v>
      </c>
      <c r="S82" s="62">
        <f ca="1">AVERAGE(OFFSET($R$3,0,0,'Données projet'!$E$9+1,1))-AVERAGE(OFFSET($H$3,0,0,'Données projet'!$E$9+1,1))</f>
        <v>188.51537094662768</v>
      </c>
      <c r="T82" s="62">
        <f t="shared" si="88"/>
        <v>181.95202230446716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14.87402792832718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14.87402792832718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450.00000000000023</v>
      </c>
      <c r="AJ82" s="14">
        <f>AI82*VLOOKUP('Données projet'!$B$10,Paramètres!$A$1:$I$89,3,0)*VLOOKUP('Données projet'!$B$10,Paramètres!$A$1:$I$89,5,0)</f>
        <v>269.10000000000014</v>
      </c>
      <c r="AK82" s="14">
        <f t="shared" si="89"/>
        <v>64.658229472791049</v>
      </c>
      <c r="AL82" s="22">
        <f t="shared" si="58"/>
        <v>581.29558299844462</v>
      </c>
      <c r="AM82" s="62">
        <f t="shared" si="59"/>
        <v>874.62891633177787</v>
      </c>
      <c r="AN82" s="62">
        <f ca="1">AVERAGE(OFFSET($AM$3,0,0,'Données projet'!$E$10+1,1))-AVERAGE(OFFSET($H$3,0,0,'Données projet'!$E$10+1,1))</f>
        <v>318.69447733545013</v>
      </c>
      <c r="AO82" s="62">
        <f t="shared" si="90"/>
        <v>186.33351136372443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4.021554298472366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0.32152168084923705</v>
      </c>
      <c r="AX82" s="23">
        <f t="shared" si="60"/>
        <v>4.3430759793216032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4.5999999999999996</v>
      </c>
      <c r="BD82" s="13">
        <f>IF('Données projet'!$A$88&gt;35,BD81+BC82-BL81,IF(A82&lt;'Données projet'!$A$88,$BA$205^A82,IF(A82='Données projet'!$A$88,'Données projet'!$B$88,BD81+BC82-BL81)))</f>
        <v>187.39999999999998</v>
      </c>
      <c r="BE82" s="14">
        <f>BD82*VLOOKUP('Données projet'!$B$11,Paramètres!$A$1:$I$89,3,0)*VLOOKUP('Données projet'!$B$11,Paramètres!$A$1:$I$89,5,0)</f>
        <v>190.02359999999999</v>
      </c>
      <c r="BF82" s="14">
        <f t="shared" si="91"/>
        <v>47.545170438433438</v>
      </c>
      <c r="BG82" s="22">
        <f t="shared" si="61"/>
        <v>413.76560851360483</v>
      </c>
      <c r="BH82" s="62">
        <f t="shared" si="62"/>
        <v>707.09894184693815</v>
      </c>
      <c r="BI82" s="62">
        <f ca="1">AVERAGE(OFFSET($BH$3,0,0,'Données projet'!$E$11+1,1))-AVERAGE(OFFSET($H$3,0,0,'Données projet'!$E$11+1,1))</f>
        <v>238.29088076221427</v>
      </c>
      <c r="BJ82" s="62">
        <f t="shared" si="92"/>
        <v>102.64102748467457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3.1564478521615511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3.1564478521615511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22.880000000000017</v>
      </c>
      <c r="D83" s="12">
        <f t="shared" si="86"/>
        <v>7.3243215827875563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233.15616660397424</v>
      </c>
      <c r="H83" s="70">
        <f t="shared" si="56"/>
        <v>345.93919342335499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349</v>
      </c>
      <c r="L83" s="13">
        <f>VLOOKUP(A83,'Données projet'!$A$35:$I$55,9,0)</f>
        <v>12.4</v>
      </c>
      <c r="M83" s="13">
        <f t="array" ref="M83">INDEX(L:L,MIN(IF(ISNUMBER(L83:L279),ROW(L83:L279),"")))</f>
        <v>12.4</v>
      </c>
      <c r="N83" s="14">
        <f>IF('Données projet'!$A$36&gt;35,N82+M83-V82,IF(A83&lt;'Données projet'!$A$36,$K$205^A83,IF(A83='Données projet'!$A$36,'Données projet'!$B$36,N82+M83-V82)))</f>
        <v>348.99999999999994</v>
      </c>
      <c r="O83" s="14">
        <f>N83*VLOOKUP('Données projet'!$B$9,Paramètres!$A$1:$I$89,3,0)*VLOOKUP('Données projet'!$B$9,Paramètres!$A$1:$I$89,5,0)</f>
        <v>163.33199999999997</v>
      </c>
      <c r="P83" s="14">
        <f t="shared" si="87"/>
        <v>41.593153409603509</v>
      </c>
      <c r="Q83" s="22">
        <f t="shared" si="54"/>
        <v>356.91130885505936</v>
      </c>
      <c r="R83" s="62">
        <f t="shared" si="55"/>
        <v>650.24464218839262</v>
      </c>
      <c r="S83" s="62">
        <f ca="1">AVERAGE(OFFSET($R$3,0,0,'Données projet'!$E$9+1,1))-AVERAGE(OFFSET($H$3,0,0,'Données projet'!$E$9+1,1))</f>
        <v>188.51537094662768</v>
      </c>
      <c r="T83" s="62">
        <f t="shared" si="88"/>
        <v>181.95202230446716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110</v>
      </c>
      <c r="W83" s="17">
        <f>IF(ISNA(VLOOKUP(A83,'Données projet'!$A$35:$I$55,5,0)),0%,VLOOKUP(A83,'Données projet'!$A$35:$I$55,5,0)*VLOOKUP('Données projet'!$B$9,Paramètres!$A$1:$I$89,7,0))</f>
        <v>0.16500000000000001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25.850461110308451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25.850461110308451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456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456.00000000000023</v>
      </c>
      <c r="AJ83" s="14">
        <f>AI83*VLOOKUP('Données projet'!$B$10,Paramètres!$A$1:$I$89,3,0)*VLOOKUP('Données projet'!$B$10,Paramètres!$A$1:$I$89,5,0)</f>
        <v>272.68800000000016</v>
      </c>
      <c r="AK83" s="14">
        <f t="shared" si="89"/>
        <v>65.419401413587593</v>
      </c>
      <c r="AL83" s="22">
        <f t="shared" si="58"/>
        <v>588.87039079533201</v>
      </c>
      <c r="AM83" s="62">
        <f t="shared" si="59"/>
        <v>882.20372412866527</v>
      </c>
      <c r="AN83" s="62">
        <f ca="1">AVERAGE(OFFSET($AM$3,0,0,'Données projet'!$E$10+1,1))-AVERAGE(OFFSET($H$3,0,0,'Données projet'!$E$10+1,1))</f>
        <v>318.69447733545013</v>
      </c>
      <c r="AO83" s="62">
        <f t="shared" si="90"/>
        <v>186.33351136372443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24</v>
      </c>
      <c r="AR83" s="17">
        <f>IF(ISNA(VLOOKUP(A83,'Données projet'!$A$61:$I$81,5,0)),0%,VLOOKUP(A83,'Données projet'!$A$61:$I$81,5,0)*VLOOKUP('Données projet'!$B$10,Paramètres!$A$1:$I$89,7,0))</f>
        <v>0.13500000000000001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0.4</v>
      </c>
      <c r="AU83" s="23">
        <f>EXP(-LN(2)/35)*AU82+(1-EXP(-LN(2)/35))/(LN(2)/35)*AQ83*AR83*VLOOKUP('Données projet'!$B$10,Paramètres!$A$1:$I$89,3,0)*0.475*44/12</f>
        <v>6.5129392352884592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6.7272693344669277</v>
      </c>
      <c r="AX83" s="23">
        <f t="shared" si="60"/>
        <v>13.240208569755387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192</v>
      </c>
      <c r="BB83" s="13">
        <f>VLOOKUP(A83,'Données projet'!$A$87:$I$107,9,0)</f>
        <v>4.5999999999999996</v>
      </c>
      <c r="BC83" s="13">
        <f t="array" ref="BC83">INDEX(BB:BB,MIN(IF(ISNUMBER(BB83:BB279),ROW(BB83:BB279),"")))</f>
        <v>4.5999999999999996</v>
      </c>
      <c r="BD83" s="13">
        <f>IF('Données projet'!$A$88&gt;35,BD82+BC83-BL82,IF(A83&lt;'Données projet'!$A$88,$BA$205^A83,IF(A83='Données projet'!$A$88,'Données projet'!$B$88,BD82+BC83-BL82)))</f>
        <v>191.99999999999997</v>
      </c>
      <c r="BE83" s="14">
        <f>BD83*VLOOKUP('Données projet'!$B$11,Paramètres!$A$1:$I$89,3,0)*VLOOKUP('Données projet'!$B$11,Paramètres!$A$1:$I$89,5,0)</f>
        <v>194.68799999999999</v>
      </c>
      <c r="BF83" s="14">
        <f t="shared" si="91"/>
        <v>48.574928228914978</v>
      </c>
      <c r="BG83" s="22">
        <f t="shared" si="61"/>
        <v>423.68293333202695</v>
      </c>
      <c r="BH83" s="62">
        <f t="shared" si="62"/>
        <v>717.01626666536026</v>
      </c>
      <c r="BI83" s="62">
        <f ca="1">AVERAGE(OFFSET($BH$3,0,0,'Données projet'!$E$11+1,1))-AVERAGE(OFFSET($H$3,0,0,'Données projet'!$E$11+1,1))</f>
        <v>238.29088076221427</v>
      </c>
      <c r="BJ83" s="62">
        <f t="shared" si="92"/>
        <v>102.64102748467457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14</v>
      </c>
      <c r="BM83" s="17">
        <f>IF(ISNA(VLOOKUP(A83,'Données projet'!$A$87:$I$107,5,0)),0%,VLOOKUP(A83,'Données projet'!$A$87:$I$107,5,0)*VLOOKUP('Données projet'!$B$11,Paramètres!$A$1:$I$89,7,0))</f>
        <v>8.6000000000000007E-2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4.4441719806988305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4.4441719806988305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23.166000000000018</v>
      </c>
      <c r="D84" s="12">
        <f t="shared" si="86"/>
        <v>7.4051601339723563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235.98790278855867</v>
      </c>
      <c r="H84" s="70">
        <f t="shared" si="56"/>
        <v>346.57810390000185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12.9</v>
      </c>
      <c r="N84" s="14">
        <f>IF('Données projet'!$A$36&gt;35,N83+M84-V83,IF(A84&lt;'Données projet'!$A$36,$K$205^A84,IF(A84='Données projet'!$A$36,'Données projet'!$B$36,N83+M84-V83)))</f>
        <v>251.89999999999992</v>
      </c>
      <c r="O84" s="14">
        <f>N84*VLOOKUP('Données projet'!$B$9,Paramètres!$A$1:$I$89,3,0)*VLOOKUP('Données projet'!$B$9,Paramètres!$A$1:$I$89,5,0)</f>
        <v>117.88919999999996</v>
      </c>
      <c r="P84" s="14">
        <f t="shared" si="87"/>
        <v>31.182182531402287</v>
      </c>
      <c r="Q84" s="22">
        <f t="shared" si="54"/>
        <v>259.63265790885885</v>
      </c>
      <c r="R84" s="62">
        <f t="shared" si="55"/>
        <v>552.9659912421921</v>
      </c>
      <c r="S84" s="62">
        <f ca="1">AVERAGE(OFFSET($R$3,0,0,'Données projet'!$E$9+1,1))-AVERAGE(OFFSET($H$3,0,0,'Données projet'!$E$9+1,1))</f>
        <v>188.51537094662768</v>
      </c>
      <c r="T84" s="62">
        <f t="shared" si="88"/>
        <v>181.95202230446716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25.343549335159697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25.343549335159697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5.4</v>
      </c>
      <c r="AI84" s="14">
        <f>IF('Données projet'!$A$62&gt;35,AI83+AH84-AQ83,IF(A84&lt;'Données projet'!$A$62,$AF$205^A84,IF(A84='Données projet'!$A$62,'Données projet'!$B$62,AI83+AH84-AQ83)))</f>
        <v>437.4000000000002</v>
      </c>
      <c r="AJ84" s="14">
        <f>AI84*VLOOKUP('Données projet'!$B$10,Paramètres!$A$1:$I$89,3,0)*VLOOKUP('Données projet'!$B$10,Paramètres!$A$1:$I$89,5,0)</f>
        <v>261.56520000000012</v>
      </c>
      <c r="AK84" s="14">
        <f t="shared" si="89"/>
        <v>63.055898711509336</v>
      </c>
      <c r="AL84" s="22">
        <f t="shared" si="58"/>
        <v>565.38174692254552</v>
      </c>
      <c r="AM84" s="62">
        <f t="shared" si="59"/>
        <v>858.71508025587877</v>
      </c>
      <c r="AN84" s="62">
        <f ca="1">AVERAGE(OFFSET($AM$3,0,0,'Données projet'!$E$10+1,1))-AVERAGE(OFFSET($H$3,0,0,'Données projet'!$E$10+1,1))</f>
        <v>318.69447733545013</v>
      </c>
      <c r="AO84" s="62">
        <f t="shared" si="90"/>
        <v>186.33351136372443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6.3852244693851343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4.7568977652698772</v>
      </c>
      <c r="AX84" s="23">
        <f t="shared" si="60"/>
        <v>11.142122234655012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4.4000000000000004</v>
      </c>
      <c r="BD84" s="13">
        <f>IF('Données projet'!$A$88&gt;35,BD83+BC84-BL83,IF(A84&lt;'Données projet'!$A$88,$BA$205^A84,IF(A84='Données projet'!$A$88,'Données projet'!$B$88,BD83+BC84-BL83)))</f>
        <v>182.39999999999998</v>
      </c>
      <c r="BE84" s="14">
        <f>BD84*VLOOKUP('Données projet'!$B$11,Paramètres!$A$1:$I$89,3,0)*VLOOKUP('Données projet'!$B$11,Paramètres!$A$1:$I$89,5,0)</f>
        <v>184.95359999999999</v>
      </c>
      <c r="BF84" s="14">
        <f t="shared" si="91"/>
        <v>46.42252355095799</v>
      </c>
      <c r="BG84" s="22">
        <f t="shared" si="61"/>
        <v>402.98008185125178</v>
      </c>
      <c r="BH84" s="62">
        <f t="shared" si="62"/>
        <v>696.3134151845851</v>
      </c>
      <c r="BI84" s="62">
        <f ca="1">AVERAGE(OFFSET($BH$3,0,0,'Données projet'!$E$11+1,1))-AVERAGE(OFFSET($H$3,0,0,'Données projet'!$E$11+1,1))</f>
        <v>238.29088076221427</v>
      </c>
      <c r="BJ84" s="62">
        <f t="shared" si="92"/>
        <v>102.64102748467457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4.3570244788345773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4.3570244788345773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23.452000000000019</v>
      </c>
      <c r="D85" s="12">
        <f t="shared" si="86"/>
        <v>7.4858825974755376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238.81874285770607</v>
      </c>
      <c r="H85" s="70">
        <f t="shared" si="56"/>
        <v>347.21681219060326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12.9</v>
      </c>
      <c r="N85" s="14">
        <f>IF('Données projet'!$A$36&gt;35,N84+M85-V84,IF(A85&lt;'Données projet'!$A$36,$K$205^A85,IF(A85='Données projet'!$A$36,'Données projet'!$B$36,N84+M85-V84)))</f>
        <v>264.7999999999999</v>
      </c>
      <c r="O85" s="14">
        <f>N85*VLOOKUP('Données projet'!$B$9,Paramètres!$A$1:$I$89,3,0)*VLOOKUP('Données projet'!$B$9,Paramètres!$A$1:$I$89,5,0)</f>
        <v>123.92639999999996</v>
      </c>
      <c r="P85" s="14">
        <f t="shared" si="87"/>
        <v>32.589044587858055</v>
      </c>
      <c r="Q85" s="22">
        <f t="shared" si="54"/>
        <v>272.59773265718604</v>
      </c>
      <c r="R85" s="62">
        <f t="shared" si="55"/>
        <v>565.9310659905193</v>
      </c>
      <c r="S85" s="62">
        <f ca="1">AVERAGE(OFFSET($R$3,0,0,'Données projet'!$E$9+1,1))-AVERAGE(OFFSET($H$3,0,0,'Données projet'!$E$9+1,1))</f>
        <v>188.51537094662768</v>
      </c>
      <c r="T85" s="62">
        <f t="shared" si="88"/>
        <v>181.95202230446716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24.846577790735957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24.846577790735957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5.4</v>
      </c>
      <c r="AI85" s="14">
        <f>IF('Données projet'!$A$62&gt;35,AI84+AH85-AQ84,IF(A85&lt;'Données projet'!$A$62,$AF$205^A85,IF(A85='Données projet'!$A$62,'Données projet'!$B$62,AI84+AH85-AQ84)))</f>
        <v>442.80000000000018</v>
      </c>
      <c r="AJ85" s="14">
        <f>AI85*VLOOKUP('Données projet'!$B$10,Paramètres!$A$1:$I$89,3,0)*VLOOKUP('Données projet'!$B$10,Paramètres!$A$1:$I$89,5,0)</f>
        <v>264.79440000000017</v>
      </c>
      <c r="AK85" s="14">
        <f t="shared" si="89"/>
        <v>63.743260954906233</v>
      </c>
      <c r="AL85" s="22">
        <f t="shared" si="58"/>
        <v>572.20309282979531</v>
      </c>
      <c r="AM85" s="62">
        <f t="shared" si="59"/>
        <v>865.53642616312868</v>
      </c>
      <c r="AN85" s="62">
        <f ca="1">AVERAGE(OFFSET($AM$3,0,0,'Données projet'!$E$10+1,1))-AVERAGE(OFFSET($H$3,0,0,'Données projet'!$E$10+1,1))</f>
        <v>318.69447733545013</v>
      </c>
      <c r="AO85" s="62">
        <f t="shared" si="90"/>
        <v>186.33351136372443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6.2600141121428585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3.3636346672334643</v>
      </c>
      <c r="AX85" s="23">
        <f t="shared" si="60"/>
        <v>9.6236487793763228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4.4000000000000004</v>
      </c>
      <c r="BD85" s="13">
        <f>IF('Données projet'!$A$88&gt;35,BD84+BC85-BL84,IF(A85&lt;'Données projet'!$A$88,$BA$205^A85,IF(A85='Données projet'!$A$88,'Données projet'!$B$88,BD84+BC85-BL84)))</f>
        <v>186.79999999999998</v>
      </c>
      <c r="BE85" s="14">
        <f>BD85*VLOOKUP('Données projet'!$B$11,Paramètres!$A$1:$I$89,3,0)*VLOOKUP('Données projet'!$B$11,Paramètres!$A$1:$I$89,5,0)</f>
        <v>189.4152</v>
      </c>
      <c r="BF85" s="14">
        <f t="shared" si="91"/>
        <v>47.410638687430918</v>
      </c>
      <c r="BG85" s="22">
        <f t="shared" si="61"/>
        <v>412.4716690472755</v>
      </c>
      <c r="BH85" s="62">
        <f t="shared" si="62"/>
        <v>705.80500238060881</v>
      </c>
      <c r="BI85" s="62">
        <f ca="1">AVERAGE(OFFSET($BH$3,0,0,'Données projet'!$E$11+1,1))-AVERAGE(OFFSET($H$3,0,0,'Données projet'!$E$11+1,1))</f>
        <v>238.29088076221427</v>
      </c>
      <c r="BJ85" s="62">
        <f t="shared" si="92"/>
        <v>102.64102748467457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4.2715858863271547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4.2715858863271547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23.738000000000021</v>
      </c>
      <c r="D86" s="12">
        <f t="shared" si="86"/>
        <v>7.5664905527459103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241.64869900365284</v>
      </c>
      <c r="H86" s="70">
        <f t="shared" si="56"/>
        <v>347.85532104603249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12.9</v>
      </c>
      <c r="N86" s="14">
        <f>IF('Données projet'!$A$36&gt;35,N85+M86-V85,IF(A86&lt;'Données projet'!$A$36,$K$205^A86,IF(A86='Données projet'!$A$36,'Données projet'!$B$36,N85+M86-V85)))</f>
        <v>277.69999999999987</v>
      </c>
      <c r="O86" s="14">
        <f>N86*VLOOKUP('Données projet'!$B$9,Paramètres!$A$1:$I$89,3,0)*VLOOKUP('Données projet'!$B$9,Paramètres!$A$1:$I$89,5,0)</f>
        <v>129.96359999999993</v>
      </c>
      <c r="P86" s="14">
        <f t="shared" si="87"/>
        <v>33.987948224000561</v>
      </c>
      <c r="Q86" s="22">
        <f t="shared" si="54"/>
        <v>285.54894649013414</v>
      </c>
      <c r="R86" s="62">
        <f t="shared" si="55"/>
        <v>578.88227982346746</v>
      </c>
      <c r="S86" s="62">
        <f ca="1">AVERAGE(OFFSET($R$3,0,0,'Données projet'!$E$9+1,1))-AVERAGE(OFFSET($H$3,0,0,'Données projet'!$E$9+1,1))</f>
        <v>188.51537094662768</v>
      </c>
      <c r="T86" s="62">
        <f t="shared" si="88"/>
        <v>181.95202230446716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24.359351555175653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24.359351555175653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5.4</v>
      </c>
      <c r="AI86" s="14">
        <f>IF('Données projet'!$A$62&gt;35,AI85+AH86-AQ85,IF(A86&lt;'Données projet'!$A$62,$AF$205^A86,IF(A86='Données projet'!$A$62,'Données projet'!$B$62,AI85+AH86-AQ85)))</f>
        <v>448.20000000000016</v>
      </c>
      <c r="AJ86" s="14">
        <f>AI86*VLOOKUP('Données projet'!$B$10,Paramètres!$A$1:$I$89,3,0)*VLOOKUP('Données projet'!$B$10,Paramètres!$A$1:$I$89,5,0)</f>
        <v>268.0236000000001</v>
      </c>
      <c r="AK86" s="14">
        <f t="shared" si="89"/>
        <v>64.429648145853221</v>
      </c>
      <c r="AL86" s="22">
        <f t="shared" si="58"/>
        <v>579.02274052069447</v>
      </c>
      <c r="AM86" s="62">
        <f t="shared" si="59"/>
        <v>872.35607385402773</v>
      </c>
      <c r="AN86" s="62">
        <f ca="1">AVERAGE(OFFSET($AM$3,0,0,'Données projet'!$E$10+1,1))-AVERAGE(OFFSET($H$3,0,0,'Données projet'!$E$10+1,1))</f>
        <v>318.69447733545013</v>
      </c>
      <c r="AO86" s="62">
        <f t="shared" si="90"/>
        <v>186.33351136372443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6.1372590536353266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2.378448882634939</v>
      </c>
      <c r="AX86" s="23">
        <f t="shared" si="60"/>
        <v>8.5157079362702657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4.4000000000000004</v>
      </c>
      <c r="BD86" s="13">
        <f>IF('Données projet'!$A$88&gt;35,BD85+BC86-BL85,IF(A86&lt;'Données projet'!$A$88,$BA$205^A86,IF(A86='Données projet'!$A$88,'Données projet'!$B$88,BD85+BC86-BL85)))</f>
        <v>191.2</v>
      </c>
      <c r="BE86" s="14">
        <f>BD86*VLOOKUP('Données projet'!$B$11,Paramètres!$A$1:$I$89,3,0)*VLOOKUP('Données projet'!$B$11,Paramètres!$A$1:$I$89,5,0)</f>
        <v>193.8768</v>
      </c>
      <c r="BF86" s="14">
        <f t="shared" si="91"/>
        <v>48.396048099527611</v>
      </c>
      <c r="BG86" s="22">
        <f t="shared" si="61"/>
        <v>421.95854377334393</v>
      </c>
      <c r="BH86" s="62">
        <f t="shared" si="62"/>
        <v>715.29187710667725</v>
      </c>
      <c r="BI86" s="62">
        <f ca="1">AVERAGE(OFFSET($BH$3,0,0,'Données projet'!$E$11+1,1))-AVERAGE(OFFSET($H$3,0,0,'Données projet'!$E$11+1,1))</f>
        <v>238.29088076221427</v>
      </c>
      <c r="BJ86" s="62">
        <f t="shared" si="92"/>
        <v>102.64102748467457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4.1878226925064066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4.1878226925064066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24.024000000000022</v>
      </c>
      <c r="D87" s="12">
        <f t="shared" si="86"/>
        <v>7.6469855389835679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244.47778310794351</v>
      </c>
      <c r="H87" s="70">
        <f t="shared" si="56"/>
        <v>348.49363314706306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12.9</v>
      </c>
      <c r="N87" s="14">
        <f>IF('Données projet'!$A$36&gt;35,N86+M87-V86,IF(A87&lt;'Données projet'!$A$36,$K$205^A87,IF(A87='Données projet'!$A$36,'Données projet'!$B$36,N86+M87-V86)))</f>
        <v>290.59999999999985</v>
      </c>
      <c r="O87" s="14">
        <f>N87*VLOOKUP('Données projet'!$B$9,Paramètres!$A$1:$I$89,3,0)*VLOOKUP('Données projet'!$B$9,Paramètres!$A$1:$I$89,5,0)</f>
        <v>136.00079999999994</v>
      </c>
      <c r="P87" s="14">
        <f t="shared" si="87"/>
        <v>35.37930535365301</v>
      </c>
      <c r="Q87" s="22">
        <f t="shared" si="54"/>
        <v>298.48701682427884</v>
      </c>
      <c r="R87" s="62">
        <f t="shared" si="55"/>
        <v>591.82035015761221</v>
      </c>
      <c r="S87" s="62">
        <f ca="1">AVERAGE(OFFSET($R$3,0,0,'Données projet'!$E$9+1,1))-AVERAGE(OFFSET($H$3,0,0,'Données projet'!$E$9+1,1))</f>
        <v>188.51537094662768</v>
      </c>
      <c r="T87" s="62">
        <f t="shared" si="88"/>
        <v>181.95202230446716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23.881679528916028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23.881679528916028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5.4</v>
      </c>
      <c r="AI87" s="14">
        <f>IF('Données projet'!$A$62&gt;35,AI86+AH87-AQ86,IF(A87&lt;'Données projet'!$A$62,$AF$205^A87,IF(A87='Données projet'!$A$62,'Données projet'!$B$62,AI86+AH87-AQ86)))</f>
        <v>453.60000000000014</v>
      </c>
      <c r="AJ87" s="14">
        <f>AI87*VLOOKUP('Données projet'!$B$10,Paramètres!$A$1:$I$89,3,0)*VLOOKUP('Données projet'!$B$10,Paramètres!$A$1:$I$89,5,0)</f>
        <v>271.25280000000009</v>
      </c>
      <c r="AK87" s="14">
        <f t="shared" si="89"/>
        <v>65.115073390838916</v>
      </c>
      <c r="AL87" s="22">
        <f t="shared" si="58"/>
        <v>585.8407128223779</v>
      </c>
      <c r="AM87" s="62">
        <f t="shared" si="59"/>
        <v>879.17404615571127</v>
      </c>
      <c r="AN87" s="62">
        <f ca="1">AVERAGE(OFFSET($AM$3,0,0,'Données projet'!$E$10+1,1))-AVERAGE(OFFSET($H$3,0,0,'Données projet'!$E$10+1,1))</f>
        <v>318.69447733545013</v>
      </c>
      <c r="AO87" s="62">
        <f t="shared" si="90"/>
        <v>186.33351136372443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6.0169111469519345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1.6818173336167324</v>
      </c>
      <c r="AX87" s="23">
        <f t="shared" si="60"/>
        <v>7.6987284805686667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4.4000000000000004</v>
      </c>
      <c r="BD87" s="13">
        <f>IF('Données projet'!$A$88&gt;35,BD86+BC87-BL86,IF(A87&lt;'Données projet'!$A$88,$BA$205^A87,IF(A87='Données projet'!$A$88,'Données projet'!$B$88,BD86+BC87-BL86)))</f>
        <v>195.6</v>
      </c>
      <c r="BE87" s="14">
        <f>BD87*VLOOKUP('Données projet'!$B$11,Paramètres!$A$1:$I$89,3,0)*VLOOKUP('Données projet'!$B$11,Paramètres!$A$1:$I$89,5,0)</f>
        <v>198.33840000000001</v>
      </c>
      <c r="BF87" s="14">
        <f t="shared" si="91"/>
        <v>49.378821219958084</v>
      </c>
      <c r="BG87" s="22">
        <f t="shared" si="61"/>
        <v>431.44082695809374</v>
      </c>
      <c r="BH87" s="62">
        <f t="shared" si="62"/>
        <v>724.77416029142705</v>
      </c>
      <c r="BI87" s="62">
        <f ca="1">AVERAGE(OFFSET($BH$3,0,0,'Données projet'!$E$11+1,1))-AVERAGE(OFFSET($H$3,0,0,'Données projet'!$E$11+1,1))</f>
        <v>238.29088076221427</v>
      </c>
      <c r="BJ87" s="62">
        <f t="shared" si="92"/>
        <v>102.64102748467457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4.1057020438259801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4.1057020438259801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24.310000000000024</v>
      </c>
      <c r="D88" s="12">
        <f t="shared" si="86"/>
        <v>7.7273690566322282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247.30600675295071</v>
      </c>
      <c r="H88" s="70">
        <f t="shared" si="56"/>
        <v>349.13175110696784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12.9</v>
      </c>
      <c r="N88" s="14">
        <f>IF('Données projet'!$A$36&gt;35,N87+M88-V87,IF(A88&lt;'Données projet'!$A$36,$K$205^A88,IF(A88='Données projet'!$A$36,'Données projet'!$B$36,N87+M88-V87)))</f>
        <v>303.49999999999983</v>
      </c>
      <c r="O88" s="14">
        <f>N88*VLOOKUP('Données projet'!$B$9,Paramètres!$A$1:$I$89,3,0)*VLOOKUP('Données projet'!$B$9,Paramètres!$A$1:$I$89,5,0)</f>
        <v>142.03799999999993</v>
      </c>
      <c r="P88" s="14">
        <f t="shared" si="87"/>
        <v>36.763489252536736</v>
      </c>
      <c r="Q88" s="22">
        <f t="shared" si="54"/>
        <v>311.41259378150136</v>
      </c>
      <c r="R88" s="62">
        <f t="shared" si="55"/>
        <v>604.74592711483467</v>
      </c>
      <c r="S88" s="62">
        <f ca="1">AVERAGE(OFFSET($R$3,0,0,'Données projet'!$E$9+1,1))-AVERAGE(OFFSET($H$3,0,0,'Données projet'!$E$9+1,1))</f>
        <v>188.51537094662768</v>
      </c>
      <c r="T88" s="62">
        <f t="shared" si="88"/>
        <v>181.95202230446716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23.413374359740185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23.413374359740185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5.4</v>
      </c>
      <c r="AI88" s="14">
        <f>IF('Données projet'!$A$62&gt;35,AI87+AH88-AQ87,IF(A88&lt;'Données projet'!$A$62,$AF$205^A88,IF(A88='Données projet'!$A$62,'Données projet'!$B$62,AI87+AH88-AQ87)))</f>
        <v>459.00000000000011</v>
      </c>
      <c r="AJ88" s="14">
        <f>AI88*VLOOKUP('Données projet'!$B$10,Paramètres!$A$1:$I$89,3,0)*VLOOKUP('Données projet'!$B$10,Paramètres!$A$1:$I$89,5,0)</f>
        <v>274.48200000000008</v>
      </c>
      <c r="AK88" s="14">
        <f t="shared" si="89"/>
        <v>65.799549466335947</v>
      </c>
      <c r="AL88" s="22">
        <f t="shared" si="58"/>
        <v>592.65703198720189</v>
      </c>
      <c r="AM88" s="62">
        <f t="shared" si="59"/>
        <v>885.99036532053515</v>
      </c>
      <c r="AN88" s="62">
        <f ca="1">AVERAGE(OFFSET($AM$3,0,0,'Données projet'!$E$10+1,1))-AVERAGE(OFFSET($H$3,0,0,'Données projet'!$E$10+1,1))</f>
        <v>318.69447733545013</v>
      </c>
      <c r="AO88" s="62">
        <f t="shared" si="90"/>
        <v>186.33351136372443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5.8989231893136287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1.1892244413174697</v>
      </c>
      <c r="AX88" s="23">
        <f t="shared" si="60"/>
        <v>7.0881476306310987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200</v>
      </c>
      <c r="BB88" s="13">
        <f>VLOOKUP(A88,'Données projet'!$A$87:$I$107,9,0)</f>
        <v>4.4000000000000004</v>
      </c>
      <c r="BC88" s="13">
        <f t="array" ref="BC88">INDEX(BB:BB,MIN(IF(ISNUMBER(BB88:BB284),ROW(BB88:BB284),"")))</f>
        <v>4.4000000000000004</v>
      </c>
      <c r="BD88" s="13">
        <f>IF('Données projet'!$A$88&gt;35,BD87+BC88-BL87,IF(A88&lt;'Données projet'!$A$88,$BA$205^A88,IF(A88='Données projet'!$A$88,'Données projet'!$B$88,BD87+BC88-BL87)))</f>
        <v>200</v>
      </c>
      <c r="BE88" s="14">
        <f>BD88*VLOOKUP('Données projet'!$B$11,Paramètres!$A$1:$I$89,3,0)*VLOOKUP('Données projet'!$B$11,Paramètres!$A$1:$I$89,5,0)</f>
        <v>202.8</v>
      </c>
      <c r="BF88" s="14">
        <f t="shared" si="91"/>
        <v>50.359024179354016</v>
      </c>
      <c r="BG88" s="22">
        <f t="shared" si="61"/>
        <v>440.91863377904156</v>
      </c>
      <c r="BH88" s="62">
        <f t="shared" si="62"/>
        <v>734.25196711237481</v>
      </c>
      <c r="BI88" s="62">
        <f ca="1">AVERAGE(OFFSET($BH$3,0,0,'Données projet'!$E$11+1,1))-AVERAGE(OFFSET($H$3,0,0,'Données projet'!$E$11+1,1))</f>
        <v>238.29088076221427</v>
      </c>
      <c r="BJ88" s="62">
        <f t="shared" si="92"/>
        <v>102.64102748467457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14</v>
      </c>
      <c r="BM88" s="17">
        <f>IF(ISNA(VLOOKUP(A88,'Données projet'!$A$87:$I$107,5,0)),0%,VLOOKUP(A88,'Données projet'!$A$87:$I$107,5,0)*VLOOKUP('Données projet'!$B$11,Paramètres!$A$1:$I$89,7,0))</f>
        <v>8.6000000000000007E-2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5.3748118766526067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5.3748118766526067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24.596000000000025</v>
      </c>
      <c r="D89" s="12">
        <f t="shared" si="86"/>
        <v>7.8076425687993289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250.13338123283714</v>
      </c>
      <c r="H89" s="70">
        <f t="shared" si="56"/>
        <v>349.7696774739922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12.9</v>
      </c>
      <c r="N89" s="14">
        <f>IF('Données projet'!$A$36&gt;35,N88+M89-V88,IF(A89&lt;'Données projet'!$A$36,$K$205^A89,IF(A89='Données projet'!$A$36,'Données projet'!$B$36,N88+M89-V88)))</f>
        <v>316.39999999999981</v>
      </c>
      <c r="O89" s="14">
        <f>N89*VLOOKUP('Données projet'!$B$9,Paramètres!$A$1:$I$89,3,0)*VLOOKUP('Données projet'!$B$9,Paramètres!$A$1:$I$89,5,0)</f>
        <v>148.07519999999991</v>
      </c>
      <c r="P89" s="14">
        <f t="shared" si="87"/>
        <v>38.140839670017236</v>
      </c>
      <c r="Q89" s="22">
        <f t="shared" si="54"/>
        <v>324.32626909194659</v>
      </c>
      <c r="R89" s="62">
        <f t="shared" si="55"/>
        <v>617.6596024252799</v>
      </c>
      <c r="S89" s="62">
        <f ca="1">AVERAGE(OFFSET($R$3,0,0,'Données projet'!$E$9+1,1))-AVERAGE(OFFSET($H$3,0,0,'Données projet'!$E$9+1,1))</f>
        <v>188.51537094662768</v>
      </c>
      <c r="T89" s="62">
        <f t="shared" si="88"/>
        <v>181.95202230446716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22.954252369293933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22.954252369293933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464.40000000000009</v>
      </c>
      <c r="AJ89" s="14">
        <f>AI89*VLOOKUP('Données projet'!$B$10,Paramètres!$A$1:$I$89,3,0)*VLOOKUP('Données projet'!$B$10,Paramètres!$A$1:$I$89,5,0)</f>
        <v>277.71120000000008</v>
      </c>
      <c r="AK89" s="14">
        <f t="shared" si="89"/>
        <v>66.483088830894033</v>
      </c>
      <c r="AL89" s="22">
        <f t="shared" si="58"/>
        <v>599.47171971380715</v>
      </c>
      <c r="AM89" s="62">
        <f t="shared" si="59"/>
        <v>892.80505304714052</v>
      </c>
      <c r="AN89" s="62">
        <f ca="1">AVERAGE(OFFSET($AM$3,0,0,'Données projet'!$E$10+1,1))-AVERAGE(OFFSET($H$3,0,0,'Données projet'!$E$10+1,1))</f>
        <v>318.69447733545013</v>
      </c>
      <c r="AO89" s="62">
        <f t="shared" si="90"/>
        <v>186.33351136372443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5.7832489035590617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0.8409086668083664</v>
      </c>
      <c r="AX89" s="23">
        <f t="shared" si="60"/>
        <v>6.6241575703674282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4.2</v>
      </c>
      <c r="BD89" s="13">
        <f>IF('Données projet'!$A$88&gt;35,BD88+BC89-BL88,IF(A89&lt;'Données projet'!$A$88,$BA$205^A89,IF(A89='Données projet'!$A$88,'Données projet'!$B$88,BD88+BC89-BL88)))</f>
        <v>190.2</v>
      </c>
      <c r="BE89" s="14">
        <f>BD89*VLOOKUP('Données projet'!$B$11,Paramètres!$A$1:$I$89,3,0)*VLOOKUP('Données projet'!$B$11,Paramètres!$A$1:$I$89,5,0)</f>
        <v>192.86279999999999</v>
      </c>
      <c r="BF89" s="14">
        <f t="shared" si="91"/>
        <v>48.172325347436733</v>
      </c>
      <c r="BG89" s="22">
        <f t="shared" si="61"/>
        <v>419.80284331345229</v>
      </c>
      <c r="BH89" s="62">
        <f t="shared" si="62"/>
        <v>713.13617664678554</v>
      </c>
      <c r="BI89" s="62">
        <f ca="1">AVERAGE(OFFSET($BH$3,0,0,'Données projet'!$E$11+1,1))-AVERAGE(OFFSET($H$3,0,0,'Données projet'!$E$11+1,1))</f>
        <v>238.29088076221427</v>
      </c>
      <c r="BJ89" s="62">
        <f t="shared" si="92"/>
        <v>102.64102748467457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5.2694150940629871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5.2694150940629871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24.882000000000026</v>
      </c>
      <c r="D90" s="12">
        <f t="shared" si="86"/>
        <v>7.8878075026082088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252.95991756399346</v>
      </c>
      <c r="H90" s="70">
        <f t="shared" si="56"/>
        <v>350.40741473370935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12.9</v>
      </c>
      <c r="N90" s="14">
        <f>IF('Données projet'!$A$36&gt;35,N89+M90-V89,IF(A90&lt;'Données projet'!$A$36,$K$205^A90,IF(A90='Données projet'!$A$36,'Données projet'!$B$36,N89+M90-V89)))</f>
        <v>329.29999999999978</v>
      </c>
      <c r="O90" s="14">
        <f>N90*VLOOKUP('Données projet'!$B$9,Paramètres!$A$1:$I$89,3,0)*VLOOKUP('Données projet'!$B$9,Paramètres!$A$1:$I$89,5,0)</f>
        <v>154.11239999999989</v>
      </c>
      <c r="P90" s="14">
        <f t="shared" si="87"/>
        <v>39.511667083726003</v>
      </c>
      <c r="Q90" s="22">
        <f t="shared" si="54"/>
        <v>337.22858350415589</v>
      </c>
      <c r="R90" s="62">
        <f t="shared" si="55"/>
        <v>630.56191683748921</v>
      </c>
      <c r="S90" s="62">
        <f ca="1">AVERAGE(OFFSET($R$3,0,0,'Données projet'!$E$9+1,1))-AVERAGE(OFFSET($H$3,0,0,'Données projet'!$E$9+1,1))</f>
        <v>188.51537094662768</v>
      </c>
      <c r="T90" s="62">
        <f t="shared" si="88"/>
        <v>181.95202230446716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22.504133481043567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22.504133481043567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469.80000000000007</v>
      </c>
      <c r="AJ90" s="14">
        <f>AI90*VLOOKUP('Données projet'!$B$10,Paramètres!$A$1:$I$89,3,0)*VLOOKUP('Données projet'!$B$10,Paramètres!$A$1:$I$89,5,0)</f>
        <v>280.94040000000007</v>
      </c>
      <c r="AK90" s="14">
        <f t="shared" si="89"/>
        <v>67.165703636653262</v>
      </c>
      <c r="AL90" s="22">
        <f t="shared" si="58"/>
        <v>606.28479716717118</v>
      </c>
      <c r="AM90" s="62">
        <f t="shared" si="59"/>
        <v>899.61813050050455</v>
      </c>
      <c r="AN90" s="62">
        <f ca="1">AVERAGE(OFFSET($AM$3,0,0,'Données projet'!$E$10+1,1))-AVERAGE(OFFSET($H$3,0,0,'Données projet'!$E$10+1,1))</f>
        <v>318.69447733545013</v>
      </c>
      <c r="AO90" s="62">
        <f t="shared" si="90"/>
        <v>186.33351136372443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5.669842919993795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0.59461222065873498</v>
      </c>
      <c r="AX90" s="23">
        <f t="shared" si="60"/>
        <v>6.2644551406525295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4.2</v>
      </c>
      <c r="BD90" s="13">
        <f>IF('Données projet'!$A$88&gt;35,BD89+BC90-BL89,IF(A90&lt;'Données projet'!$A$88,$BA$205^A90,IF(A90='Données projet'!$A$88,'Données projet'!$B$88,BD89+BC90-BL89)))</f>
        <v>194.39999999999998</v>
      </c>
      <c r="BE90" s="14">
        <f>BD90*VLOOKUP('Données projet'!$B$11,Paramètres!$A$1:$I$89,3,0)*VLOOKUP('Données projet'!$B$11,Paramètres!$A$1:$I$89,5,0)</f>
        <v>197.12159999999997</v>
      </c>
      <c r="BF90" s="14">
        <f t="shared" si="91"/>
        <v>49.111049803800405</v>
      </c>
      <c r="BG90" s="22">
        <f t="shared" si="61"/>
        <v>428.85519840828562</v>
      </c>
      <c r="BH90" s="62">
        <f t="shared" si="62"/>
        <v>722.18853174161893</v>
      </c>
      <c r="BI90" s="62">
        <f ca="1">AVERAGE(OFFSET($BH$3,0,0,'Données projet'!$E$11+1,1))-AVERAGE(OFFSET($H$3,0,0,'Données projet'!$E$11+1,1))</f>
        <v>238.29088076221427</v>
      </c>
      <c r="BJ90" s="62">
        <f t="shared" si="92"/>
        <v>102.64102748467457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5.1660850780942607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5.1660850780942607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25.168000000000028</v>
      </c>
      <c r="D91" s="12">
        <f t="shared" si="86"/>
        <v>7.9678652504863132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255.78562649498227</v>
      </c>
      <c r="H91" s="70">
        <f t="shared" si="56"/>
        <v>351.0449653112637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12.9</v>
      </c>
      <c r="N91" s="14">
        <f>IF('Données projet'!$A$36&gt;35,N90+M91-V90,IF(A91&lt;'Données projet'!$A$36,$K$205^A91,IF(A91='Données projet'!$A$36,'Données projet'!$B$36,N90+M91-V90)))</f>
        <v>342.19999999999976</v>
      </c>
      <c r="O91" s="14">
        <f>N91*VLOOKUP('Données projet'!$B$9,Paramètres!$A$1:$I$89,3,0)*VLOOKUP('Données projet'!$B$9,Paramètres!$A$1:$I$89,5,0)</f>
        <v>160.14959999999988</v>
      </c>
      <c r="P91" s="14">
        <f t="shared" si="87"/>
        <v>40.8762562687415</v>
      </c>
      <c r="Q91" s="22">
        <f t="shared" si="54"/>
        <v>350.12003300139122</v>
      </c>
      <c r="R91" s="62">
        <f t="shared" si="55"/>
        <v>643.45336633472448</v>
      </c>
      <c r="S91" s="62">
        <f ca="1">AVERAGE(OFFSET($R$3,0,0,'Données projet'!$E$9+1,1))-AVERAGE(OFFSET($H$3,0,0,'Données projet'!$E$9+1,1))</f>
        <v>188.51537094662768</v>
      </c>
      <c r="T91" s="62">
        <f t="shared" si="88"/>
        <v>181.95202230446716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22.062841149646381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22.062841149646381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475.20000000000005</v>
      </c>
      <c r="AJ91" s="14">
        <f>AI91*VLOOKUP('Données projet'!$B$10,Paramètres!$A$1:$I$89,3,0)*VLOOKUP('Données projet'!$B$10,Paramètres!$A$1:$I$89,5,0)</f>
        <v>284.16960000000006</v>
      </c>
      <c r="AK91" s="14">
        <f t="shared" si="89"/>
        <v>67.847405740313931</v>
      </c>
      <c r="AL91" s="22">
        <f t="shared" si="58"/>
        <v>613.0962849977135</v>
      </c>
      <c r="AM91" s="62">
        <f t="shared" si="59"/>
        <v>906.42961833104687</v>
      </c>
      <c r="AN91" s="62">
        <f ca="1">AVERAGE(OFFSET($AM$3,0,0,'Données projet'!$E$10+1,1))-AVERAGE(OFFSET($H$3,0,0,'Données projet'!$E$10+1,1))</f>
        <v>318.69447733545013</v>
      </c>
      <c r="AO91" s="62">
        <f t="shared" si="90"/>
        <v>186.33351136372443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5.5586607585954226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0.42045433340418326</v>
      </c>
      <c r="AX91" s="23">
        <f t="shared" si="60"/>
        <v>5.9791150919996063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4.2</v>
      </c>
      <c r="BD91" s="13">
        <f>IF('Données projet'!$A$88&gt;35,BD90+BC91-BL90,IF(A91&lt;'Données projet'!$A$88,$BA$205^A91,IF(A91='Données projet'!$A$88,'Données projet'!$B$88,BD90+BC91-BL90)))</f>
        <v>198.59999999999997</v>
      </c>
      <c r="BE91" s="14">
        <f>BD91*VLOOKUP('Données projet'!$B$11,Paramètres!$A$1:$I$89,3,0)*VLOOKUP('Données projet'!$B$11,Paramètres!$A$1:$I$89,5,0)</f>
        <v>201.38039999999998</v>
      </c>
      <c r="BF91" s="14">
        <f t="shared" si="91"/>
        <v>50.047416314000145</v>
      </c>
      <c r="BG91" s="22">
        <f t="shared" si="61"/>
        <v>437.9034467468835</v>
      </c>
      <c r="BH91" s="62">
        <f t="shared" si="62"/>
        <v>731.23678008021682</v>
      </c>
      <c r="BI91" s="62">
        <f ca="1">AVERAGE(OFFSET($BH$3,0,0,'Données projet'!$E$11+1,1))-AVERAGE(OFFSET($H$3,0,0,'Données projet'!$E$11+1,1))</f>
        <v>238.29088076221427</v>
      </c>
      <c r="BJ91" s="62">
        <f t="shared" si="92"/>
        <v>102.64102748467457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5.0647813007135944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5.0647813007135944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25.454000000000029</v>
      </c>
      <c r="D92" s="12">
        <f t="shared" si="86"/>
        <v>8.0478171713931985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258.61051851601792</v>
      </c>
      <c r="H92" s="70">
        <f t="shared" si="56"/>
        <v>351.68233157350983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12.9</v>
      </c>
      <c r="N92" s="14">
        <f>IF('Données projet'!$A$36&gt;35,N91+M92-V91,IF(A92&lt;'Données projet'!$A$36,$K$205^A92,IF(A92='Données projet'!$A$36,'Données projet'!$B$36,N91+M92-V91)))</f>
        <v>355.09999999999974</v>
      </c>
      <c r="O92" s="14">
        <f>N92*VLOOKUP('Données projet'!$B$9,Paramètres!$A$1:$I$89,3,0)*VLOOKUP('Données projet'!$B$9,Paramètres!$A$1:$I$89,5,0)</f>
        <v>166.18679999999986</v>
      </c>
      <c r="P92" s="14">
        <f t="shared" si="87"/>
        <v>42.234869313443888</v>
      </c>
      <c r="Q92" s="22">
        <f t="shared" si="54"/>
        <v>363.00107405424791</v>
      </c>
      <c r="R92" s="62">
        <f t="shared" si="55"/>
        <v>656.33440738758122</v>
      </c>
      <c r="S92" s="62">
        <f ca="1">AVERAGE(OFFSET($R$3,0,0,'Données projet'!$E$9+1,1))-AVERAGE(OFFSET($H$3,0,0,'Données projet'!$E$9+1,1))</f>
        <v>188.51537094662768</v>
      </c>
      <c r="T92" s="62">
        <f t="shared" si="88"/>
        <v>181.95202230446716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21.630202291706148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21.630202291706148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480.6</v>
      </c>
      <c r="AJ92" s="14">
        <f>AI92*VLOOKUP('Données projet'!$B$10,Paramètres!$A$1:$I$89,3,0)*VLOOKUP('Données projet'!$B$10,Paramètres!$A$1:$I$89,5,0)</f>
        <v>287.39880000000005</v>
      </c>
      <c r="AK92" s="14">
        <f t="shared" si="89"/>
        <v>68.528206713592894</v>
      </c>
      <c r="AL92" s="22">
        <f t="shared" si="58"/>
        <v>619.90620335950769</v>
      </c>
      <c r="AM92" s="62">
        <f t="shared" si="59"/>
        <v>913.23953669284106</v>
      </c>
      <c r="AN92" s="62">
        <f ca="1">AVERAGE(OFFSET($AM$3,0,0,'Données projet'!$E$10+1,1))-AVERAGE(OFFSET($H$3,0,0,'Données projet'!$E$10+1,1))</f>
        <v>318.69447733545013</v>
      </c>
      <c r="AO92" s="62">
        <f t="shared" si="90"/>
        <v>186.33351136372443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5.4496588115676499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0.29730611032936755</v>
      </c>
      <c r="AX92" s="23">
        <f t="shared" si="60"/>
        <v>5.7469649218970176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4.2</v>
      </c>
      <c r="BD92" s="13">
        <f>IF('Données projet'!$A$88&gt;35,BD91+BC92-BL91,IF(A92&lt;'Données projet'!$A$88,$BA$205^A92,IF(A92='Données projet'!$A$88,'Données projet'!$B$88,BD91+BC92-BL91)))</f>
        <v>202.79999999999995</v>
      </c>
      <c r="BE92" s="14">
        <f>BD92*VLOOKUP('Données projet'!$B$11,Paramètres!$A$1:$I$89,3,0)*VLOOKUP('Données projet'!$B$11,Paramètres!$A$1:$I$89,5,0)</f>
        <v>205.63919999999996</v>
      </c>
      <c r="BF92" s="14">
        <f t="shared" si="91"/>
        <v>50.981480488268119</v>
      </c>
      <c r="BG92" s="22">
        <f t="shared" si="61"/>
        <v>446.94768518373354</v>
      </c>
      <c r="BH92" s="62">
        <f t="shared" si="62"/>
        <v>740.28101851706685</v>
      </c>
      <c r="BI92" s="62">
        <f ca="1">AVERAGE(OFFSET($BH$3,0,0,'Données projet'!$E$11+1,1))-AVERAGE(OFFSET($H$3,0,0,'Données projet'!$E$11+1,1))</f>
        <v>238.29088076221427</v>
      </c>
      <c r="BJ92" s="62">
        <f t="shared" si="92"/>
        <v>102.64102748467457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4.9654640286181602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4.9654640286181602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25.74000000000003</v>
      </c>
      <c r="D93" s="12">
        <f t="shared" si="86"/>
        <v>8.1276645919917794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261.43460386800695</v>
      </c>
      <c r="H93" s="70">
        <f t="shared" si="56"/>
        <v>352.3195158310524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368</v>
      </c>
      <c r="L93" s="13">
        <f>VLOOKUP(A93,'Données projet'!$A$35:$I$55,9,0)</f>
        <v>12.9</v>
      </c>
      <c r="M93" s="13">
        <f t="array" ref="M93">INDEX(L:L,MIN(IF(ISNUMBER(L93:L289),ROW(L93:L289),"")))</f>
        <v>12.9</v>
      </c>
      <c r="N93" s="14">
        <f>IF('Données projet'!$A$36&gt;35,N92+M93-V92,IF(A93&lt;'Données projet'!$A$36,$K$205^A93,IF(A93='Données projet'!$A$36,'Données projet'!$B$36,N92+M93-V92)))</f>
        <v>367.99999999999972</v>
      </c>
      <c r="O93" s="14">
        <f>N93*VLOOKUP('Données projet'!$B$9,Paramètres!$A$1:$I$89,3,0)*VLOOKUP('Données projet'!$B$9,Paramètres!$A$1:$I$89,5,0)</f>
        <v>172.22399999999988</v>
      </c>
      <c r="P93" s="14">
        <f t="shared" si="87"/>
        <v>43.587748184815666</v>
      </c>
      <c r="Q93" s="22">
        <f t="shared" si="54"/>
        <v>375.87212808855367</v>
      </c>
      <c r="R93" s="62">
        <f t="shared" si="55"/>
        <v>669.20546142188698</v>
      </c>
      <c r="S93" s="62">
        <f ca="1">AVERAGE(OFFSET($R$3,0,0,'Données projet'!$E$9+1,1))-AVERAGE(OFFSET($H$3,0,0,'Données projet'!$E$9+1,1))</f>
        <v>188.51537094662768</v>
      </c>
      <c r="T93" s="62">
        <f t="shared" si="88"/>
        <v>181.95202230446716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120</v>
      </c>
      <c r="W93" s="17">
        <f>IF(ISNA(VLOOKUP(A93,'Données projet'!$A$35:$I$55,5,0)),0%,VLOOKUP(A93,'Données projet'!$A$35:$I$55,5,0)*VLOOKUP('Données projet'!$B$9,Paramètres!$A$1:$I$89,7,0))</f>
        <v>0.1925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35.547270232752254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35.547270232752254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486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486</v>
      </c>
      <c r="AJ93" s="14">
        <f>AI93*VLOOKUP('Données projet'!$B$10,Paramètres!$A$1:$I$89,3,0)*VLOOKUP('Données projet'!$B$10,Paramètres!$A$1:$I$89,5,0)</f>
        <v>290.62799999999999</v>
      </c>
      <c r="AK93" s="14">
        <f t="shared" si="89"/>
        <v>69.208117853196882</v>
      </c>
      <c r="AL93" s="22">
        <f t="shared" si="58"/>
        <v>626.71457192765126</v>
      </c>
      <c r="AM93" s="62">
        <f t="shared" si="59"/>
        <v>920.04790526098463</v>
      </c>
      <c r="AN93" s="62">
        <f ca="1">AVERAGE(OFFSET($AM$3,0,0,'Données projet'!$E$10+1,1))-AVERAGE(OFFSET($H$3,0,0,'Données projet'!$E$10+1,1))</f>
        <v>318.69447733545013</v>
      </c>
      <c r="AO93" s="62">
        <f t="shared" si="90"/>
        <v>186.33351136372443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24</v>
      </c>
      <c r="AR93" s="17">
        <f>IF(ISNA(VLOOKUP(A93,'Données projet'!$A$61:$I$81,5,0)),0%,VLOOKUP(A93,'Données projet'!$A$61:$I$81,5,0)*VLOOKUP('Données projet'!$B$10,Paramètres!$A$1:$I$89,7,0))</f>
        <v>0.1575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0.4</v>
      </c>
      <c r="AU93" s="23">
        <f>EXP(-LN(2)/35)*AU92+(1-EXP(-LN(2)/35))/(LN(2)/35)*AQ93*AR93*VLOOKUP('Données projet'!$B$10,Paramètres!$A$1:$I$89,3,0)*0.475*44/12</f>
        <v>8.3414136838902238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6.7101463403420274</v>
      </c>
      <c r="AX93" s="23">
        <f t="shared" si="60"/>
        <v>15.051560024232252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207</v>
      </c>
      <c r="BB93" s="13">
        <f>VLOOKUP(A93,'Données projet'!$A$87:$I$107,9,0)</f>
        <v>4.2</v>
      </c>
      <c r="BC93" s="13">
        <f t="array" ref="BC93">INDEX(BB:BB,MIN(IF(ISNUMBER(BB93:BB289),ROW(BB93:BB289),"")))</f>
        <v>4.2</v>
      </c>
      <c r="BD93" s="13">
        <f>IF('Données projet'!$A$88&gt;35,BD92+BC93-BL92,IF(A93&lt;'Données projet'!$A$88,$BA$205^A93,IF(A93='Données projet'!$A$88,'Données projet'!$B$88,BD92+BC93-BL92)))</f>
        <v>206.99999999999994</v>
      </c>
      <c r="BE93" s="14">
        <f>BD93*VLOOKUP('Données projet'!$B$11,Paramètres!$A$1:$I$89,3,0)*VLOOKUP('Données projet'!$B$11,Paramètres!$A$1:$I$89,5,0)</f>
        <v>209.89799999999994</v>
      </c>
      <c r="BF93" s="14">
        <f t="shared" si="91"/>
        <v>51.913295501810218</v>
      </c>
      <c r="BG93" s="22">
        <f t="shared" si="61"/>
        <v>455.98800633231934</v>
      </c>
      <c r="BH93" s="62">
        <f t="shared" si="62"/>
        <v>749.32133966565266</v>
      </c>
      <c r="BI93" s="62">
        <f ca="1">AVERAGE(OFFSET($BH$3,0,0,'Données projet'!$E$11+1,1))-AVERAGE(OFFSET($H$3,0,0,'Données projet'!$E$11+1,1))</f>
        <v>238.29088076221427</v>
      </c>
      <c r="BJ93" s="62">
        <f t="shared" si="92"/>
        <v>102.64102748467457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14</v>
      </c>
      <c r="BM93" s="17">
        <f>IF(ISNA(VLOOKUP(A93,'Données projet'!$A$87:$I$107,5,0)),0%,VLOOKUP(A93,'Données projet'!$A$87:$I$107,5,0)*VLOOKUP('Données projet'!$B$11,Paramètres!$A$1:$I$89,7,0))</f>
        <v>0.129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6.8925245261635819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6.8925245261635819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26.026000000000032</v>
      </c>
      <c r="D94" s="12">
        <f t="shared" si="86"/>
        <v>8.2074088077660097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264.2578925511765</v>
      </c>
      <c r="H94" s="70">
        <f t="shared" si="56"/>
        <v>352.95652034019247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13.4</v>
      </c>
      <c r="N94" s="14">
        <f>IF('Données projet'!$A$36&gt;35,N93+M94-V93,IF(A94&lt;'Données projet'!$A$36,$K$205^A94,IF(A94='Données projet'!$A$36,'Données projet'!$B$36,N93+M94-V93)))</f>
        <v>261.39999999999969</v>
      </c>
      <c r="O94" s="14">
        <f>N94*VLOOKUP('Données projet'!$B$9,Paramètres!$A$1:$I$89,3,0)*VLOOKUP('Données projet'!$B$9,Paramètres!$A$1:$I$89,5,0)</f>
        <v>122.33519999999986</v>
      </c>
      <c r="P94" s="14">
        <f t="shared" si="87"/>
        <v>32.219033915407472</v>
      </c>
      <c r="Q94" s="22">
        <f t="shared" si="54"/>
        <v>269.18195740266776</v>
      </c>
      <c r="R94" s="62">
        <f t="shared" si="55"/>
        <v>562.51529073600113</v>
      </c>
      <c r="S94" s="62">
        <f ca="1">AVERAGE(OFFSET($R$3,0,0,'Données projet'!$E$9+1,1))-AVERAGE(OFFSET($H$3,0,0,'Données projet'!$E$9+1,1))</f>
        <v>188.51537094662768</v>
      </c>
      <c r="T94" s="62">
        <f t="shared" si="88"/>
        <v>181.95202230446716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34.850209945181938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34.850209945181938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5.3</v>
      </c>
      <c r="AI94" s="14">
        <f>IF('Données projet'!$A$62&gt;35,AI93+AH94-AQ93,IF(A94&lt;'Données projet'!$A$62,$AF$205^A94,IF(A94='Données projet'!$A$62,'Données projet'!$B$62,AI93+AH94-AQ93)))</f>
        <v>467.3</v>
      </c>
      <c r="AJ94" s="14">
        <f>AI94*VLOOKUP('Données projet'!$B$10,Paramètres!$A$1:$I$89,3,0)*VLOOKUP('Données projet'!$B$10,Paramètres!$A$1:$I$89,5,0)</f>
        <v>279.44540000000006</v>
      </c>
      <c r="AK94" s="14">
        <f t="shared" si="89"/>
        <v>66.849792437407487</v>
      </c>
      <c r="AL94" s="22">
        <f t="shared" si="58"/>
        <v>603.13079349515147</v>
      </c>
      <c r="AM94" s="62">
        <f t="shared" si="59"/>
        <v>896.46412682848472</v>
      </c>
      <c r="AN94" s="62">
        <f ca="1">AVERAGE(OFFSET($AM$3,0,0,'Données projet'!$E$10+1,1))-AVERAGE(OFFSET($H$3,0,0,'Données projet'!$E$10+1,1))</f>
        <v>318.69447733545013</v>
      </c>
      <c r="AO94" s="62">
        <f t="shared" si="90"/>
        <v>186.33351136372443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8.1778436493091089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4.7447899800099433</v>
      </c>
      <c r="AX94" s="23">
        <f t="shared" si="60"/>
        <v>12.922633629319051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3.8</v>
      </c>
      <c r="BD94" s="13">
        <f>IF('Données projet'!$A$88&gt;35,BD93+BC94-BL93,IF(A94&lt;'Données projet'!$A$88,$BA$205^A94,IF(A94='Données projet'!$A$88,'Données projet'!$B$88,BD93+BC94-BL93)))</f>
        <v>196.79999999999995</v>
      </c>
      <c r="BE94" s="14">
        <f>BD94*VLOOKUP('Données projet'!$B$11,Paramètres!$A$1:$I$89,3,0)*VLOOKUP('Données projet'!$B$11,Paramètres!$A$1:$I$89,5,0)</f>
        <v>199.55519999999996</v>
      </c>
      <c r="BF94" s="14">
        <f t="shared" si="91"/>
        <v>49.646401484745567</v>
      </c>
      <c r="BG94" s="22">
        <f t="shared" si="61"/>
        <v>434.02612258593177</v>
      </c>
      <c r="BH94" s="62">
        <f t="shared" si="62"/>
        <v>727.35945591926509</v>
      </c>
      <c r="BI94" s="62">
        <f ca="1">AVERAGE(OFFSET($BH$3,0,0,'Données projet'!$E$11+1,1))-AVERAGE(OFFSET($H$3,0,0,'Données projet'!$E$11+1,1))</f>
        <v>238.29088076221427</v>
      </c>
      <c r="BJ94" s="62">
        <f t="shared" si="92"/>
        <v>102.64102748467457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6.7573663242303619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6.7573663242303619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26.312000000000033</v>
      </c>
      <c r="D95" s="12">
        <f t="shared" si="86"/>
        <v>8.2870510840880538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267.08039433331163</v>
      </c>
      <c r="H95" s="70">
        <f t="shared" si="56"/>
        <v>353.59334730478673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13.4</v>
      </c>
      <c r="N95" s="14">
        <f>IF('Données projet'!$A$36&gt;35,N94+M95-V94,IF(A95&lt;'Données projet'!$A$36,$K$205^A95,IF(A95='Données projet'!$A$36,'Données projet'!$B$36,N94+M95-V94)))</f>
        <v>274.79999999999967</v>
      </c>
      <c r="O95" s="14">
        <f>N95*VLOOKUP('Données projet'!$B$9,Paramètres!$A$1:$I$89,3,0)*VLOOKUP('Données projet'!$B$9,Paramètres!$A$1:$I$89,5,0)</f>
        <v>128.60639999999987</v>
      </c>
      <c r="P95" s="14">
        <f t="shared" si="87"/>
        <v>33.674137573800841</v>
      </c>
      <c r="Q95" s="22">
        <f t="shared" si="54"/>
        <v>282.6386029410362</v>
      </c>
      <c r="R95" s="62">
        <f t="shared" si="55"/>
        <v>575.97193627436945</v>
      </c>
      <c r="S95" s="62">
        <f ca="1">AVERAGE(OFFSET($R$3,0,0,'Données projet'!$E$9+1,1))-AVERAGE(OFFSET($H$3,0,0,'Données projet'!$E$9+1,1))</f>
        <v>188.51537094662768</v>
      </c>
      <c r="T95" s="62">
        <f t="shared" si="88"/>
        <v>181.95202230446716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34.166818584686077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34.166818584686077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5.3</v>
      </c>
      <c r="AI95" s="14">
        <f>IF('Données projet'!$A$62&gt;35,AI94+AH95-AQ94,IF(A95&lt;'Données projet'!$A$62,$AF$205^A95,IF(A95='Données projet'!$A$62,'Données projet'!$B$62,AI94+AH95-AQ94)))</f>
        <v>472.6</v>
      </c>
      <c r="AJ95" s="14">
        <f>AI95*VLOOKUP('Données projet'!$B$10,Paramètres!$A$1:$I$89,3,0)*VLOOKUP('Données projet'!$B$10,Paramètres!$A$1:$I$89,5,0)</f>
        <v>282.6148</v>
      </c>
      <c r="AK95" s="14">
        <f t="shared" si="89"/>
        <v>67.519291995071626</v>
      </c>
      <c r="AL95" s="22">
        <f t="shared" si="58"/>
        <v>609.81687689141643</v>
      </c>
      <c r="AM95" s="62">
        <f t="shared" si="59"/>
        <v>903.1502102247498</v>
      </c>
      <c r="AN95" s="62">
        <f ca="1">AVERAGE(OFFSET($AM$3,0,0,'Données projet'!$E$10+1,1))-AVERAGE(OFFSET($H$3,0,0,'Données projet'!$E$10+1,1))</f>
        <v>318.69447733545013</v>
      </c>
      <c r="AO95" s="62">
        <f t="shared" si="90"/>
        <v>186.33351136372443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8.0174811233382606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3.3550731701710146</v>
      </c>
      <c r="AX95" s="23">
        <f t="shared" si="60"/>
        <v>11.372554293509275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3.8</v>
      </c>
      <c r="BD95" s="13">
        <f>IF('Données projet'!$A$88&gt;35,BD94+BC95-BL94,IF(A95&lt;'Données projet'!$A$88,$BA$205^A95,IF(A95='Données projet'!$A$88,'Données projet'!$B$88,BD94+BC95-BL94)))</f>
        <v>200.59999999999997</v>
      </c>
      <c r="BE95" s="14">
        <f>BD95*VLOOKUP('Données projet'!$B$11,Paramètres!$A$1:$I$89,3,0)*VLOOKUP('Données projet'!$B$11,Paramètres!$A$1:$I$89,5,0)</f>
        <v>203.40839999999997</v>
      </c>
      <c r="BF95" s="14">
        <f t="shared" si="91"/>
        <v>50.492492598977002</v>
      </c>
      <c r="BG95" s="22">
        <f t="shared" si="61"/>
        <v>442.21072127655157</v>
      </c>
      <c r="BH95" s="62">
        <f t="shared" si="62"/>
        <v>735.54405460988482</v>
      </c>
      <c r="BI95" s="62">
        <f ca="1">AVERAGE(OFFSET($BH$3,0,0,'Données projet'!$E$11+1,1))-AVERAGE(OFFSET($H$3,0,0,'Données projet'!$E$11+1,1))</f>
        <v>238.29088076221427</v>
      </c>
      <c r="BJ95" s="62">
        <f t="shared" si="92"/>
        <v>102.64102748467457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6.6248584921986895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6.6248584921986895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26.598000000000035</v>
      </c>
      <c r="D96" s="12">
        <f t="shared" si="86"/>
        <v>8.3665926572377067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269.90211875762475</v>
      </c>
      <c r="H96" s="70">
        <f t="shared" si="56"/>
        <v>354.2299988780224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13.4</v>
      </c>
      <c r="N96" s="14">
        <f>IF('Données projet'!$A$36&gt;35,N95+M96-V95,IF(A96&lt;'Données projet'!$A$36,$K$205^A96,IF(A96='Données projet'!$A$36,'Données projet'!$B$36,N95+M96-V95)))</f>
        <v>288.19999999999965</v>
      </c>
      <c r="O96" s="14">
        <f>N96*VLOOKUP('Données projet'!$B$9,Paramètres!$A$1:$I$89,3,0)*VLOOKUP('Données projet'!$B$9,Paramètres!$A$1:$I$89,5,0)</f>
        <v>134.87759999999983</v>
      </c>
      <c r="P96" s="14">
        <f t="shared" si="87"/>
        <v>35.121002036911868</v>
      </c>
      <c r="Q96" s="22">
        <f t="shared" si="54"/>
        <v>296.08089854762119</v>
      </c>
      <c r="R96" s="62">
        <f t="shared" si="55"/>
        <v>589.4142318809545</v>
      </c>
      <c r="S96" s="62">
        <f ca="1">AVERAGE(OFFSET($R$3,0,0,'Données projet'!$E$9+1,1))-AVERAGE(OFFSET($H$3,0,0,'Données projet'!$E$9+1,1))</f>
        <v>188.51537094662768</v>
      </c>
      <c r="T96" s="62">
        <f t="shared" si="88"/>
        <v>181.95202230446716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33.496828111941973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33.496828111941973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5.3</v>
      </c>
      <c r="AI96" s="14">
        <f>IF('Données projet'!$A$62&gt;35,AI95+AH96-AQ95,IF(A96&lt;'Données projet'!$A$62,$AF$205^A96,IF(A96='Données projet'!$A$62,'Données projet'!$B$62,AI95+AH96-AQ95)))</f>
        <v>477.90000000000003</v>
      </c>
      <c r="AJ96" s="14">
        <f>AI96*VLOOKUP('Données projet'!$B$10,Paramètres!$A$1:$I$89,3,0)*VLOOKUP('Données projet'!$B$10,Paramètres!$A$1:$I$89,5,0)</f>
        <v>285.78420000000006</v>
      </c>
      <c r="AK96" s="14">
        <f t="shared" si="89"/>
        <v>68.187918155875096</v>
      </c>
      <c r="AL96" s="22">
        <f t="shared" si="58"/>
        <v>616.50143912148258</v>
      </c>
      <c r="AM96" s="62">
        <f t="shared" si="59"/>
        <v>909.83477245481595</v>
      </c>
      <c r="AN96" s="62">
        <f ca="1">AVERAGE(OFFSET($AM$3,0,0,'Données projet'!$E$10+1,1))-AVERAGE(OFFSET($H$3,0,0,'Données projet'!$E$10+1,1))</f>
        <v>318.69447733545013</v>
      </c>
      <c r="AO96" s="62">
        <f t="shared" si="90"/>
        <v>186.33351136372443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7.8602632086902169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2.3723949900049721</v>
      </c>
      <c r="AX96" s="23">
        <f t="shared" si="60"/>
        <v>10.232658198695189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3.8</v>
      </c>
      <c r="BD96" s="13">
        <f>IF('Données projet'!$A$88&gt;35,BD95+BC96-BL95,IF(A96&lt;'Données projet'!$A$88,$BA$205^A96,IF(A96='Données projet'!$A$88,'Données projet'!$B$88,BD95+BC96-BL95)))</f>
        <v>204.39999999999998</v>
      </c>
      <c r="BE96" s="14">
        <f>BD96*VLOOKUP('Données projet'!$B$11,Paramètres!$A$1:$I$89,3,0)*VLOOKUP('Données projet'!$B$11,Paramètres!$A$1:$I$89,5,0)</f>
        <v>207.26159999999999</v>
      </c>
      <c r="BF96" s="14">
        <f t="shared" si="91"/>
        <v>51.3367200324452</v>
      </c>
      <c r="BG96" s="22">
        <f t="shared" si="61"/>
        <v>450.39207405650865</v>
      </c>
      <c r="BH96" s="62">
        <f t="shared" si="62"/>
        <v>743.72540738984196</v>
      </c>
      <c r="BI96" s="62">
        <f ca="1">AVERAGE(OFFSET($BH$3,0,0,'Données projet'!$E$11+1,1))-AVERAGE(OFFSET($H$3,0,0,'Données projet'!$E$11+1,1))</f>
        <v>238.29088076221427</v>
      </c>
      <c r="BJ96" s="62">
        <f t="shared" si="92"/>
        <v>102.64102748467457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6.4949490579313611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6.4949490579313611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26.884000000000036</v>
      </c>
      <c r="D97" s="12">
        <f t="shared" si="86"/>
        <v>8.446034735376756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272.723075150277</v>
      </c>
      <c r="H97" s="70">
        <f t="shared" si="56"/>
        <v>354.86647716411454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13.4</v>
      </c>
      <c r="N97" s="14">
        <f>IF('Données projet'!$A$36&gt;35,N96+M97-V96,IF(A97&lt;'Données projet'!$A$36,$K$205^A97,IF(A97='Données projet'!$A$36,'Données projet'!$B$36,N96+M97-V96)))</f>
        <v>301.59999999999962</v>
      </c>
      <c r="O97" s="14">
        <f>N97*VLOOKUP('Données projet'!$B$9,Paramètres!$A$1:$I$89,3,0)*VLOOKUP('Données projet'!$B$9,Paramètres!$A$1:$I$89,5,0)</f>
        <v>141.14879999999982</v>
      </c>
      <c r="P97" s="14">
        <f t="shared" si="87"/>
        <v>36.560054140504448</v>
      </c>
      <c r="Q97" s="22">
        <f t="shared" si="54"/>
        <v>309.50958762804493</v>
      </c>
      <c r="R97" s="62">
        <f t="shared" si="55"/>
        <v>602.84292096137824</v>
      </c>
      <c r="S97" s="62">
        <f ca="1">AVERAGE(OFFSET($R$3,0,0,'Données projet'!$E$9+1,1))-AVERAGE(OFFSET($H$3,0,0,'Données projet'!$E$9+1,1))</f>
        <v>188.51537094662768</v>
      </c>
      <c r="T97" s="62">
        <f t="shared" si="88"/>
        <v>181.95202230446716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32.83997574371454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32.83997574371454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5.3</v>
      </c>
      <c r="AI97" s="14">
        <f>IF('Données projet'!$A$62&gt;35,AI96+AH97-AQ96,IF(A97&lt;'Données projet'!$A$62,$AF$205^A97,IF(A97='Données projet'!$A$62,'Données projet'!$B$62,AI96+AH97-AQ96)))</f>
        <v>483.20000000000005</v>
      </c>
      <c r="AJ97" s="14">
        <f>AI97*VLOOKUP('Données projet'!$B$10,Paramètres!$A$1:$I$89,3,0)*VLOOKUP('Données projet'!$B$10,Paramètres!$A$1:$I$89,5,0)</f>
        <v>288.95360000000005</v>
      </c>
      <c r="AK97" s="14">
        <f t="shared" si="89"/>
        <v>68.855681726886303</v>
      </c>
      <c r="AL97" s="22">
        <f t="shared" si="58"/>
        <v>623.18449900766041</v>
      </c>
      <c r="AM97" s="62">
        <f t="shared" si="59"/>
        <v>916.51783234099366</v>
      </c>
      <c r="AN97" s="62">
        <f ca="1">AVERAGE(OFFSET($AM$3,0,0,'Données projet'!$E$10+1,1))-AVERAGE(OFFSET($H$3,0,0,'Données projet'!$E$10+1,1))</f>
        <v>318.69447733545013</v>
      </c>
      <c r="AO97" s="62">
        <f t="shared" si="90"/>
        <v>186.33351136372443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7.7061282414549623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1.6775365850855075</v>
      </c>
      <c r="AX97" s="23">
        <f t="shared" si="60"/>
        <v>9.3836648265404694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3.8</v>
      </c>
      <c r="BD97" s="13">
        <f>IF('Données projet'!$A$88&gt;35,BD96+BC97-BL96,IF(A97&lt;'Données projet'!$A$88,$BA$205^A97,IF(A97='Données projet'!$A$88,'Données projet'!$B$88,BD96+BC97-BL96)))</f>
        <v>208.2</v>
      </c>
      <c r="BE97" s="14">
        <f>BD97*VLOOKUP('Données projet'!$B$11,Paramètres!$A$1:$I$89,3,0)*VLOOKUP('Données projet'!$B$11,Paramètres!$A$1:$I$89,5,0)</f>
        <v>211.11479999999997</v>
      </c>
      <c r="BF97" s="14">
        <f t="shared" si="91"/>
        <v>52.179122428493677</v>
      </c>
      <c r="BG97" s="22">
        <f t="shared" si="61"/>
        <v>458.57024822962643</v>
      </c>
      <c r="BH97" s="62">
        <f t="shared" si="62"/>
        <v>751.90358156295974</v>
      </c>
      <c r="BI97" s="62">
        <f ca="1">AVERAGE(OFFSET($BH$3,0,0,'Données projet'!$E$11+1,1))-AVERAGE(OFFSET($H$3,0,0,'Données projet'!$E$11+1,1))</f>
        <v>238.29088076221427</v>
      </c>
      <c r="BJ97" s="62">
        <f t="shared" si="92"/>
        <v>102.64102748467457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6.3675870684330844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6.3675870684330844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27.170000000000037</v>
      </c>
      <c r="D98" s="12">
        <f t="shared" si="86"/>
        <v>8.5253784994806594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275.54327262757027</v>
      </c>
      <c r="H98" s="70">
        <f t="shared" si="56"/>
        <v>355.50278421992886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13.4</v>
      </c>
      <c r="N98" s="14">
        <f>IF('Données projet'!$A$36&gt;35,N97+M98-V97,IF(A98&lt;'Données projet'!$A$36,$K$205^A98,IF(A98='Données projet'!$A$36,'Données projet'!$B$36,N97+M98-V97)))</f>
        <v>314.9999999999996</v>
      </c>
      <c r="O98" s="14">
        <f>N98*VLOOKUP('Données projet'!$B$9,Paramètres!$A$1:$I$89,3,0)*VLOOKUP('Données projet'!$B$9,Paramètres!$A$1:$I$89,5,0)</f>
        <v>147.41999999999982</v>
      </c>
      <c r="P98" s="14">
        <f t="shared" si="87"/>
        <v>37.991680647570256</v>
      </c>
      <c r="Q98" s="22">
        <f t="shared" si="54"/>
        <v>322.92534379451791</v>
      </c>
      <c r="R98" s="62">
        <f t="shared" si="55"/>
        <v>616.25867712785123</v>
      </c>
      <c r="S98" s="62">
        <f ca="1">AVERAGE(OFFSET($R$3,0,0,'Données projet'!$E$9+1,1))-AVERAGE(OFFSET($H$3,0,0,'Données projet'!$E$9+1,1))</f>
        <v>188.51537094662768</v>
      </c>
      <c r="T98" s="62">
        <f t="shared" si="88"/>
        <v>181.95202230446716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32.196003849787665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32.196003849787665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5.3</v>
      </c>
      <c r="AI98" s="14">
        <f>IF('Données projet'!$A$62&gt;35,AI97+AH98-AQ97,IF(A98&lt;'Données projet'!$A$62,$AF$205^A98,IF(A98='Données projet'!$A$62,'Données projet'!$B$62,AI97+AH98-AQ97)))</f>
        <v>488.50000000000006</v>
      </c>
      <c r="AJ98" s="14">
        <f>AI98*VLOOKUP('Données projet'!$B$10,Paramètres!$A$1:$I$89,3,0)*VLOOKUP('Données projet'!$B$10,Paramètres!$A$1:$I$89,5,0)</f>
        <v>292.12300000000005</v>
      </c>
      <c r="AK98" s="14">
        <f t="shared" si="89"/>
        <v>69.52259326444549</v>
      </c>
      <c r="AL98" s="22">
        <f t="shared" si="58"/>
        <v>629.86607493557597</v>
      </c>
      <c r="AM98" s="62">
        <f t="shared" si="59"/>
        <v>923.19940826890934</v>
      </c>
      <c r="AN98" s="62">
        <f ca="1">AVERAGE(OFFSET($AM$3,0,0,'Données projet'!$E$10+1,1))-AVERAGE(OFFSET($H$3,0,0,'Données projet'!$E$10+1,1))</f>
        <v>318.69447733545013</v>
      </c>
      <c r="AO98" s="62">
        <f t="shared" si="90"/>
        <v>186.33351136372443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7.5550157669141447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1.1861974950024863</v>
      </c>
      <c r="AX98" s="23">
        <f t="shared" si="60"/>
        <v>8.7412132619166307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212</v>
      </c>
      <c r="BB98" s="13">
        <f>VLOOKUP(A98,'Données projet'!$A$87:$I$107,9,0)</f>
        <v>3.8</v>
      </c>
      <c r="BC98" s="13">
        <f t="array" ref="BC98">INDEX(BB:BB,MIN(IF(ISNUMBER(BB98:BB294),ROW(BB98:BB294),"")))</f>
        <v>3.8</v>
      </c>
      <c r="BD98" s="13">
        <f>IF('Données projet'!$A$88&gt;35,BD97+BC98-BL97,IF(A98&lt;'Données projet'!$A$88,$BA$205^A98,IF(A98='Données projet'!$A$88,'Données projet'!$B$88,BD97+BC98-BL97)))</f>
        <v>212</v>
      </c>
      <c r="BE98" s="14">
        <f>BD98*VLOOKUP('Données projet'!$B$11,Paramètres!$A$1:$I$89,3,0)*VLOOKUP('Données projet'!$B$11,Paramètres!$A$1:$I$89,5,0)</f>
        <v>214.96800000000002</v>
      </c>
      <c r="BF98" s="14">
        <f t="shared" si="91"/>
        <v>53.019736939093043</v>
      </c>
      <c r="BG98" s="22">
        <f t="shared" si="61"/>
        <v>466.74530850225375</v>
      </c>
      <c r="BH98" s="62">
        <f t="shared" si="62"/>
        <v>760.07864183558706</v>
      </c>
      <c r="BI98" s="62">
        <f ca="1">AVERAGE(OFFSET($BH$3,0,0,'Données projet'!$E$11+1,1))-AVERAGE(OFFSET($H$3,0,0,'Données projet'!$E$11+1,1))</f>
        <v>238.29088076221427</v>
      </c>
      <c r="BJ98" s="62">
        <f t="shared" si="92"/>
        <v>102.64102748467457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14</v>
      </c>
      <c r="BM98" s="17">
        <f>IF(ISNA(VLOOKUP(A98,'Données projet'!$A$87:$I$107,5,0)),0%,VLOOKUP(A98,'Données projet'!$A$87:$I$107,5,0)*VLOOKUP('Données projet'!$B$11,Paramètres!$A$1:$I$89,7,0))</f>
        <v>0.15049999999999999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8.604557824797114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8.604557824797114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27.456000000000039</v>
      </c>
      <c r="D99" s="12">
        <f t="shared" si="86"/>
        <v>8.6046251042299051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278.36272010282761</v>
      </c>
      <c r="H99" s="70">
        <f t="shared" si="56"/>
        <v>356.13892205653377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13.4</v>
      </c>
      <c r="N99" s="14">
        <f>IF('Données projet'!$A$36&gt;35,N98+M99-V98,IF(A99&lt;'Données projet'!$A$36,$K$205^A99,IF(A99='Données projet'!$A$36,'Données projet'!$B$36,N98+M99-V98)))</f>
        <v>328.39999999999958</v>
      </c>
      <c r="O99" s="14">
        <f>N99*VLOOKUP('Données projet'!$B$9,Paramètres!$A$1:$I$89,3,0)*VLOOKUP('Données projet'!$B$9,Paramètres!$A$1:$I$89,5,0)</f>
        <v>153.69119999999981</v>
      </c>
      <c r="P99" s="14">
        <f t="shared" si="87"/>
        <v>39.416233554315724</v>
      </c>
      <c r="Q99" s="22">
        <f t="shared" ref="Q99:Q130" si="107">(O99+P99)*0.475*44/12</f>
        <v>336.32878010709959</v>
      </c>
      <c r="R99" s="62">
        <f t="shared" si="55"/>
        <v>629.6621134404329</v>
      </c>
      <c r="S99" s="62">
        <f ca="1">AVERAGE(OFFSET($R$3,0,0,'Données projet'!$E$9+1,1))-AVERAGE(OFFSET($H$3,0,0,'Données projet'!$E$9+1,1))</f>
        <v>188.51537094662768</v>
      </c>
      <c r="T99" s="62">
        <f t="shared" si="88"/>
        <v>181.95202230446716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31.564659851916623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31.564659851916623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5.3</v>
      </c>
      <c r="AI99" s="14">
        <f>IF('Données projet'!$A$62&gt;35,AI98+AH99-AQ98,IF(A99&lt;'Données projet'!$A$62,$AF$205^A99,IF(A99='Données projet'!$A$62,'Données projet'!$B$62,AI98+AH99-AQ98)))</f>
        <v>493.80000000000007</v>
      </c>
      <c r="AJ99" s="14">
        <f>AI99*VLOOKUP('Données projet'!$B$10,Paramètres!$A$1:$I$89,3,0)*VLOOKUP('Données projet'!$B$10,Paramètres!$A$1:$I$89,5,0)</f>
        <v>295.2924000000001</v>
      </c>
      <c r="AK99" s="14">
        <f t="shared" si="89"/>
        <v>70.188663082637405</v>
      </c>
      <c r="AL99" s="22">
        <f t="shared" si="58"/>
        <v>636.54618486892696</v>
      </c>
      <c r="AM99" s="62">
        <f t="shared" si="59"/>
        <v>929.87951820226021</v>
      </c>
      <c r="AN99" s="62">
        <f ca="1">AVERAGE(OFFSET($AM$3,0,0,'Données projet'!$E$10+1,1))-AVERAGE(OFFSET($H$3,0,0,'Données projet'!$E$10+1,1))</f>
        <v>318.69447733545013</v>
      </c>
      <c r="AO99" s="62">
        <f t="shared" si="90"/>
        <v>186.33351136372443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7.4068665158295639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0.83876829254275387</v>
      </c>
      <c r="AX99" s="23">
        <f t="shared" si="60"/>
        <v>8.2456348083723174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3.6</v>
      </c>
      <c r="BD99" s="13">
        <f>IF('Données projet'!$A$88&gt;35,BD98+BC99-BL98,IF(A99&lt;'Données projet'!$A$88,$BA$205^A99,IF(A99='Données projet'!$A$88,'Données projet'!$B$88,BD98+BC99-BL98)))</f>
        <v>201.6</v>
      </c>
      <c r="BE99" s="14">
        <f>BD99*VLOOKUP('Données projet'!$B$11,Paramètres!$A$1:$I$89,3,0)*VLOOKUP('Données projet'!$B$11,Paramètres!$A$1:$I$89,5,0)</f>
        <v>204.42239999999998</v>
      </c>
      <c r="BF99" s="14">
        <f t="shared" si="91"/>
        <v>50.714836797527262</v>
      </c>
      <c r="BG99" s="22">
        <f t="shared" si="61"/>
        <v>444.36402075569328</v>
      </c>
      <c r="BH99" s="62">
        <f t="shared" si="62"/>
        <v>737.69735408902659</v>
      </c>
      <c r="BI99" s="62">
        <f ca="1">AVERAGE(OFFSET($BH$3,0,0,'Données projet'!$E$11+1,1))-AVERAGE(OFFSET($H$3,0,0,'Données projet'!$E$11+1,1))</f>
        <v>238.29088076221427</v>
      </c>
      <c r="BJ99" s="62">
        <f t="shared" si="92"/>
        <v>102.64102748467457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8.4358276941148933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8.4358276941148933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27.74200000000004</v>
      </c>
      <c r="D100" s="12">
        <f t="shared" si="86"/>
        <v>8.6837756788631371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281.18142629297887</v>
      </c>
      <c r="H100" s="70">
        <f t="shared" si="56"/>
        <v>356.77489264068669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13.4</v>
      </c>
      <c r="N100" s="14">
        <f>IF('Données projet'!$A$36&gt;35,N99+M100-V99,IF(A100&lt;'Données projet'!$A$36,$K$205^A100,IF(A100='Données projet'!$A$36,'Données projet'!$B$36,N99+M100-V99)))</f>
        <v>341.79999999999956</v>
      </c>
      <c r="O100" s="14">
        <f>N100*VLOOKUP('Données projet'!$B$9,Paramètres!$A$1:$I$89,3,0)*VLOOKUP('Données projet'!$B$9,Paramètres!$A$1:$I$89,5,0)</f>
        <v>159.96239999999977</v>
      </c>
      <c r="P100" s="14">
        <f t="shared" si="87"/>
        <v>40.834034505739815</v>
      </c>
      <c r="Q100" s="22">
        <f t="shared" si="107"/>
        <v>349.72045676416309</v>
      </c>
      <c r="R100" s="62">
        <f t="shared" si="55"/>
        <v>643.0537900974964</v>
      </c>
      <c r="S100" s="62">
        <f ca="1">AVERAGE(OFFSET($R$3,0,0,'Données projet'!$E$9+1,1))-AVERAGE(OFFSET($H$3,0,0,'Données projet'!$E$9+1,1))</f>
        <v>188.51537094662768</v>
      </c>
      <c r="T100" s="62">
        <f t="shared" si="88"/>
        <v>181.95202230446716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30.945696124762016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30.945696124762016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5.3</v>
      </c>
      <c r="AI100" s="14">
        <f>IF('Données projet'!$A$62&gt;35,AI99+AH100-AQ99,IF(A100&lt;'Données projet'!$A$62,$AF$205^A100,IF(A100='Données projet'!$A$62,'Données projet'!$B$62,AI99+AH100-AQ99)))</f>
        <v>499.10000000000008</v>
      </c>
      <c r="AJ100" s="14">
        <f>AI100*VLOOKUP('Données projet'!$B$10,Paramètres!$A$1:$I$89,3,0)*VLOOKUP('Données projet'!$B$10,Paramètres!$A$1:$I$89,5,0)</f>
        <v>298.46180000000004</v>
      </c>
      <c r="AK100" s="14">
        <f t="shared" si="89"/>
        <v>70.853901261389936</v>
      </c>
      <c r="AL100" s="22">
        <f t="shared" si="58"/>
        <v>643.22484636358752</v>
      </c>
      <c r="AM100" s="62">
        <f t="shared" si="59"/>
        <v>936.55817969692089</v>
      </c>
      <c r="AN100" s="62">
        <f ca="1">AVERAGE(OFFSET($AM$3,0,0,'Données projet'!$E$10+1,1))-AVERAGE(OFFSET($H$3,0,0,'Données projet'!$E$10+1,1))</f>
        <v>318.69447733545013</v>
      </c>
      <c r="AO100" s="62">
        <f t="shared" si="90"/>
        <v>186.33351136372443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7.2616223811966307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0.59309874750124314</v>
      </c>
      <c r="AX100" s="23">
        <f t="shared" si="60"/>
        <v>7.8547211286978742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3.6</v>
      </c>
      <c r="BD100" s="13">
        <f>IF('Données projet'!$A$88&gt;35,BD99+BC100-BL99,IF(A100&lt;'Données projet'!$A$88,$BA$205^A100,IF(A100='Données projet'!$A$88,'Données projet'!$B$88,BD99+BC100-BL99)))</f>
        <v>205.2</v>
      </c>
      <c r="BE100" s="14">
        <f>BD100*VLOOKUP('Données projet'!$B$11,Paramètres!$A$1:$I$89,3,0)*VLOOKUP('Données projet'!$B$11,Paramètres!$A$1:$I$89,5,0)</f>
        <v>208.0728</v>
      </c>
      <c r="BF100" s="14">
        <f t="shared" si="91"/>
        <v>51.514218302854317</v>
      </c>
      <c r="BG100" s="22">
        <f t="shared" si="61"/>
        <v>452.11405687747123</v>
      </c>
      <c r="BH100" s="62">
        <f t="shared" si="62"/>
        <v>745.44739021080454</v>
      </c>
      <c r="BI100" s="62">
        <f ca="1">AVERAGE(OFFSET($BH$3,0,0,'Données projet'!$E$11+1,1))-AVERAGE(OFFSET($H$3,0,0,'Données projet'!$E$11+1,1))</f>
        <v>238.29088076221427</v>
      </c>
      <c r="BJ100" s="62">
        <f t="shared" si="92"/>
        <v>102.64102748467457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8.2704062583801328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8.2704062583801328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28.028000000000041</v>
      </c>
      <c r="D101" s="12">
        <f t="shared" si="86"/>
        <v>8.7628313279941263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283.99939972486726</v>
      </c>
      <c r="H101" s="70">
        <f t="shared" si="56"/>
        <v>357.41069789625647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13.4</v>
      </c>
      <c r="N101" s="14">
        <f>IF('Données projet'!$A$36&gt;35,N100+M101-V100,IF(A101&lt;'Données projet'!$A$36,$K$205^A101,IF(A101='Données projet'!$A$36,'Données projet'!$B$36,N100+M101-V100)))</f>
        <v>355.19999999999953</v>
      </c>
      <c r="O101" s="14">
        <f>N101*VLOOKUP('Données projet'!$B$9,Paramètres!$A$1:$I$89,3,0)*VLOOKUP('Données projet'!$B$9,Paramètres!$A$1:$I$89,5,0)</f>
        <v>166.2335999999998</v>
      </c>
      <c r="P101" s="14">
        <f t="shared" si="87"/>
        <v>42.245378499291498</v>
      </c>
      <c r="Q101" s="22">
        <f t="shared" si="107"/>
        <v>363.10088755293231</v>
      </c>
      <c r="R101" s="62">
        <f t="shared" si="55"/>
        <v>656.43422088626562</v>
      </c>
      <c r="S101" s="62">
        <f ca="1">AVERAGE(OFFSET($R$3,0,0,'Données projet'!$E$9+1,1))-AVERAGE(OFFSET($H$3,0,0,'Données projet'!$E$9+1,1))</f>
        <v>188.51537094662768</v>
      </c>
      <c r="T101" s="62">
        <f t="shared" si="88"/>
        <v>181.95202230446716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30.338869898766315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30.338869898766315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5.3</v>
      </c>
      <c r="AI101" s="14">
        <f>IF('Données projet'!$A$62&gt;35,AI100+AH101-AQ100,IF(A101&lt;'Données projet'!$A$62,$AF$205^A101,IF(A101='Données projet'!$A$62,'Données projet'!$B$62,AI100+AH101-AQ100)))</f>
        <v>504.40000000000009</v>
      </c>
      <c r="AJ101" s="14">
        <f>AI101*VLOOKUP('Données projet'!$B$10,Paramètres!$A$1:$I$89,3,0)*VLOOKUP('Données projet'!$B$10,Paramètres!$A$1:$I$89,5,0)</f>
        <v>301.63120000000009</v>
      </c>
      <c r="AK101" s="14">
        <f t="shared" si="89"/>
        <v>71.518317654219274</v>
      </c>
      <c r="AL101" s="22">
        <f t="shared" si="58"/>
        <v>649.90207658109875</v>
      </c>
      <c r="AM101" s="62">
        <f t="shared" si="59"/>
        <v>943.23540991443201</v>
      </c>
      <c r="AN101" s="62">
        <f ca="1">AVERAGE(OFFSET($AM$3,0,0,'Données projet'!$E$10+1,1))-AVERAGE(OFFSET($H$3,0,0,'Données projet'!$E$10+1,1))</f>
        <v>318.69447733545013</v>
      </c>
      <c r="AO101" s="62">
        <f t="shared" si="90"/>
        <v>186.33351136372443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7.1192263954536745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0.41938414627137693</v>
      </c>
      <c r="AX101" s="23">
        <f t="shared" si="60"/>
        <v>7.5386105417250517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3.6</v>
      </c>
      <c r="BD101" s="13">
        <f>IF('Données projet'!$A$88&gt;35,BD100+BC101-BL100,IF(A101&lt;'Données projet'!$A$88,$BA$205^A101,IF(A101='Données projet'!$A$88,'Données projet'!$B$88,BD100+BC101-BL100)))</f>
        <v>208.79999999999998</v>
      </c>
      <c r="BE101" s="14">
        <f>BD101*VLOOKUP('Données projet'!$B$11,Paramètres!$A$1:$I$89,3,0)*VLOOKUP('Données projet'!$B$11,Paramètres!$A$1:$I$89,5,0)</f>
        <v>211.72319999999999</v>
      </c>
      <c r="BF101" s="14">
        <f t="shared" si="91"/>
        <v>52.311968964212078</v>
      </c>
      <c r="BG101" s="22">
        <f t="shared" si="61"/>
        <v>459.86125261266926</v>
      </c>
      <c r="BH101" s="62">
        <f t="shared" si="62"/>
        <v>753.19458594600258</v>
      </c>
      <c r="BI101" s="62">
        <f ca="1">AVERAGE(OFFSET($BH$3,0,0,'Données projet'!$E$11+1,1))-AVERAGE(OFFSET($H$3,0,0,'Données projet'!$E$11+1,1))</f>
        <v>238.29088076221427</v>
      </c>
      <c r="BJ101" s="62">
        <f t="shared" si="92"/>
        <v>102.64102748467457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8.1082286361030178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8.1082286361030178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28.314000000000043</v>
      </c>
      <c r="D102" s="12">
        <f t="shared" si="86"/>
        <v>8.8417931323944323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286.81664874129075</v>
      </c>
      <c r="H102" s="70">
        <f t="shared" si="56"/>
        <v>358.046339705587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13.4</v>
      </c>
      <c r="N102" s="14">
        <f>IF('Données projet'!$A$36&gt;35,N101+M102-V101,IF(A102&lt;'Données projet'!$A$36,$K$205^A102,IF(A102='Données projet'!$A$36,'Données projet'!$B$36,N101+M102-V101)))</f>
        <v>368.59999999999951</v>
      </c>
      <c r="O102" s="14">
        <f>N102*VLOOKUP('Données projet'!$B$9,Paramètres!$A$1:$I$89,3,0)*VLOOKUP('Données projet'!$B$9,Paramètres!$A$1:$I$89,5,0)</f>
        <v>172.50479999999979</v>
      </c>
      <c r="P102" s="14">
        <f t="shared" si="87"/>
        <v>43.65053701392732</v>
      </c>
      <c r="Q102" s="22">
        <f t="shared" si="107"/>
        <v>376.4705452992564</v>
      </c>
      <c r="R102" s="62">
        <f t="shared" si="55"/>
        <v>669.80387863258966</v>
      </c>
      <c r="S102" s="62">
        <f ca="1">AVERAGE(OFFSET($R$3,0,0,'Données projet'!$E$9+1,1))-AVERAGE(OFFSET($H$3,0,0,'Données projet'!$E$9+1,1))</f>
        <v>188.51537094662768</v>
      </c>
      <c r="T102" s="62">
        <f t="shared" si="88"/>
        <v>181.95202230446716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29.74394316493494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29.74394316493494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5.3</v>
      </c>
      <c r="AI102" s="14">
        <f>IF('Données projet'!$A$62&gt;35,AI101+AH102-AQ101,IF(A102&lt;'Données projet'!$A$62,$AF$205^A102,IF(A102='Données projet'!$A$62,'Données projet'!$B$62,AI101+AH102-AQ101)))</f>
        <v>509.7000000000001</v>
      </c>
      <c r="AJ102" s="14">
        <f>AI102*VLOOKUP('Données projet'!$B$10,Paramètres!$A$1:$I$89,3,0)*VLOOKUP('Données projet'!$B$10,Paramètres!$A$1:$I$89,5,0)</f>
        <v>304.80060000000009</v>
      </c>
      <c r="AK102" s="14">
        <f t="shared" si="89"/>
        <v>72.181921895639363</v>
      </c>
      <c r="AL102" s="22">
        <f t="shared" si="58"/>
        <v>656.57789230157209</v>
      </c>
      <c r="AM102" s="62">
        <f t="shared" si="59"/>
        <v>949.91122563490535</v>
      </c>
      <c r="AN102" s="62">
        <f ca="1">AVERAGE(OFFSET($AM$3,0,0,'Données projet'!$E$10+1,1))-AVERAGE(OFFSET($H$3,0,0,'Données projet'!$E$10+1,1))</f>
        <v>318.69447733545013</v>
      </c>
      <c r="AO102" s="62">
        <f t="shared" si="90"/>
        <v>186.33351136372443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6.9796227081381623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0.29654937375062157</v>
      </c>
      <c r="AX102" s="23">
        <f t="shared" si="60"/>
        <v>7.2761720818887836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3.6</v>
      </c>
      <c r="BD102" s="13">
        <f>IF('Données projet'!$A$88&gt;35,BD101+BC102-BL101,IF(A102&lt;'Données projet'!$A$88,$BA$205^A102,IF(A102='Données projet'!$A$88,'Données projet'!$B$88,BD101+BC102-BL101)))</f>
        <v>212.39999999999998</v>
      </c>
      <c r="BE102" s="14">
        <f>BD102*VLOOKUP('Données projet'!$B$11,Paramètres!$A$1:$I$89,3,0)*VLOOKUP('Données projet'!$B$11,Paramètres!$A$1:$I$89,5,0)</f>
        <v>215.37360000000001</v>
      </c>
      <c r="BF102" s="14">
        <f t="shared" si="91"/>
        <v>53.108120144188916</v>
      </c>
      <c r="BG102" s="22">
        <f t="shared" si="61"/>
        <v>467.60566258446232</v>
      </c>
      <c r="BH102" s="62">
        <f t="shared" si="62"/>
        <v>760.93899591779564</v>
      </c>
      <c r="BI102" s="62">
        <f ca="1">AVERAGE(OFFSET($BH$3,0,0,'Données projet'!$E$11+1,1))-AVERAGE(OFFSET($H$3,0,0,'Données projet'!$E$11+1,1))</f>
        <v>238.29088076221427</v>
      </c>
      <c r="BJ102" s="62">
        <f t="shared" si="92"/>
        <v>102.64102748467457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7.9492312180801754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7.9492312180801754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28.600000000000044</v>
      </c>
      <c r="D103" s="12">
        <f t="shared" si="86"/>
        <v>8.9206621497435208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289.63318150679248</v>
      </c>
      <c r="H103" s="70">
        <f t="shared" si="56"/>
        <v>358.68181991080337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382</v>
      </c>
      <c r="L103" s="13">
        <f>VLOOKUP(A103,'Données projet'!$A$35:$I$55,9,0)</f>
        <v>13.4</v>
      </c>
      <c r="M103" s="13">
        <f t="array" ref="M103">INDEX(L:L,MIN(IF(ISNUMBER(L103:L299),ROW(L103:L299),"")))</f>
        <v>13.4</v>
      </c>
      <c r="N103" s="14">
        <f>IF('Données projet'!$A$36&gt;35,N102+M103-V102,IF(A103&lt;'Données projet'!$A$36,$K$205^A103,IF(A103='Données projet'!$A$36,'Données projet'!$B$36,N102+M103-V102)))</f>
        <v>381.99999999999949</v>
      </c>
      <c r="O103" s="14">
        <f>N103*VLOOKUP('Données projet'!$B$9,Paramètres!$A$1:$I$89,3,0)*VLOOKUP('Données projet'!$B$9,Paramètres!$A$1:$I$89,5,0)</f>
        <v>178.77599999999975</v>
      </c>
      <c r="P103" s="14">
        <f t="shared" si="87"/>
        <v>45.049760671368183</v>
      </c>
      <c r="Q103" s="22">
        <f t="shared" si="107"/>
        <v>389.82986650263246</v>
      </c>
      <c r="R103" s="62">
        <f t="shared" si="55"/>
        <v>683.16319983596577</v>
      </c>
      <c r="S103" s="62">
        <f ca="1">AVERAGE(OFFSET($R$3,0,0,'Données projet'!$E$9+1,1))-AVERAGE(OFFSET($H$3,0,0,'Données projet'!$E$9+1,1))</f>
        <v>188.51537094662768</v>
      </c>
      <c r="T103" s="62">
        <f t="shared" si="88"/>
        <v>181.95202230446716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130</v>
      </c>
      <c r="W103" s="17">
        <f>IF(ISNA(VLOOKUP(A103,'Données projet'!$A$35:$I$55,5,0)),0%,VLOOKUP(A103,'Données projet'!$A$35:$I$55,5,0)*VLOOKUP('Données projet'!$B$9,Paramètres!$A$1:$I$89,7,0))</f>
        <v>0.22000000000000003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46.916482504651682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46.916482504651682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515</v>
      </c>
      <c r="AG103" s="13">
        <f>VLOOKUP(A103,'Données projet'!$A$61:$I$81,9,0)</f>
        <v>5.3</v>
      </c>
      <c r="AH103" s="13">
        <f t="array" ref="AH103">INDEX(AG:AG,MIN(IF(ISNUMBER(AG103:AG299),ROW(AG103:AG299),"")))</f>
        <v>5.3</v>
      </c>
      <c r="AI103" s="14">
        <f>IF('Données projet'!$A$62&gt;35,AI102+AH103-AQ102,IF(A103&lt;'Données projet'!$A$62,$AF$205^A103,IF(A103='Données projet'!$A$62,'Données projet'!$B$62,AI102+AH103-AQ102)))</f>
        <v>515.00000000000011</v>
      </c>
      <c r="AJ103" s="14">
        <f>AI103*VLOOKUP('Données projet'!$B$10,Paramètres!$A$1:$I$89,3,0)*VLOOKUP('Données projet'!$B$10,Paramètres!$A$1:$I$89,5,0)</f>
        <v>307.97000000000008</v>
      </c>
      <c r="AK103" s="14">
        <f t="shared" si="89"/>
        <v>72.844723408255376</v>
      </c>
      <c r="AL103" s="22">
        <f t="shared" si="58"/>
        <v>663.25230993604498</v>
      </c>
      <c r="AM103" s="62">
        <f t="shared" si="59"/>
        <v>956.58564326937835</v>
      </c>
      <c r="AN103" s="62">
        <f ca="1">AVERAGE(OFFSET($AM$3,0,0,'Données projet'!$E$10+1,1))-AVERAGE(OFFSET($H$3,0,0,'Données projet'!$E$10+1,1))</f>
        <v>318.69447733545013</v>
      </c>
      <c r="AO103" s="62">
        <f t="shared" si="90"/>
        <v>186.33351136372443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25</v>
      </c>
      <c r="AR103" s="17">
        <f>IF(ISNA(VLOOKUP(A103,'Données projet'!$A$61:$I$81,5,0)),0%,VLOOKUP(A103,'Données projet'!$A$61:$I$81,5,0)*VLOOKUP('Données projet'!$B$10,Paramètres!$A$1:$I$89,7,0))</f>
        <v>0.18000000000000002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0.4</v>
      </c>
      <c r="AU103" s="23">
        <f>EXP(-LN(2)/35)*AU102+(1-EXP(-LN(2)/35))/(LN(2)/35)*AQ103*AR103*VLOOKUP('Données projet'!$B$10,Paramètres!$A$1:$I$89,3,0)*0.475*44/12</f>
        <v>10.412541513568868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6.9804412123439539</v>
      </c>
      <c r="AX103" s="23">
        <f t="shared" si="60"/>
        <v>17.392982725912823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216</v>
      </c>
      <c r="BB103" s="13">
        <f>VLOOKUP(A103,'Données projet'!$A$87:$I$107,9,0)</f>
        <v>3.6</v>
      </c>
      <c r="BC103" s="13">
        <f t="array" ref="BC103">INDEX(BB:BB,MIN(IF(ISNUMBER(BB103:BB299),ROW(BB103:BB299),"")))</f>
        <v>3.6</v>
      </c>
      <c r="BD103" s="13">
        <f>IF('Données projet'!$A$88&gt;35,BD102+BC103-BL102,IF(A103&lt;'Données projet'!$A$88,$BA$205^A103,IF(A103='Données projet'!$A$88,'Données projet'!$B$88,BD102+BC103-BL102)))</f>
        <v>215.99999999999997</v>
      </c>
      <c r="BE103" s="14">
        <f>BD103*VLOOKUP('Données projet'!$B$11,Paramètres!$A$1:$I$89,3,0)*VLOOKUP('Données projet'!$B$11,Paramètres!$A$1:$I$89,5,0)</f>
        <v>219.02399999999997</v>
      </c>
      <c r="BF103" s="14">
        <f t="shared" si="91"/>
        <v>53.902702081308355</v>
      </c>
      <c r="BG103" s="22">
        <f t="shared" si="61"/>
        <v>475.34733945827867</v>
      </c>
      <c r="BH103" s="62">
        <f t="shared" si="62"/>
        <v>768.68067279161198</v>
      </c>
      <c r="BI103" s="62">
        <f ca="1">AVERAGE(OFFSET($BH$3,0,0,'Données projet'!$E$11+1,1))-AVERAGE(OFFSET($H$3,0,0,'Données projet'!$E$11+1,1))</f>
        <v>238.29088076221427</v>
      </c>
      <c r="BJ103" s="62">
        <f t="shared" si="92"/>
        <v>102.64102748467457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14</v>
      </c>
      <c r="BM103" s="17">
        <f>IF(ISNA(VLOOKUP(A103,'Données projet'!$A$87:$I$107,5,0)),0%,VLOOKUP(A103,'Données projet'!$A$87:$I$107,5,0)*VLOOKUP('Données projet'!$B$11,Paramètres!$A$1:$I$89,7,0))</f>
        <v>0.17200000000000001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10.492591933796071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10.492591933796071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28.886000000000045</v>
      </c>
      <c r="D104" s="12">
        <f t="shared" si="86"/>
        <v>8.9994394153480624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292.44900601321348</v>
      </c>
      <c r="H104" s="70">
        <f t="shared" si="56"/>
        <v>359.31714031506459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12</v>
      </c>
      <c r="N104" s="14">
        <f>IF('Données projet'!$A$36&gt;35,N103+M104-V103,IF(A104&lt;'Données projet'!$A$36,$K$205^A104,IF(A104='Données projet'!$A$36,'Données projet'!$B$36,N103+M104-V103)))</f>
        <v>263.99999999999949</v>
      </c>
      <c r="O104" s="14">
        <f>N104*VLOOKUP('Données projet'!$B$9,Paramètres!$A$1:$I$89,3,0)*VLOOKUP('Données projet'!$B$9,Paramètres!$A$1:$I$89,5,0)</f>
        <v>123.55199999999975</v>
      </c>
      <c r="P104" s="14">
        <f t="shared" si="87"/>
        <v>32.502033262579509</v>
      </c>
      <c r="Q104" s="22">
        <f t="shared" si="107"/>
        <v>271.79410793232552</v>
      </c>
      <c r="R104" s="62">
        <f t="shared" si="55"/>
        <v>565.12744126565883</v>
      </c>
      <c r="S104" s="62">
        <f ca="1">AVERAGE(OFFSET($R$3,0,0,'Données projet'!$E$9+1,1))-AVERAGE(OFFSET($H$3,0,0,'Données projet'!$E$9+1,1))</f>
        <v>188.51537094662768</v>
      </c>
      <c r="T104" s="62">
        <f t="shared" si="88"/>
        <v>181.95202230446716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45.99647889896417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45.99647889896417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490.00000000000011</v>
      </c>
      <c r="AJ104" s="14">
        <f>AI104*VLOOKUP('Données projet'!$B$10,Paramètres!$A$1:$I$89,3,0)*VLOOKUP('Données projet'!$B$10,Paramètres!$A$1:$I$89,5,0)</f>
        <v>293.0200000000001</v>
      </c>
      <c r="AK104" s="14">
        <f t="shared" si="89"/>
        <v>69.71118854917674</v>
      </c>
      <c r="AL104" s="22">
        <f t="shared" si="58"/>
        <v>631.75682005648298</v>
      </c>
      <c r="AM104" s="62">
        <f t="shared" si="59"/>
        <v>925.09015338981635</v>
      </c>
      <c r="AN104" s="62">
        <f ca="1">AVERAGE(OFFSET($AM$3,0,0,'Données projet'!$E$10+1,1))-AVERAGE(OFFSET($H$3,0,0,'Données projet'!$E$10+1,1))</f>
        <v>318.69447733545013</v>
      </c>
      <c r="AO104" s="62">
        <f t="shared" si="90"/>
        <v>186.33351136372443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10.208357925510995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4.9359173169224553</v>
      </c>
      <c r="AX104" s="23">
        <f t="shared" si="60"/>
        <v>15.144275242433451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3.2</v>
      </c>
      <c r="BD104" s="13">
        <f>IF('Données projet'!$A$88&gt;35,BD103+BC104-BL103,IF(A104&lt;'Données projet'!$A$88,$BA$205^A104,IF(A104='Données projet'!$A$88,'Données projet'!$B$88,BD103+BC104-BL103)))</f>
        <v>205.19999999999996</v>
      </c>
      <c r="BE104" s="14">
        <f>BD104*VLOOKUP('Données projet'!$B$11,Paramètres!$A$1:$I$89,3,0)*VLOOKUP('Données projet'!$B$11,Paramètres!$A$1:$I$89,5,0)</f>
        <v>208.07279999999994</v>
      </c>
      <c r="BF104" s="14">
        <f t="shared" si="91"/>
        <v>51.514218302854317</v>
      </c>
      <c r="BG104" s="22">
        <f t="shared" si="61"/>
        <v>452.11405687747123</v>
      </c>
      <c r="BH104" s="62">
        <f t="shared" si="62"/>
        <v>745.44739021080454</v>
      </c>
      <c r="BI104" s="62">
        <f ca="1">AVERAGE(OFFSET($BH$3,0,0,'Données projet'!$E$11+1,1))-AVERAGE(OFFSET($H$3,0,0,'Données projet'!$E$11+1,1))</f>
        <v>238.29088076221427</v>
      </c>
      <c r="BJ104" s="62">
        <f t="shared" si="92"/>
        <v>102.64102748467457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10.286838605823476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10.286838605823476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29.172000000000047</v>
      </c>
      <c r="D105" s="12">
        <f t="shared" si="86"/>
        <v>9.0781259428318624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295.26413008501828</v>
      </c>
      <c r="H105" s="70">
        <f t="shared" si="56"/>
        <v>359.95230268376554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12</v>
      </c>
      <c r="N105" s="14">
        <f>IF('Données projet'!$A$36&gt;35,N104+M105-V104,IF(A105&lt;'Données projet'!$A$36,$K$205^A105,IF(A105='Données projet'!$A$36,'Données projet'!$B$36,N104+M105-V104)))</f>
        <v>275.99999999999949</v>
      </c>
      <c r="O105" s="14">
        <f>N105*VLOOKUP('Données projet'!$B$9,Paramètres!$A$1:$I$89,3,0)*VLOOKUP('Données projet'!$B$9,Paramètres!$A$1:$I$89,5,0)</f>
        <v>129.16799999999975</v>
      </c>
      <c r="P105" s="14">
        <f t="shared" si="87"/>
        <v>33.804036779774407</v>
      </c>
      <c r="Q105" s="22">
        <f t="shared" si="107"/>
        <v>283.84296405810665</v>
      </c>
      <c r="R105" s="62">
        <f t="shared" si="55"/>
        <v>577.1762973914399</v>
      </c>
      <c r="S105" s="62">
        <f ca="1">AVERAGE(OFFSET($R$3,0,0,'Données projet'!$E$9+1,1))-AVERAGE(OFFSET($H$3,0,0,'Données projet'!$E$9+1,1))</f>
        <v>188.51537094662768</v>
      </c>
      <c r="T105" s="62">
        <f t="shared" si="88"/>
        <v>181.95202230446716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45.094516002837402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45.094516002837402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490.00000000000011</v>
      </c>
      <c r="AJ105" s="14">
        <f>AI105*VLOOKUP('Données projet'!$B$10,Paramètres!$A$1:$I$89,3,0)*VLOOKUP('Données projet'!$B$10,Paramètres!$A$1:$I$89,5,0)</f>
        <v>293.0200000000001</v>
      </c>
      <c r="AK105" s="14">
        <f t="shared" si="89"/>
        <v>69.71118854917674</v>
      </c>
      <c r="AL105" s="22">
        <f t="shared" si="58"/>
        <v>631.75682005648298</v>
      </c>
      <c r="AM105" s="62">
        <f t="shared" si="59"/>
        <v>925.09015338981635</v>
      </c>
      <c r="AN105" s="62">
        <f ca="1">AVERAGE(OFFSET($AM$3,0,0,'Données projet'!$E$10+1,1))-AVERAGE(OFFSET($H$3,0,0,'Données projet'!$E$10+1,1))</f>
        <v>318.69447733545013</v>
      </c>
      <c r="AO105" s="62">
        <f t="shared" si="90"/>
        <v>186.33351136372443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10.008178253075245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3.4902206061719774</v>
      </c>
      <c r="AX105" s="23">
        <f t="shared" si="60"/>
        <v>13.498398859247223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3.2</v>
      </c>
      <c r="BD105" s="13">
        <f>IF('Données projet'!$A$88&gt;35,BD104+BC105-BL104,IF(A105&lt;'Données projet'!$A$88,$BA$205^A105,IF(A105='Données projet'!$A$88,'Données projet'!$B$88,BD104+BC105-BL104)))</f>
        <v>208.39999999999995</v>
      </c>
      <c r="BE105" s="14">
        <f>BD105*VLOOKUP('Données projet'!$B$11,Paramètres!$A$1:$I$89,3,0)*VLOOKUP('Données projet'!$B$11,Paramètres!$A$1:$I$89,5,0)</f>
        <v>211.31759999999997</v>
      </c>
      <c r="BF105" s="14">
        <f t="shared" si="91"/>
        <v>52.223409552263242</v>
      </c>
      <c r="BG105" s="22">
        <f t="shared" si="61"/>
        <v>459.00059163685847</v>
      </c>
      <c r="BH105" s="62">
        <f t="shared" si="62"/>
        <v>752.33392497019179</v>
      </c>
      <c r="BI105" s="62">
        <f ca="1">AVERAGE(OFFSET($BH$3,0,0,'Données projet'!$E$11+1,1))-AVERAGE(OFFSET($H$3,0,0,'Données projet'!$E$11+1,1))</f>
        <v>238.29088076221427</v>
      </c>
      <c r="BJ105" s="62">
        <f t="shared" si="92"/>
        <v>102.64102748467457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10.085119975115287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10.085119975115287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29.458000000000048</v>
      </c>
      <c r="D106" s="12">
        <f t="shared" si="86"/>
        <v>9.1567227247980387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298.07856138440627</v>
      </c>
      <c r="H106" s="70">
        <f t="shared" si="56"/>
        <v>360.58730874569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12</v>
      </c>
      <c r="N106" s="14">
        <f>IF('Données projet'!$A$36&gt;35,N105+M106-V105,IF(A106&lt;'Données projet'!$A$36,$K$205^A106,IF(A106='Données projet'!$A$36,'Données projet'!$B$36,N105+M106-V105)))</f>
        <v>287.99999999999949</v>
      </c>
      <c r="O106" s="14">
        <f>N106*VLOOKUP('Données projet'!$B$9,Paramètres!$A$1:$I$89,3,0)*VLOOKUP('Données projet'!$B$9,Paramètres!$A$1:$I$89,5,0)</f>
        <v>134.78399999999976</v>
      </c>
      <c r="P106" s="14">
        <f t="shared" si="87"/>
        <v>35.099465485142062</v>
      </c>
      <c r="Q106" s="22">
        <f t="shared" si="107"/>
        <v>295.88036905328863</v>
      </c>
      <c r="R106" s="62">
        <f t="shared" si="55"/>
        <v>589.21370238662189</v>
      </c>
      <c r="S106" s="62">
        <f ca="1">AVERAGE(OFFSET($R$3,0,0,'Données projet'!$E$9+1,1))-AVERAGE(OFFSET($H$3,0,0,'Données projet'!$E$9+1,1))</f>
        <v>188.51537094662768</v>
      </c>
      <c r="T106" s="62">
        <f t="shared" si="88"/>
        <v>181.95202230446716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44.210240048960635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44.210240048960635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490.00000000000011</v>
      </c>
      <c r="AJ106" s="14">
        <f>AI106*VLOOKUP('Données projet'!$B$10,Paramètres!$A$1:$I$89,3,0)*VLOOKUP('Données projet'!$B$10,Paramètres!$A$1:$I$89,5,0)</f>
        <v>293.0200000000001</v>
      </c>
      <c r="AK106" s="14">
        <f t="shared" si="89"/>
        <v>69.71118854917674</v>
      </c>
      <c r="AL106" s="22">
        <f t="shared" si="58"/>
        <v>631.75682005648298</v>
      </c>
      <c r="AM106" s="62">
        <f t="shared" si="59"/>
        <v>925.09015338981635</v>
      </c>
      <c r="AN106" s="62">
        <f ca="1">AVERAGE(OFFSET($AM$3,0,0,'Données projet'!$E$10+1,1))-AVERAGE(OFFSET($H$3,0,0,'Données projet'!$E$10+1,1))</f>
        <v>318.69447733545013</v>
      </c>
      <c r="AO106" s="62">
        <f t="shared" si="90"/>
        <v>186.33351136372443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9.8119239819184152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2.4679586584612276</v>
      </c>
      <c r="AX106" s="23">
        <f t="shared" si="60"/>
        <v>12.279882640379643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3.2</v>
      </c>
      <c r="BD106" s="13">
        <f>IF('Données projet'!$A$88&gt;35,BD105+BC106-BL105,IF(A106&lt;'Données projet'!$A$88,$BA$205^A106,IF(A106='Données projet'!$A$88,'Données projet'!$B$88,BD105+BC106-BL105)))</f>
        <v>211.59999999999994</v>
      </c>
      <c r="BE106" s="14">
        <f>BD106*VLOOKUP('Données projet'!$B$11,Paramètres!$A$1:$I$89,3,0)*VLOOKUP('Données projet'!$B$11,Paramètres!$A$1:$I$89,5,0)</f>
        <v>214.56239999999994</v>
      </c>
      <c r="BF106" s="14">
        <f t="shared" si="91"/>
        <v>52.931334320900206</v>
      </c>
      <c r="BG106" s="22">
        <f t="shared" si="61"/>
        <v>465.88492060890104</v>
      </c>
      <c r="BH106" s="62">
        <f t="shared" si="62"/>
        <v>759.21825394223436</v>
      </c>
      <c r="BI106" s="62">
        <f ca="1">AVERAGE(OFFSET($BH$3,0,0,'Données projet'!$E$11+1,1))-AVERAGE(OFFSET($H$3,0,0,'Données projet'!$E$11+1,1))</f>
        <v>238.29088076221427</v>
      </c>
      <c r="BJ106" s="62">
        <f t="shared" si="92"/>
        <v>102.64102748467457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9.8873569237190697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9.8873569237190697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29.74400000000005</v>
      </c>
      <c r="D107" s="12">
        <f t="shared" si="86"/>
        <v>9.2352307334646877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300.89230741621907</v>
      </c>
      <c r="H107" s="70">
        <f t="shared" si="56"/>
        <v>361.22216019411775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12</v>
      </c>
      <c r="N107" s="14">
        <f>IF('Données projet'!$A$36&gt;35,N106+M107-V106,IF(A107&lt;'Données projet'!$A$36,$K$205^A107,IF(A107='Données projet'!$A$36,'Données projet'!$B$36,N106+M107-V106)))</f>
        <v>299.99999999999949</v>
      </c>
      <c r="O107" s="14">
        <f>N107*VLOOKUP('Données projet'!$B$9,Paramètres!$A$1:$I$89,3,0)*VLOOKUP('Données projet'!$B$9,Paramètres!$A$1:$I$89,5,0)</f>
        <v>140.39999999999978</v>
      </c>
      <c r="P107" s="14">
        <f t="shared" si="87"/>
        <v>36.388624656711137</v>
      </c>
      <c r="Q107" s="22">
        <f t="shared" si="107"/>
        <v>307.90685461043819</v>
      </c>
      <c r="R107" s="62">
        <f t="shared" si="55"/>
        <v>601.2401879437715</v>
      </c>
      <c r="S107" s="62">
        <f ca="1">AVERAGE(OFFSET($R$3,0,0,'Données projet'!$E$9+1,1))-AVERAGE(OFFSET($H$3,0,0,'Données projet'!$E$9+1,1))</f>
        <v>188.51537094662768</v>
      </c>
      <c r="T107" s="62">
        <f t="shared" si="88"/>
        <v>181.95202230446716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43.343304207184318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43.343304207184318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490.00000000000011</v>
      </c>
      <c r="AJ107" s="14">
        <f>AI107*VLOOKUP('Données projet'!$B$10,Paramètres!$A$1:$I$89,3,0)*VLOOKUP('Données projet'!$B$10,Paramètres!$A$1:$I$89,5,0)</f>
        <v>293.0200000000001</v>
      </c>
      <c r="AK107" s="14">
        <f t="shared" si="89"/>
        <v>69.71118854917674</v>
      </c>
      <c r="AL107" s="22">
        <f t="shared" si="58"/>
        <v>631.75682005648298</v>
      </c>
      <c r="AM107" s="62">
        <f t="shared" si="59"/>
        <v>925.09015338981635</v>
      </c>
      <c r="AN107" s="62">
        <f ca="1">AVERAGE(OFFSET($AM$3,0,0,'Données projet'!$E$10+1,1))-AVERAGE(OFFSET($H$3,0,0,'Données projet'!$E$10+1,1))</f>
        <v>318.69447733545013</v>
      </c>
      <c r="AO107" s="62">
        <f t="shared" si="90"/>
        <v>186.33351136372443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9.6195181373156853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1.7451103030859887</v>
      </c>
      <c r="AX107" s="23">
        <f t="shared" si="60"/>
        <v>11.364628440401674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3.2</v>
      </c>
      <c r="BD107" s="13">
        <f>IF('Données projet'!$A$88&gt;35,BD106+BC107-BL106,IF(A107&lt;'Données projet'!$A$88,$BA$205^A107,IF(A107='Données projet'!$A$88,'Données projet'!$B$88,BD106+BC107-BL106)))</f>
        <v>214.79999999999993</v>
      </c>
      <c r="BE107" s="14">
        <f>BD107*VLOOKUP('Données projet'!$B$11,Paramètres!$A$1:$I$89,3,0)*VLOOKUP('Données projet'!$B$11,Paramètres!$A$1:$I$89,5,0)</f>
        <v>217.80719999999994</v>
      </c>
      <c r="BF107" s="14">
        <f t="shared" si="91"/>
        <v>53.638013973813976</v>
      </c>
      <c r="BG107" s="22">
        <f t="shared" si="61"/>
        <v>472.76708100439259</v>
      </c>
      <c r="BH107" s="62">
        <f t="shared" si="62"/>
        <v>766.10041433772585</v>
      </c>
      <c r="BI107" s="62">
        <f ca="1">AVERAGE(OFFSET($BH$3,0,0,'Données projet'!$E$11+1,1))-AVERAGE(OFFSET($H$3,0,0,'Données projet'!$E$11+1,1))</f>
        <v>238.29088076221427</v>
      </c>
      <c r="BJ107" s="62">
        <f t="shared" si="92"/>
        <v>102.64102748467457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9.6934718851371802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9.6934718851371802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30.030000000000051</v>
      </c>
      <c r="D108" s="12">
        <f t="shared" si="86"/>
        <v>9.3136509212754248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303.70537553265279</v>
      </c>
      <c r="H108" s="70">
        <f t="shared" si="56"/>
        <v>361.85685868788812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12</v>
      </c>
      <c r="N108" s="14">
        <f>IF('Données projet'!$A$36&gt;35,N107+M108-V107,IF(A108&lt;'Données projet'!$A$36,$K$205^A108,IF(A108='Données projet'!$A$36,'Données projet'!$B$36,N107+M108-V107)))</f>
        <v>311.99999999999949</v>
      </c>
      <c r="O108" s="14">
        <f>N108*VLOOKUP('Données projet'!$B$9,Paramètres!$A$1:$I$89,3,0)*VLOOKUP('Données projet'!$B$9,Paramètres!$A$1:$I$89,5,0)</f>
        <v>146.01599999999976</v>
      </c>
      <c r="P108" s="14">
        <f t="shared" si="87"/>
        <v>37.671793767891032</v>
      </c>
      <c r="Q108" s="22">
        <f t="shared" si="107"/>
        <v>319.92290747907646</v>
      </c>
      <c r="R108" s="62">
        <f t="shared" si="55"/>
        <v>613.25624081240971</v>
      </c>
      <c r="S108" s="62">
        <f ca="1">AVERAGE(OFFSET($R$3,0,0,'Données projet'!$E$9+1,1))-AVERAGE(OFFSET($H$3,0,0,'Données projet'!$E$9+1,1))</f>
        <v>188.51537094662768</v>
      </c>
      <c r="T108" s="62">
        <f t="shared" si="88"/>
        <v>181.95202230446716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42.493368448486585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42.493368448486585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490.00000000000011</v>
      </c>
      <c r="AJ108" s="14">
        <f>AI108*VLOOKUP('Données projet'!$B$10,Paramètres!$A$1:$I$89,3,0)*VLOOKUP('Données projet'!$B$10,Paramètres!$A$1:$I$89,5,0)</f>
        <v>293.0200000000001</v>
      </c>
      <c r="AK108" s="14">
        <f t="shared" si="89"/>
        <v>69.71118854917674</v>
      </c>
      <c r="AL108" s="22">
        <f t="shared" si="58"/>
        <v>631.75682005648298</v>
      </c>
      <c r="AM108" s="62">
        <f t="shared" si="59"/>
        <v>925.09015338981635</v>
      </c>
      <c r="AN108" s="62">
        <f ca="1">AVERAGE(OFFSET($AM$3,0,0,'Données projet'!$E$10+1,1))-AVERAGE(OFFSET($H$3,0,0,'Données projet'!$E$10+1,1))</f>
        <v>318.69447733545013</v>
      </c>
      <c r="AO108" s="62">
        <f t="shared" si="90"/>
        <v>186.33351136372443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9.4308852539696382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1.2339793292306138</v>
      </c>
      <c r="AX108" s="23">
        <f t="shared" si="60"/>
        <v>10.664864583200252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218</v>
      </c>
      <c r="BB108" s="13">
        <f>VLOOKUP(A108,'Données projet'!$A$87:$I$107,9,0)</f>
        <v>3.2</v>
      </c>
      <c r="BC108" s="13">
        <f t="array" ref="BC108">INDEX(BB:BB,MIN(IF(ISNUMBER(BB108:BB304),ROW(BB108:BB304),"")))</f>
        <v>3.2</v>
      </c>
      <c r="BD108" s="13">
        <f>IF('Données projet'!$A$88&gt;35,BD107+BC108-BL107,IF(A108&lt;'Données projet'!$A$88,$BA$205^A108,IF(A108='Données projet'!$A$88,'Données projet'!$B$88,BD107+BC108-BL107)))</f>
        <v>217.99999999999991</v>
      </c>
      <c r="BE108" s="14">
        <f>BD108*VLOOKUP('Données projet'!$B$11,Paramètres!$A$1:$I$89,3,0)*VLOOKUP('Données projet'!$B$11,Paramètres!$A$1:$I$89,5,0)</f>
        <v>221.05199999999994</v>
      </c>
      <c r="BF108" s="14">
        <f t="shared" si="91"/>
        <v>54.343469202939204</v>
      </c>
      <c r="BG108" s="22">
        <f t="shared" si="61"/>
        <v>479.64710886178568</v>
      </c>
      <c r="BH108" s="62">
        <f t="shared" si="62"/>
        <v>772.98044219511894</v>
      </c>
      <c r="BI108" s="62">
        <f ca="1">AVERAGE(OFFSET($BH$3,0,0,'Données projet'!$E$11+1,1))-AVERAGE(OFFSET($H$3,0,0,'Données projet'!$E$11+1,1))</f>
        <v>238.29088076221427</v>
      </c>
      <c r="BJ108" s="62">
        <f t="shared" si="92"/>
        <v>102.64102748467457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14</v>
      </c>
      <c r="BM108" s="17">
        <f>IF(ISNA(VLOOKUP(A108,'Données projet'!$A$87:$I$107,5,0)),0%,VLOOKUP(A108,'Données projet'!$A$87:$I$107,5,0)*VLOOKUP('Données projet'!$B$11,Paramètres!$A$1:$I$89,7,0))</f>
        <v>0.17200000000000001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12.202629105253845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12.202629105253845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30.316000000000052</v>
      </c>
      <c r="D109" s="12">
        <f t="shared" si="86"/>
        <v>9.3919842214860214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306.51777293778724</v>
      </c>
      <c r="H109" s="70">
        <f t="shared" si="56"/>
        <v>362.49140585242156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12</v>
      </c>
      <c r="N109" s="14">
        <f>IF('Données projet'!$A$36&gt;35,N108+M109-V108,IF(A109&lt;'Données projet'!$A$36,$K$205^A109,IF(A109='Données projet'!$A$36,'Données projet'!$B$36,N108+M109-V108)))</f>
        <v>323.99999999999949</v>
      </c>
      <c r="O109" s="14">
        <f>N109*VLOOKUP('Données projet'!$B$9,Paramètres!$A$1:$I$89,3,0)*VLOOKUP('Données projet'!$B$9,Paramètres!$A$1:$I$89,5,0)</f>
        <v>151.63199999999978</v>
      </c>
      <c r="P109" s="14">
        <f t="shared" si="87"/>
        <v>38.949229576680295</v>
      </c>
      <c r="Q109" s="22">
        <f t="shared" si="107"/>
        <v>331.92897484605106</v>
      </c>
      <c r="R109" s="62">
        <f t="shared" si="55"/>
        <v>625.26230817938438</v>
      </c>
      <c r="S109" s="62">
        <f ca="1">AVERAGE(OFFSET($R$3,0,0,'Données projet'!$E$9+1,1))-AVERAGE(OFFSET($H$3,0,0,'Données projet'!$E$9+1,1))</f>
        <v>188.51537094662768</v>
      </c>
      <c r="T109" s="62">
        <f t="shared" si="88"/>
        <v>181.95202230446716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41.660099411607291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41.660099411607291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490.00000000000011</v>
      </c>
      <c r="AJ109" s="14">
        <f>AI109*VLOOKUP('Données projet'!$B$10,Paramètres!$A$1:$I$89,3,0)*VLOOKUP('Données projet'!$B$10,Paramètres!$A$1:$I$89,5,0)</f>
        <v>293.0200000000001</v>
      </c>
      <c r="AK109" s="14">
        <f t="shared" si="89"/>
        <v>69.71118854917674</v>
      </c>
      <c r="AL109" s="22">
        <f t="shared" si="58"/>
        <v>631.75682005648298</v>
      </c>
      <c r="AM109" s="62">
        <f t="shared" si="59"/>
        <v>925.09015338981635</v>
      </c>
      <c r="AN109" s="62">
        <f ca="1">AVERAGE(OFFSET($AM$3,0,0,'Données projet'!$E$10+1,1))-AVERAGE(OFFSET($H$3,0,0,'Données projet'!$E$10+1,1))</f>
        <v>318.69447733545013</v>
      </c>
      <c r="AO109" s="62">
        <f t="shared" si="90"/>
        <v>186.33351136372443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9.2459513464113083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0.87255515154299434</v>
      </c>
      <c r="AX109" s="23">
        <f t="shared" si="60"/>
        <v>10.118506497954304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</v>
      </c>
      <c r="BD109" s="13">
        <f>IF('Données projet'!$A$88&gt;35,BD108+BC109-BL108,IF(A109&lt;'Données projet'!$A$88,$BA$205^A109,IF(A109='Données projet'!$A$88,'Données projet'!$B$88,BD108+BC109-BL108)))</f>
        <v>206.99999999999991</v>
      </c>
      <c r="BE109" s="14">
        <f>BD109*VLOOKUP('Données projet'!$B$11,Paramètres!$A$1:$I$89,3,0)*VLOOKUP('Données projet'!$B$11,Paramètres!$A$1:$I$89,5,0)</f>
        <v>209.89799999999994</v>
      </c>
      <c r="BF109" s="14">
        <f t="shared" si="91"/>
        <v>51.913295501810218</v>
      </c>
      <c r="BG109" s="22">
        <f t="shared" si="61"/>
        <v>455.98800633231934</v>
      </c>
      <c r="BH109" s="62">
        <f t="shared" si="62"/>
        <v>749.32133966565266</v>
      </c>
      <c r="BI109" s="62">
        <f ca="1">AVERAGE(OFFSET($BH$3,0,0,'Données projet'!$E$11+1,1))-AVERAGE(OFFSET($H$3,0,0,'Données projet'!$E$11+1,1))</f>
        <v>238.29088076221427</v>
      </c>
      <c r="BJ109" s="62">
        <f t="shared" si="92"/>
        <v>102.64102748467457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11.963342991368648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11.963342991368648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30.602000000000054</v>
      </c>
      <c r="D110" s="12">
        <f t="shared" si="86"/>
        <v>9.470231548728222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309.32950669193758</v>
      </c>
      <c r="H110" s="70">
        <f t="shared" si="56"/>
        <v>363.12580328070175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12</v>
      </c>
      <c r="N110" s="14">
        <f>IF('Données projet'!$A$36&gt;35,N109+M110-V109,IF(A110&lt;'Données projet'!$A$36,$K$205^A110,IF(A110='Données projet'!$A$36,'Données projet'!$B$36,N109+M110-V109)))</f>
        <v>335.99999999999949</v>
      </c>
      <c r="O110" s="14">
        <f>N110*VLOOKUP('Données projet'!$B$9,Paramètres!$A$1:$I$89,3,0)*VLOOKUP('Données projet'!$B$9,Paramètres!$A$1:$I$89,5,0)</f>
        <v>157.24799999999976</v>
      </c>
      <c r="P110" s="14">
        <f t="shared" si="87"/>
        <v>40.221168744348574</v>
      </c>
      <c r="Q110" s="22">
        <f t="shared" si="107"/>
        <v>343.9254688964067</v>
      </c>
      <c r="R110" s="62">
        <f t="shared" si="55"/>
        <v>637.25880222974001</v>
      </c>
      <c r="S110" s="62">
        <f ca="1">AVERAGE(OFFSET($R$3,0,0,'Données projet'!$E$9+1,1))-AVERAGE(OFFSET($H$3,0,0,'Données projet'!$E$9+1,1))</f>
        <v>188.51537094662768</v>
      </c>
      <c r="T110" s="62">
        <f t="shared" si="88"/>
        <v>181.95202230446716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40.843170272297272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40.843170272297272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490.00000000000011</v>
      </c>
      <c r="AJ110" s="14">
        <f>AI110*VLOOKUP('Données projet'!$B$10,Paramètres!$A$1:$I$89,3,0)*VLOOKUP('Données projet'!$B$10,Paramètres!$A$1:$I$89,5,0)</f>
        <v>293.0200000000001</v>
      </c>
      <c r="AK110" s="14">
        <f t="shared" si="89"/>
        <v>69.71118854917674</v>
      </c>
      <c r="AL110" s="22">
        <f t="shared" si="58"/>
        <v>631.75682005648298</v>
      </c>
      <c r="AM110" s="62">
        <f t="shared" si="59"/>
        <v>925.09015338981635</v>
      </c>
      <c r="AN110" s="62">
        <f ca="1">AVERAGE(OFFSET($AM$3,0,0,'Données projet'!$E$10+1,1))-AVERAGE(OFFSET($H$3,0,0,'Données projet'!$E$10+1,1))</f>
        <v>318.69447733545013</v>
      </c>
      <c r="AO110" s="62">
        <f t="shared" si="90"/>
        <v>186.33351136372443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9.0646438799816522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0.61698966461530691</v>
      </c>
      <c r="AX110" s="23">
        <f t="shared" si="60"/>
        <v>9.6816335445969592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</v>
      </c>
      <c r="BD110" s="13">
        <f>IF('Données projet'!$A$88&gt;35,BD109+BC110-BL109,IF(A110&lt;'Données projet'!$A$88,$BA$205^A110,IF(A110='Données projet'!$A$88,'Données projet'!$B$88,BD109+BC110-BL109)))</f>
        <v>209.99999999999991</v>
      </c>
      <c r="BE110" s="14">
        <f>BD110*VLOOKUP('Données projet'!$B$11,Paramètres!$A$1:$I$89,3,0)*VLOOKUP('Données projet'!$B$11,Paramètres!$A$1:$I$89,5,0)</f>
        <v>212.93999999999991</v>
      </c>
      <c r="BF110" s="14">
        <f t="shared" si="91"/>
        <v>52.577528895212815</v>
      </c>
      <c r="BG110" s="22">
        <f t="shared" si="61"/>
        <v>462.44302949249544</v>
      </c>
      <c r="BH110" s="62">
        <f t="shared" si="62"/>
        <v>755.77636282582876</v>
      </c>
      <c r="BI110" s="62">
        <f ca="1">AVERAGE(OFFSET($BH$3,0,0,'Données projet'!$E$11+1,1))-AVERAGE(OFFSET($H$3,0,0,'Données projet'!$E$11+1,1))</f>
        <v>238.29088076221427</v>
      </c>
      <c r="BJ110" s="62">
        <f t="shared" si="92"/>
        <v>102.64102748467457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11.728749132226623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11.728749132226623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30.888000000000055</v>
      </c>
      <c r="D111" s="12">
        <f t="shared" si="86"/>
        <v>9.548393799551917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312.1405837158398</v>
      </c>
      <c r="H111" s="70">
        <f t="shared" si="56"/>
        <v>363.76005253421965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12</v>
      </c>
      <c r="N111" s="14">
        <f>IF('Données projet'!$A$36&gt;35,N110+M111-V110,IF(A111&lt;'Données projet'!$A$36,$K$205^A111,IF(A111='Données projet'!$A$36,'Données projet'!$B$36,N110+M111-V110)))</f>
        <v>347.99999999999949</v>
      </c>
      <c r="O111" s="14">
        <f>N111*VLOOKUP('Données projet'!$B$9,Paramètres!$A$1:$I$89,3,0)*VLOOKUP('Données projet'!$B$9,Paramètres!$A$1:$I$89,5,0)</f>
        <v>162.86399999999978</v>
      </c>
      <c r="P111" s="14">
        <f t="shared" si="87"/>
        <v>41.48783006950908</v>
      </c>
      <c r="Q111" s="22">
        <f t="shared" si="107"/>
        <v>355.91277070439452</v>
      </c>
      <c r="R111" s="62">
        <f t="shared" si="55"/>
        <v>649.24610403772783</v>
      </c>
      <c r="S111" s="62">
        <f ca="1">AVERAGE(OFFSET($R$3,0,0,'Données projet'!$E$9+1,1))-AVERAGE(OFFSET($H$3,0,0,'Données projet'!$E$9+1,1))</f>
        <v>188.51537094662768</v>
      </c>
      <c r="T111" s="62">
        <f t="shared" si="88"/>
        <v>181.95202230446716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40.042260615131546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40.042260615131546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490.00000000000011</v>
      </c>
      <c r="AJ111" s="14">
        <f>AI111*VLOOKUP('Données projet'!$B$10,Paramètres!$A$1:$I$89,3,0)*VLOOKUP('Données projet'!$B$10,Paramètres!$A$1:$I$89,5,0)</f>
        <v>293.0200000000001</v>
      </c>
      <c r="AK111" s="14">
        <f t="shared" si="89"/>
        <v>69.71118854917674</v>
      </c>
      <c r="AL111" s="22">
        <f t="shared" si="58"/>
        <v>631.75682005648298</v>
      </c>
      <c r="AM111" s="62">
        <f t="shared" si="59"/>
        <v>925.09015338981635</v>
      </c>
      <c r="AN111" s="62">
        <f ca="1">AVERAGE(OFFSET($AM$3,0,0,'Données projet'!$E$10+1,1))-AVERAGE(OFFSET($H$3,0,0,'Données projet'!$E$10+1,1))</f>
        <v>318.69447733545013</v>
      </c>
      <c r="AO111" s="62">
        <f t="shared" si="90"/>
        <v>186.33351136372443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8.8868917423820459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0.43627757577149717</v>
      </c>
      <c r="AX111" s="23">
        <f t="shared" si="60"/>
        <v>9.3231693181535427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</v>
      </c>
      <c r="BD111" s="13">
        <f>IF('Données projet'!$A$88&gt;35,BD110+BC111-BL110,IF(A111&lt;'Données projet'!$A$88,$BA$205^A111,IF(A111='Données projet'!$A$88,'Données projet'!$B$88,BD110+BC111-BL110)))</f>
        <v>212.99999999999991</v>
      </c>
      <c r="BE111" s="14">
        <f>BD111*VLOOKUP('Données projet'!$B$11,Paramètres!$A$1:$I$89,3,0)*VLOOKUP('Données projet'!$B$11,Paramètres!$A$1:$I$89,5,0)</f>
        <v>215.98199999999994</v>
      </c>
      <c r="BF111" s="14">
        <f t="shared" si="91"/>
        <v>53.240658641505036</v>
      </c>
      <c r="BG111" s="22">
        <f t="shared" si="61"/>
        <v>468.89613046728778</v>
      </c>
      <c r="BH111" s="62">
        <f t="shared" si="62"/>
        <v>762.22946380062103</v>
      </c>
      <c r="BI111" s="62">
        <f ca="1">AVERAGE(OFFSET($BH$3,0,0,'Données projet'!$E$11+1,1))-AVERAGE(OFFSET($H$3,0,0,'Données projet'!$E$11+1,1))</f>
        <v>238.29088076221427</v>
      </c>
      <c r="BJ111" s="62">
        <f t="shared" si="92"/>
        <v>102.64102748467457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11.498755515574247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11.498755515574247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31.174000000000056</v>
      </c>
      <c r="D112" s="12">
        <f t="shared" si="86"/>
        <v>9.6264718529466933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314.95101079467668</v>
      </c>
      <c r="H112" s="70">
        <f t="shared" si="56"/>
        <v>364.39415514388224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12</v>
      </c>
      <c r="N112" s="14">
        <f>IF('Données projet'!$A$36&gt;35,N111+M112-V111,IF(A112&lt;'Données projet'!$A$36,$K$205^A112,IF(A112='Données projet'!$A$36,'Données projet'!$B$36,N111+M112-V111)))</f>
        <v>359.99999999999949</v>
      </c>
      <c r="O112" s="14">
        <f>N112*VLOOKUP('Données projet'!$B$9,Paramètres!$A$1:$I$89,3,0)*VLOOKUP('Données projet'!$B$9,Paramètres!$A$1:$I$89,5,0)</f>
        <v>168.47999999999979</v>
      </c>
      <c r="P112" s="14">
        <f t="shared" si="87"/>
        <v>42.74941640538534</v>
      </c>
      <c r="Q112" s="22">
        <f t="shared" si="107"/>
        <v>367.89123357271245</v>
      </c>
      <c r="R112" s="62">
        <f t="shared" si="55"/>
        <v>661.22456690604577</v>
      </c>
      <c r="S112" s="62">
        <f ca="1">AVERAGE(OFFSET($R$3,0,0,'Données projet'!$E$9+1,1))-AVERAGE(OFFSET($H$3,0,0,'Données projet'!$E$9+1,1))</f>
        <v>188.51537094662768</v>
      </c>
      <c r="T112" s="62">
        <f t="shared" si="88"/>
        <v>181.95202230446716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39.257056307836187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39.257056307836187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490.00000000000011</v>
      </c>
      <c r="AJ112" s="14">
        <f>AI112*VLOOKUP('Données projet'!$B$10,Paramètres!$A$1:$I$89,3,0)*VLOOKUP('Données projet'!$B$10,Paramètres!$A$1:$I$89,5,0)</f>
        <v>293.0200000000001</v>
      </c>
      <c r="AK112" s="14">
        <f t="shared" si="89"/>
        <v>69.71118854917674</v>
      </c>
      <c r="AL112" s="22">
        <f t="shared" si="58"/>
        <v>631.75682005648298</v>
      </c>
      <c r="AM112" s="62">
        <f t="shared" si="59"/>
        <v>925.09015338981635</v>
      </c>
      <c r="AN112" s="62">
        <f ca="1">AVERAGE(OFFSET($AM$3,0,0,'Données projet'!$E$10+1,1))-AVERAGE(OFFSET($H$3,0,0,'Données projet'!$E$10+1,1))</f>
        <v>318.69447733545013</v>
      </c>
      <c r="AO112" s="62">
        <f t="shared" si="90"/>
        <v>186.33351136372443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8.7126252157826709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0.30849483230765345</v>
      </c>
      <c r="AX112" s="23">
        <f t="shared" si="60"/>
        <v>9.0211200480903244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</v>
      </c>
      <c r="BD112" s="13">
        <f>IF('Données projet'!$A$88&gt;35,BD111+BC112-BL111,IF(A112&lt;'Données projet'!$A$88,$BA$205^A112,IF(A112='Données projet'!$A$88,'Données projet'!$B$88,BD111+BC112-BL111)))</f>
        <v>215.99999999999991</v>
      </c>
      <c r="BE112" s="14">
        <f>BD112*VLOOKUP('Données projet'!$B$11,Paramètres!$A$1:$I$89,3,0)*VLOOKUP('Données projet'!$B$11,Paramètres!$A$1:$I$89,5,0)</f>
        <v>219.02399999999992</v>
      </c>
      <c r="BF112" s="14">
        <f t="shared" si="91"/>
        <v>53.902702081308306</v>
      </c>
      <c r="BG112" s="22">
        <f t="shared" si="61"/>
        <v>475.34733945827844</v>
      </c>
      <c r="BH112" s="62">
        <f t="shared" si="62"/>
        <v>768.68067279161176</v>
      </c>
      <c r="BI112" s="62">
        <f ca="1">AVERAGE(OFFSET($BH$3,0,0,'Données projet'!$E$11+1,1))-AVERAGE(OFFSET($H$3,0,0,'Données projet'!$E$11+1,1))</f>
        <v>238.29088076221427</v>
      </c>
      <c r="BJ112" s="62">
        <f t="shared" si="92"/>
        <v>102.64102748467457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11.273271933462171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11.273271933462171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31.460000000000058</v>
      </c>
      <c r="D113" s="12">
        <f t="shared" si="86"/>
        <v>9.7044665708435769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317.76079458195085</v>
      </c>
      <c r="H113" s="70">
        <f t="shared" si="56"/>
        <v>365.02811261088596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372</v>
      </c>
      <c r="L113" s="13">
        <f>VLOOKUP(A113,'Données projet'!$A$35:$I$55,9,0)</f>
        <v>12</v>
      </c>
      <c r="M113" s="13">
        <f t="array" ref="M113">INDEX(L:L,MIN(IF(ISNUMBER(L113:L309),ROW(L113:L309),"")))</f>
        <v>12</v>
      </c>
      <c r="N113" s="14">
        <f>IF('Données projet'!$A$36&gt;35,N112+M113-V112,IF(A113&lt;'Données projet'!$A$36,$K$205^A113,IF(A113='Données projet'!$A$36,'Données projet'!$B$36,N112+M113-V112)))</f>
        <v>371.99999999999949</v>
      </c>
      <c r="O113" s="14">
        <f>N113*VLOOKUP('Données projet'!$B$9,Paramètres!$A$1:$I$89,3,0)*VLOOKUP('Données projet'!$B$9,Paramètres!$A$1:$I$89,5,0)</f>
        <v>174.09599999999978</v>
      </c>
      <c r="P113" s="14">
        <f t="shared" si="87"/>
        <v>44.006116314261362</v>
      </c>
      <c r="Q113" s="22">
        <f t="shared" si="107"/>
        <v>379.86118591400481</v>
      </c>
      <c r="R113" s="62">
        <f t="shared" si="55"/>
        <v>673.19451924733812</v>
      </c>
      <c r="S113" s="62">
        <f ca="1">AVERAGE(OFFSET($R$3,0,0,'Données projet'!$E$9+1,1))-AVERAGE(OFFSET($H$3,0,0,'Données projet'!$E$9+1,1))</f>
        <v>188.51537094662768</v>
      </c>
      <c r="T113" s="62">
        <f t="shared" si="88"/>
        <v>181.95202230446716</v>
      </c>
      <c r="U113" s="16">
        <f>IF(ISNA(VLOOKUP(A113,'Données projet'!$A$35:$I$55,3,0)),0,VLOOKUP(A113,'Données projet'!$A$35:$I$55,3,0))</f>
        <v>10</v>
      </c>
      <c r="V113" s="16">
        <f>IF(ISNA(VLOOKUP(A113,'Données projet'!$A$35:$I$55,4,0)),0,VLOOKUP(A113,'Données projet'!$A$35:$I$55,4,0))</f>
        <v>372</v>
      </c>
      <c r="W113" s="17">
        <f>IF(ISNA(VLOOKUP(A113,'Données projet'!$A$35:$I$55,5,0)),0%,VLOOKUP(A113,'Données projet'!$A$35:$I$55,5,0)*VLOOKUP('Données projet'!$B$9,Paramètres!$A$1:$I$89,7,0))</f>
        <v>0.24750000000000003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95.647266823044589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95.647266823044589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490.00000000000011</v>
      </c>
      <c r="AJ113" s="14">
        <f>AI113*VLOOKUP('Données projet'!$B$10,Paramètres!$A$1:$I$89,3,0)*VLOOKUP('Données projet'!$B$10,Paramètres!$A$1:$I$89,5,0)</f>
        <v>293.0200000000001</v>
      </c>
      <c r="AK113" s="14">
        <f t="shared" si="89"/>
        <v>69.71118854917674</v>
      </c>
      <c r="AL113" s="22">
        <f t="shared" si="58"/>
        <v>631.75682005648298</v>
      </c>
      <c r="AM113" s="62">
        <f t="shared" si="59"/>
        <v>925.09015338981635</v>
      </c>
      <c r="AN113" s="62">
        <f ca="1">AVERAGE(OFFSET($AM$3,0,0,'Données projet'!$E$10+1,1))-AVERAGE(OFFSET($H$3,0,0,'Données projet'!$E$10+1,1))</f>
        <v>318.69447733545013</v>
      </c>
      <c r="AO113" s="62">
        <f t="shared" si="90"/>
        <v>186.33351136372443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8.5417759494778238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0.21813878788574859</v>
      </c>
      <c r="AX113" s="23">
        <f t="shared" si="60"/>
        <v>8.7599147373635731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219</v>
      </c>
      <c r="BB113" s="13">
        <f>VLOOKUP(A113,'Données projet'!$A$87:$I$107,9,0)</f>
        <v>3</v>
      </c>
      <c r="BC113" s="13">
        <f t="array" ref="BC113">INDEX(BB:BB,MIN(IF(ISNUMBER(BB113:BB309),ROW(BB113:BB309),"")))</f>
        <v>3</v>
      </c>
      <c r="BD113" s="13">
        <f>IF('Données projet'!$A$88&gt;35,BD112+BC113-BL112,IF(A113&lt;'Données projet'!$A$88,$BA$205^A113,IF(A113='Données projet'!$A$88,'Données projet'!$B$88,BD112+BC113-BL112)))</f>
        <v>218.99999999999991</v>
      </c>
      <c r="BE113" s="14">
        <f>BD113*VLOOKUP('Données projet'!$B$11,Paramètres!$A$1:$I$89,3,0)*VLOOKUP('Données projet'!$B$11,Paramètres!$A$1:$I$89,5,0)</f>
        <v>222.06599999999992</v>
      </c>
      <c r="BF113" s="14">
        <f t="shared" si="91"/>
        <v>54.563676045889338</v>
      </c>
      <c r="BG113" s="22">
        <f t="shared" si="61"/>
        <v>481.79668577992373</v>
      </c>
      <c r="BH113" s="62">
        <f t="shared" si="62"/>
        <v>775.13001911325705</v>
      </c>
      <c r="BI113" s="62">
        <f ca="1">AVERAGE(OFFSET($BH$3,0,0,'Données projet'!$E$11+1,1))-AVERAGE(OFFSET($H$3,0,0,'Données projet'!$E$11+1,1))</f>
        <v>238.29088076221427</v>
      </c>
      <c r="BJ113" s="62">
        <f t="shared" si="92"/>
        <v>102.64102748467457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13</v>
      </c>
      <c r="BM113" s="17">
        <f>IF(ISNA(VLOOKUP(A113,'Données projet'!$A$87:$I$107,5,0)),0%,VLOOKUP(A113,'Données projet'!$A$87:$I$107,5,0)*VLOOKUP('Données projet'!$B$11,Paramètres!$A$1:$I$89,7,0))</f>
        <v>0.17200000000000001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13.558647360260485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13.558647360260485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31.746000000000059</v>
      </c>
      <c r="D114" s="12">
        <f t="shared" si="86"/>
        <v>9.7823787985981809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320.56994160321449</v>
      </c>
      <c r="H114" s="70">
        <f t="shared" si="56"/>
        <v>365.66192640755855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-5.1159076974727213E-13</v>
      </c>
      <c r="O114" s="14">
        <f>N114*VLOOKUP('Données projet'!$B$9,Paramètres!$A$1:$I$89,3,0)*VLOOKUP('Données projet'!$B$9,Paramètres!$A$1:$I$89,5,0)</f>
        <v>-2.3942448024172334E-13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188.51537094662768</v>
      </c>
      <c r="T114" s="62">
        <f t="shared" si="88"/>
        <v>181.95202230446716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93.77168225971694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93.77168225971694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490.00000000000011</v>
      </c>
      <c r="AJ114" s="14">
        <f>AI114*VLOOKUP('Données projet'!$B$10,Paramètres!$A$1:$I$89,3,0)*VLOOKUP('Données projet'!$B$10,Paramètres!$A$1:$I$89,5,0)</f>
        <v>293.0200000000001</v>
      </c>
      <c r="AK114" s="14">
        <f t="shared" si="89"/>
        <v>69.71118854917674</v>
      </c>
      <c r="AL114" s="22">
        <f t="shared" si="58"/>
        <v>631.75682005648298</v>
      </c>
      <c r="AM114" s="62">
        <f t="shared" si="59"/>
        <v>925.09015338981635</v>
      </c>
      <c r="AN114" s="62">
        <f ca="1">AVERAGE(OFFSET($AM$3,0,0,'Données projet'!$E$10+1,1))-AVERAGE(OFFSET($H$3,0,0,'Données projet'!$E$10+1,1))</f>
        <v>318.69447733545013</v>
      </c>
      <c r="AO114" s="62">
        <f t="shared" si="90"/>
        <v>186.33351136372443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8.3742769330774518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0.15424741615382673</v>
      </c>
      <c r="AX114" s="23">
        <f t="shared" si="60"/>
        <v>8.5285243492312777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</v>
      </c>
      <c r="BD114" s="13">
        <f>IF('Données projet'!$A$88&gt;35,BD113+BC114-BL113,IF(A114&lt;'Données projet'!$A$88,$BA$205^A114,IF(A114='Données projet'!$A$88,'Données projet'!$B$88,BD113+BC114-BL113)))</f>
        <v>208.99999999999991</v>
      </c>
      <c r="BE114" s="14">
        <f>BD114*VLOOKUP('Données projet'!$B$11,Paramètres!$A$1:$I$89,3,0)*VLOOKUP('Données projet'!$B$11,Paramètres!$A$1:$I$89,5,0)</f>
        <v>211.9259999999999</v>
      </c>
      <c r="BF114" s="14">
        <f t="shared" si="91"/>
        <v>52.356241262970116</v>
      </c>
      <c r="BG114" s="22">
        <f t="shared" si="61"/>
        <v>460.29157019967283</v>
      </c>
      <c r="BH114" s="62">
        <f t="shared" si="62"/>
        <v>753.62490353300609</v>
      </c>
      <c r="BI114" s="62">
        <f ca="1">AVERAGE(OFFSET($BH$3,0,0,'Données projet'!$E$11+1,1))-AVERAGE(OFFSET($H$3,0,0,'Données projet'!$E$11+1,1))</f>
        <v>238.29088076221427</v>
      </c>
      <c r="BJ114" s="62">
        <f t="shared" si="92"/>
        <v>102.64102748467457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13.292770555484076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13.292770555484076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32.03200000000006</v>
      </c>
      <c r="D115" s="12">
        <f t="shared" si="86"/>
        <v>9.8602093654557628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323.378458259659</v>
      </c>
      <c r="H115" s="70">
        <f t="shared" si="56"/>
        <v>366.29559797816887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-5.1159076974727213E-13</v>
      </c>
      <c r="O115" s="14">
        <f>N115*VLOOKUP('Données projet'!$B$9,Paramètres!$A$1:$I$89,3,0)*VLOOKUP('Données projet'!$B$9,Paramètres!$A$1:$I$89,5,0)</f>
        <v>-2.3942448024172334E-13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188.51537094662768</v>
      </c>
      <c r="T115" s="62">
        <f t="shared" si="88"/>
        <v>181.95202230446716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91.932876765682522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91.932876765682522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490.00000000000011</v>
      </c>
      <c r="AJ115" s="14">
        <f>AI115*VLOOKUP('Données projet'!$B$10,Paramètres!$A$1:$I$89,3,0)*VLOOKUP('Données projet'!$B$10,Paramètres!$A$1:$I$89,5,0)</f>
        <v>293.0200000000001</v>
      </c>
      <c r="AK115" s="14">
        <f t="shared" si="89"/>
        <v>69.71118854917674</v>
      </c>
      <c r="AL115" s="22">
        <f t="shared" si="58"/>
        <v>631.75682005648298</v>
      </c>
      <c r="AM115" s="62">
        <f t="shared" si="59"/>
        <v>925.09015338981635</v>
      </c>
      <c r="AN115" s="62">
        <f ca="1">AVERAGE(OFFSET($AM$3,0,0,'Données projet'!$E$10+1,1))-AVERAGE(OFFSET($H$3,0,0,'Données projet'!$E$10+1,1))</f>
        <v>318.69447733545013</v>
      </c>
      <c r="AO115" s="62">
        <f t="shared" si="90"/>
        <v>186.33351136372443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8.2100624702243792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0.10906939394287429</v>
      </c>
      <c r="AX115" s="23">
        <f t="shared" si="60"/>
        <v>8.3191318641672538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</v>
      </c>
      <c r="BD115" s="13">
        <f>IF('Données projet'!$A$88&gt;35,BD114+BC115-BL114,IF(A115&lt;'Données projet'!$A$88,$BA$205^A115,IF(A115='Données projet'!$A$88,'Données projet'!$B$88,BD114+BC115-BL114)))</f>
        <v>211.99999999999991</v>
      </c>
      <c r="BE115" s="14">
        <f>BD115*VLOOKUP('Données projet'!$B$11,Paramètres!$A$1:$I$89,3,0)*VLOOKUP('Données projet'!$B$11,Paramètres!$A$1:$I$89,5,0)</f>
        <v>214.96799999999993</v>
      </c>
      <c r="BF115" s="14">
        <f t="shared" si="91"/>
        <v>53.019736939092994</v>
      </c>
      <c r="BG115" s="22">
        <f t="shared" si="61"/>
        <v>466.74530850225352</v>
      </c>
      <c r="BH115" s="62">
        <f t="shared" si="62"/>
        <v>760.07864183558684</v>
      </c>
      <c r="BI115" s="62">
        <f ca="1">AVERAGE(OFFSET($BH$3,0,0,'Données projet'!$E$11+1,1))-AVERAGE(OFFSET($H$3,0,0,'Données projet'!$E$11+1,1))</f>
        <v>238.29088076221427</v>
      </c>
      <c r="BJ115" s="62">
        <f t="shared" si="92"/>
        <v>102.64102748467457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13.032107432680494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13.032107432680494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32.318000000000062</v>
      </c>
      <c r="D116" s="12">
        <f t="shared" si="86"/>
        <v>9.9379590849993633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326.18635083157454</v>
      </c>
      <c r="H116" s="70">
        <f t="shared" si="56"/>
        <v>366.92912873970732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-5.1159076974727213E-13</v>
      </c>
      <c r="O116" s="14">
        <f>N116*VLOOKUP('Données projet'!$B$9,Paramètres!$A$1:$I$89,3,0)*VLOOKUP('Données projet'!$B$9,Paramètres!$A$1:$I$89,5,0)</f>
        <v>-2.3942448024172334E-13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188.51537094662768</v>
      </c>
      <c r="T116" s="62">
        <f t="shared" si="88"/>
        <v>181.95202230446716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90.130129125825519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90.130129125825519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490.00000000000011</v>
      </c>
      <c r="AJ116" s="14">
        <f>AI116*VLOOKUP('Données projet'!$B$10,Paramètres!$A$1:$I$89,3,0)*VLOOKUP('Données projet'!$B$10,Paramètres!$A$1:$I$89,5,0)</f>
        <v>293.0200000000001</v>
      </c>
      <c r="AK116" s="14">
        <f t="shared" si="89"/>
        <v>69.71118854917674</v>
      </c>
      <c r="AL116" s="22">
        <f t="shared" si="58"/>
        <v>631.75682005648298</v>
      </c>
      <c r="AM116" s="62">
        <f t="shared" si="59"/>
        <v>925.09015338981635</v>
      </c>
      <c r="AN116" s="62">
        <f ca="1">AVERAGE(OFFSET($AM$3,0,0,'Données projet'!$E$10+1,1))-AVERAGE(OFFSET($H$3,0,0,'Données projet'!$E$10+1,1))</f>
        <v>318.69447733545013</v>
      </c>
      <c r="AO116" s="62">
        <f t="shared" si="90"/>
        <v>186.33351136372443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8.0490681528269228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7.7123708076913364E-2</v>
      </c>
      <c r="AX116" s="23">
        <f t="shared" si="60"/>
        <v>8.1261918609038357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</v>
      </c>
      <c r="BD116" s="13">
        <f>IF('Données projet'!$A$88&gt;35,BD115+BC116-BL115,IF(A116&lt;'Données projet'!$A$88,$BA$205^A116,IF(A116='Données projet'!$A$88,'Données projet'!$B$88,BD115+BC116-BL115)))</f>
        <v>214.99999999999991</v>
      </c>
      <c r="BE116" s="14">
        <f>BD116*VLOOKUP('Données projet'!$B$11,Paramètres!$A$1:$I$89,3,0)*VLOOKUP('Données projet'!$B$11,Paramètres!$A$1:$I$89,5,0)</f>
        <v>218.00999999999991</v>
      </c>
      <c r="BF116" s="14">
        <f t="shared" si="91"/>
        <v>53.682140586224357</v>
      </c>
      <c r="BG116" s="22">
        <f t="shared" si="61"/>
        <v>473.19714485434059</v>
      </c>
      <c r="BH116" s="62">
        <f t="shared" si="62"/>
        <v>766.53047818767391</v>
      </c>
      <c r="BI116" s="62">
        <f ca="1">AVERAGE(OFFSET($BH$3,0,0,'Données projet'!$E$11+1,1))-AVERAGE(OFFSET($H$3,0,0,'Données projet'!$E$11+1,1))</f>
        <v>238.29088076221427</v>
      </c>
      <c r="BJ116" s="62">
        <f t="shared" si="92"/>
        <v>102.64102748467457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12.776555754726285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12.776555754726285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32.604000000000063</v>
      </c>
      <c r="D117" s="12">
        <f t="shared" si="86"/>
        <v>10.015628755581496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328.99362548168227</v>
      </c>
      <c r="H117" s="70">
        <f t="shared" si="56"/>
        <v>367.56252008263789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-5.1159076974727213E-13</v>
      </c>
      <c r="O117" s="14">
        <f>N117*VLOOKUP('Données projet'!$B$9,Paramètres!$A$1:$I$89,3,0)*VLOOKUP('Données projet'!$B$9,Paramètres!$A$1:$I$89,5,0)</f>
        <v>-2.3942448024172334E-13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188.51537094662768</v>
      </c>
      <c r="T117" s="62">
        <f t="shared" si="88"/>
        <v>181.95202230446716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88.362732267618625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88.362732267618625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490.00000000000011</v>
      </c>
      <c r="AJ117" s="14">
        <f>AI117*VLOOKUP('Données projet'!$B$10,Paramètres!$A$1:$I$89,3,0)*VLOOKUP('Données projet'!$B$10,Paramètres!$A$1:$I$89,5,0)</f>
        <v>293.0200000000001</v>
      </c>
      <c r="AK117" s="14">
        <f t="shared" si="89"/>
        <v>69.71118854917674</v>
      </c>
      <c r="AL117" s="22">
        <f t="shared" si="58"/>
        <v>631.75682005648298</v>
      </c>
      <c r="AM117" s="62">
        <f t="shared" si="59"/>
        <v>925.09015338981635</v>
      </c>
      <c r="AN117" s="62">
        <f ca="1">AVERAGE(OFFSET($AM$3,0,0,'Données projet'!$E$10+1,1))-AVERAGE(OFFSET($H$3,0,0,'Données projet'!$E$10+1,1))</f>
        <v>318.69447733545013</v>
      </c>
      <c r="AO117" s="62">
        <f t="shared" si="90"/>
        <v>186.33351136372443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7.8912308357967929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5.4534696971437147E-2</v>
      </c>
      <c r="AX117" s="23">
        <f t="shared" si="60"/>
        <v>7.9457655327682302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</v>
      </c>
      <c r="BD117" s="13">
        <f>IF('Données projet'!$A$88&gt;35,BD116+BC117-BL116,IF(A117&lt;'Données projet'!$A$88,$BA$205^A117,IF(A117='Données projet'!$A$88,'Données projet'!$B$88,BD116+BC117-BL116)))</f>
        <v>217.99999999999991</v>
      </c>
      <c r="BE117" s="14">
        <f>BD117*VLOOKUP('Données projet'!$B$11,Paramètres!$A$1:$I$89,3,0)*VLOOKUP('Données projet'!$B$11,Paramètres!$A$1:$I$89,5,0)</f>
        <v>221.05199999999994</v>
      </c>
      <c r="BF117" s="14">
        <f t="shared" si="91"/>
        <v>54.343469202939204</v>
      </c>
      <c r="BG117" s="22">
        <f t="shared" si="61"/>
        <v>479.64710886178568</v>
      </c>
      <c r="BH117" s="62">
        <f t="shared" si="62"/>
        <v>772.98044219511894</v>
      </c>
      <c r="BI117" s="62">
        <f ca="1">AVERAGE(OFFSET($BH$3,0,0,'Données projet'!$E$11+1,1))-AVERAGE(OFFSET($H$3,0,0,'Données projet'!$E$11+1,1))</f>
        <v>238.29088076221427</v>
      </c>
      <c r="BJ117" s="62">
        <f t="shared" si="92"/>
        <v>102.64102748467457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12.526015289305626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12.526015289305626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32.890000000000065</v>
      </c>
      <c r="D118" s="12">
        <f t="shared" si="86"/>
        <v>10.09321916074034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331.800288258347</v>
      </c>
      <c r="H118" s="70">
        <f t="shared" si="56"/>
        <v>368.19577337162286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-5.1159076974727213E-13</v>
      </c>
      <c r="O118" s="14">
        <f>N118*VLOOKUP('Données projet'!$B$9,Paramètres!$A$1:$I$89,3,0)*VLOOKUP('Données projet'!$B$9,Paramètres!$A$1:$I$89,5,0)</f>
        <v>-2.3942448024172334E-13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188.51537094662768</v>
      </c>
      <c r="T118" s="62">
        <f t="shared" si="88"/>
        <v>181.95202230446716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86.629992983795532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86.629992983795532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490.00000000000011</v>
      </c>
      <c r="AJ118" s="14">
        <f>AI118*VLOOKUP('Données projet'!$B$10,Paramètres!$A$1:$I$89,3,0)*VLOOKUP('Données projet'!$B$10,Paramètres!$A$1:$I$89,5,0)</f>
        <v>293.0200000000001</v>
      </c>
      <c r="AK118" s="14">
        <f t="shared" si="89"/>
        <v>69.71118854917674</v>
      </c>
      <c r="AL118" s="22">
        <f t="shared" si="58"/>
        <v>631.75682005648298</v>
      </c>
      <c r="AM118" s="62">
        <f t="shared" si="59"/>
        <v>925.09015338981635</v>
      </c>
      <c r="AN118" s="62">
        <f ca="1">AVERAGE(OFFSET($AM$3,0,0,'Données projet'!$E$10+1,1))-AVERAGE(OFFSET($H$3,0,0,'Données projet'!$E$10+1,1))</f>
        <v>318.69447733545013</v>
      </c>
      <c r="AO118" s="62">
        <f t="shared" si="90"/>
        <v>186.33351136372443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7.7364886122823657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3.8561854038456682E-2</v>
      </c>
      <c r="AX118" s="23">
        <f t="shared" si="60"/>
        <v>7.7750504663208222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221</v>
      </c>
      <c r="BB118" s="13">
        <f>VLOOKUP(A118,'Données projet'!$A$87:$I$107,9,0)</f>
        <v>3</v>
      </c>
      <c r="BC118" s="13">
        <f t="array" ref="BC118">INDEX(BB:BB,MIN(IF(ISNUMBER(BB118:BB314),ROW(BB118:BB314),"")))</f>
        <v>3</v>
      </c>
      <c r="BD118" s="13">
        <f>IF('Données projet'!$A$88&gt;35,BD117+BC118-BL117,IF(A118&lt;'Données projet'!$A$88,$BA$205^A118,IF(A118='Données projet'!$A$88,'Données projet'!$B$88,BD117+BC118-BL117)))</f>
        <v>220.99999999999991</v>
      </c>
      <c r="BE118" s="14">
        <f>BD118*VLOOKUP('Données projet'!$B$11,Paramètres!$A$1:$I$89,3,0)*VLOOKUP('Données projet'!$B$11,Paramètres!$A$1:$I$89,5,0)</f>
        <v>224.09399999999994</v>
      </c>
      <c r="BF118" s="14">
        <f t="shared" si="91"/>
        <v>55.003739293082667</v>
      </c>
      <c r="BG118" s="22">
        <f t="shared" si="61"/>
        <v>486.09522926878554</v>
      </c>
      <c r="BH118" s="62">
        <f t="shared" si="62"/>
        <v>779.42856260211886</v>
      </c>
      <c r="BI118" s="62">
        <f ca="1">AVERAGE(OFFSET($BH$3,0,0,'Données projet'!$E$11+1,1))-AVERAGE(OFFSET($H$3,0,0,'Données projet'!$E$11+1,1))</f>
        <v>238.29088076221427</v>
      </c>
      <c r="BJ118" s="62">
        <f t="shared" si="92"/>
        <v>102.64102748467457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13</v>
      </c>
      <c r="BM118" s="17">
        <f>IF(ISNA(VLOOKUP(A118,'Données projet'!$A$87:$I$107,5,0)),0%,VLOOKUP(A118,'Données projet'!$A$87:$I$107,5,0)*VLOOKUP('Données projet'!$B$11,Paramètres!$A$1:$I$89,7,0))</f>
        <v>0.17200000000000001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14.786825182993848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14.786825182993848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33.176000000000066</v>
      </c>
      <c r="D119" s="12">
        <f t="shared" si="86"/>
        <v>10.170731069601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334.60634509867486</v>
      </c>
      <c r="H119" s="70">
        <f t="shared" si="56"/>
        <v>368.82888994622181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-5.1159076974727213E-13</v>
      </c>
      <c r="O119" s="14">
        <f>N119*VLOOKUP('Données projet'!$B$9,Paramètres!$A$1:$I$89,3,0)*VLOOKUP('Données projet'!$B$9,Paramètres!$A$1:$I$89,5,0)</f>
        <v>-2.3942448024172334E-13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188.51537094662768</v>
      </c>
      <c r="T119" s="62">
        <f t="shared" si="88"/>
        <v>181.95202230446716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84.931231660461592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84.931231660461592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490.00000000000011</v>
      </c>
      <c r="AJ119" s="14">
        <f>AI119*VLOOKUP('Données projet'!$B$10,Paramètres!$A$1:$I$89,3,0)*VLOOKUP('Données projet'!$B$10,Paramètres!$A$1:$I$89,5,0)</f>
        <v>293.0200000000001</v>
      </c>
      <c r="AK119" s="14">
        <f t="shared" si="89"/>
        <v>69.71118854917674</v>
      </c>
      <c r="AL119" s="22">
        <f t="shared" si="58"/>
        <v>631.75682005648298</v>
      </c>
      <c r="AM119" s="62">
        <f t="shared" si="59"/>
        <v>925.09015338981635</v>
      </c>
      <c r="AN119" s="62">
        <f ca="1">AVERAGE(OFFSET($AM$3,0,0,'Données projet'!$E$10+1,1))-AVERAGE(OFFSET($H$3,0,0,'Données projet'!$E$10+1,1))</f>
        <v>318.69447733545013</v>
      </c>
      <c r="AO119" s="62">
        <f t="shared" si="90"/>
        <v>186.33351136372443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7.5847807893876196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2.7267348485718573E-2</v>
      </c>
      <c r="AX119" s="23">
        <f t="shared" si="60"/>
        <v>7.6120481378733382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2.6</v>
      </c>
      <c r="BD119" s="13">
        <f>IF('Données projet'!$A$88&gt;35,BD118+BC119-BL118,IF(A119&lt;'Données projet'!$A$88,$BA$205^A119,IF(A119='Données projet'!$A$88,'Données projet'!$B$88,BD118+BC119-BL118)))</f>
        <v>210.59999999999991</v>
      </c>
      <c r="BE119" s="14">
        <f>BD119*VLOOKUP('Données projet'!$B$11,Paramètres!$A$1:$I$89,3,0)*VLOOKUP('Données projet'!$B$11,Paramètres!$A$1:$I$89,5,0)</f>
        <v>213.54839999999993</v>
      </c>
      <c r="BF119" s="14">
        <f t="shared" si="91"/>
        <v>52.710242573823805</v>
      </c>
      <c r="BG119" s="22">
        <f t="shared" si="61"/>
        <v>463.73380248274299</v>
      </c>
      <c r="BH119" s="62">
        <f t="shared" si="62"/>
        <v>757.0671358160763</v>
      </c>
      <c r="BI119" s="62">
        <f ca="1">AVERAGE(OFFSET($BH$3,0,0,'Données projet'!$E$11+1,1))-AVERAGE(OFFSET($H$3,0,0,'Données projet'!$E$11+1,1))</f>
        <v>238.29088076221427</v>
      </c>
      <c r="BJ119" s="62">
        <f t="shared" si="92"/>
        <v>102.64102748467457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14.496864560228142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14.496864560228142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33.462000000000067</v>
      </c>
      <c r="D120" s="12">
        <f t="shared" si="86"/>
        <v>10.248165237262551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337.4118018315009</v>
      </c>
      <c r="H120" s="70">
        <f t="shared" si="56"/>
        <v>369.46187112156571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-5.1159076974727213E-13</v>
      </c>
      <c r="O120" s="14">
        <f>N120*VLOOKUP('Données projet'!$B$9,Paramètres!$A$1:$I$89,3,0)*VLOOKUP('Données projet'!$B$9,Paramètres!$A$1:$I$89,5,0)</f>
        <v>-2.3942448024172334E-13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188.51537094662768</v>
      </c>
      <c r="T120" s="62">
        <f t="shared" si="88"/>
        <v>181.95202230446716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83.265782010536142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83.265782010536142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490.00000000000011</v>
      </c>
      <c r="AJ120" s="14">
        <f>AI120*VLOOKUP('Données projet'!$B$10,Paramètres!$A$1:$I$89,3,0)*VLOOKUP('Données projet'!$B$10,Paramètres!$A$1:$I$89,5,0)</f>
        <v>293.0200000000001</v>
      </c>
      <c r="AK120" s="14">
        <f t="shared" si="89"/>
        <v>69.71118854917674</v>
      </c>
      <c r="AL120" s="22">
        <f t="shared" si="58"/>
        <v>631.75682005648298</v>
      </c>
      <c r="AM120" s="62">
        <f t="shared" si="59"/>
        <v>925.09015338981635</v>
      </c>
      <c r="AN120" s="62">
        <f ca="1">AVERAGE(OFFSET($AM$3,0,0,'Données projet'!$E$10+1,1))-AVERAGE(OFFSET($H$3,0,0,'Données projet'!$E$10+1,1))</f>
        <v>318.69447733545013</v>
      </c>
      <c r="AO120" s="62">
        <f t="shared" si="90"/>
        <v>186.33351136372443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7.4360478643672048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1.9280927019228341E-2</v>
      </c>
      <c r="AX120" s="23">
        <f t="shared" si="60"/>
        <v>7.4553287913864335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2.6</v>
      </c>
      <c r="BD120" s="13">
        <f>IF('Données projet'!$A$88&gt;35,BD119+BC120-BL119,IF(A120&lt;'Données projet'!$A$88,$BA$205^A120,IF(A120='Données projet'!$A$88,'Données projet'!$B$88,BD119+BC120-BL119)))</f>
        <v>213.1999999999999</v>
      </c>
      <c r="BE120" s="14">
        <f>BD120*VLOOKUP('Données projet'!$B$11,Paramètres!$A$1:$I$89,3,0)*VLOOKUP('Données projet'!$B$11,Paramètres!$A$1:$I$89,5,0)</f>
        <v>216.18479999999994</v>
      </c>
      <c r="BF120" s="14">
        <f t="shared" si="91"/>
        <v>53.284828478170326</v>
      </c>
      <c r="BG120" s="22">
        <f t="shared" si="61"/>
        <v>469.32626959947976</v>
      </c>
      <c r="BH120" s="62">
        <f t="shared" si="62"/>
        <v>762.65960293281307</v>
      </c>
      <c r="BI120" s="62">
        <f ca="1">AVERAGE(OFFSET($BH$3,0,0,'Données projet'!$E$11+1,1))-AVERAGE(OFFSET($H$3,0,0,'Données projet'!$E$11+1,1))</f>
        <v>238.29088076221427</v>
      </c>
      <c r="BJ120" s="62">
        <f t="shared" si="92"/>
        <v>102.64102748467457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14.212589888416353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14.212589888416353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33.748000000000069</v>
      </c>
      <c r="D121" s="12">
        <f t="shared" si="86"/>
        <v>10.325522405171458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340.21666418027149</v>
      </c>
      <c r="H121" s="70">
        <f t="shared" si="56"/>
        <v>370.09471818900704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-5.1159076974727213E-13</v>
      </c>
      <c r="O121" s="14">
        <f>N121*VLOOKUP('Données projet'!$B$9,Paramètres!$A$1:$I$89,3,0)*VLOOKUP('Données projet'!$B$9,Paramètres!$A$1:$I$89,5,0)</f>
        <v>-2.3942448024172334E-13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188.51537094662768</v>
      </c>
      <c r="T121" s="62">
        <f t="shared" si="88"/>
        <v>181.95202230446716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81.632990812421738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81.632990812421738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490.00000000000011</v>
      </c>
      <c r="AJ121" s="14">
        <f>AI121*VLOOKUP('Données projet'!$B$10,Paramètres!$A$1:$I$89,3,0)*VLOOKUP('Données projet'!$B$10,Paramètres!$A$1:$I$89,5,0)</f>
        <v>293.0200000000001</v>
      </c>
      <c r="AK121" s="14">
        <f t="shared" si="89"/>
        <v>69.71118854917674</v>
      </c>
      <c r="AL121" s="22">
        <f t="shared" si="58"/>
        <v>631.75682005648298</v>
      </c>
      <c r="AM121" s="62">
        <f t="shared" si="59"/>
        <v>925.09015338981635</v>
      </c>
      <c r="AN121" s="62">
        <f ca="1">AVERAGE(OFFSET($AM$3,0,0,'Données projet'!$E$10+1,1))-AVERAGE(OFFSET($H$3,0,0,'Données projet'!$E$10+1,1))</f>
        <v>318.69447733545013</v>
      </c>
      <c r="AO121" s="62">
        <f t="shared" si="90"/>
        <v>186.33351136372443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7.2902315012883134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1.3633674242859287E-2</v>
      </c>
      <c r="AX121" s="23">
        <f t="shared" si="60"/>
        <v>7.3038651755311728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2.6</v>
      </c>
      <c r="BD121" s="13">
        <f>IF('Données projet'!$A$88&gt;35,BD120+BC121-BL120,IF(A121&lt;'Données projet'!$A$88,$BA$205^A121,IF(A121='Données projet'!$A$88,'Données projet'!$B$88,BD120+BC121-BL120)))</f>
        <v>215.7999999999999</v>
      </c>
      <c r="BE121" s="14">
        <f>BD121*VLOOKUP('Données projet'!$B$11,Paramètres!$A$1:$I$89,3,0)*VLOOKUP('Données projet'!$B$11,Paramètres!$A$1:$I$89,5,0)</f>
        <v>218.82119999999989</v>
      </c>
      <c r="BF121" s="14">
        <f t="shared" si="91"/>
        <v>53.858599308079697</v>
      </c>
      <c r="BG121" s="22">
        <f t="shared" si="61"/>
        <v>474.91731712823849</v>
      </c>
      <c r="BH121" s="62">
        <f t="shared" si="62"/>
        <v>768.25065046157181</v>
      </c>
      <c r="BI121" s="62">
        <f ca="1">AVERAGE(OFFSET($BH$3,0,0,'Données projet'!$E$11+1,1))-AVERAGE(OFFSET($H$3,0,0,'Données projet'!$E$11+1,1))</f>
        <v>238.29088076221427</v>
      </c>
      <c r="BJ121" s="62">
        <f t="shared" si="92"/>
        <v>102.64102748467457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13.933889669528366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13.933889669528366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34.03400000000007</v>
      </c>
      <c r="D122" s="12">
        <f t="shared" si="86"/>
        <v>10.40280330148199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343.02093776582643</v>
      </c>
      <c r="H122" s="70">
        <f t="shared" si="56"/>
        <v>370.72743241674789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-5.1159076974727213E-13</v>
      </c>
      <c r="O122" s="14">
        <f>N122*VLOOKUP('Données projet'!$B$9,Paramètres!$A$1:$I$89,3,0)*VLOOKUP('Données projet'!$B$9,Paramètres!$A$1:$I$89,5,0)</f>
        <v>-2.3942448024172334E-13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188.51537094662768</v>
      </c>
      <c r="T122" s="62">
        <f t="shared" si="88"/>
        <v>181.95202230446716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80.032217653798071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80.032217653798071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490.00000000000011</v>
      </c>
      <c r="AJ122" s="14">
        <f>AI122*VLOOKUP('Données projet'!$B$10,Paramètres!$A$1:$I$89,3,0)*VLOOKUP('Données projet'!$B$10,Paramètres!$A$1:$I$89,5,0)</f>
        <v>293.0200000000001</v>
      </c>
      <c r="AK122" s="14">
        <f t="shared" si="89"/>
        <v>69.71118854917674</v>
      </c>
      <c r="AL122" s="22">
        <f t="shared" si="58"/>
        <v>631.75682005648298</v>
      </c>
      <c r="AM122" s="62">
        <f t="shared" si="59"/>
        <v>925.09015338981635</v>
      </c>
      <c r="AN122" s="62">
        <f ca="1">AVERAGE(OFFSET($AM$3,0,0,'Données projet'!$E$10+1,1))-AVERAGE(OFFSET($H$3,0,0,'Données projet'!$E$10+1,1))</f>
        <v>318.69447733545013</v>
      </c>
      <c r="AO122" s="62">
        <f t="shared" si="90"/>
        <v>186.33351136372443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7.1472745081501996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9.6404635096141705E-3</v>
      </c>
      <c r="AX122" s="23">
        <f t="shared" si="60"/>
        <v>7.1569149716598135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2.6</v>
      </c>
      <c r="BD122" s="13">
        <f>IF('Données projet'!$A$88&gt;35,BD121+BC122-BL121,IF(A122&lt;'Données projet'!$A$88,$BA$205^A122,IF(A122='Données projet'!$A$88,'Données projet'!$B$88,BD121+BC122-BL121)))</f>
        <v>218.39999999999989</v>
      </c>
      <c r="BE122" s="14">
        <f>BD122*VLOOKUP('Données projet'!$B$11,Paramètres!$A$1:$I$89,3,0)*VLOOKUP('Données projet'!$B$11,Paramètres!$A$1:$I$89,5,0)</f>
        <v>221.4575999999999</v>
      </c>
      <c r="BF122" s="14">
        <f t="shared" si="91"/>
        <v>54.431566019643263</v>
      </c>
      <c r="BG122" s="22">
        <f t="shared" si="61"/>
        <v>480.50696415087845</v>
      </c>
      <c r="BH122" s="62">
        <f t="shared" si="62"/>
        <v>773.84029748421176</v>
      </c>
      <c r="BI122" s="62">
        <f ca="1">AVERAGE(OFFSET($BH$3,0,0,'Données projet'!$E$11+1,1))-AVERAGE(OFFSET($H$3,0,0,'Données projet'!$E$11+1,1))</f>
        <v>238.29088076221427</v>
      </c>
      <c r="BJ122" s="62">
        <f t="shared" si="92"/>
        <v>102.64102748467457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13.660654591942423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13.660654591942423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34.320000000000071</v>
      </c>
      <c r="D123" s="12">
        <f t="shared" si="86"/>
        <v>10.480008641404172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345.82462810908538</v>
      </c>
      <c r="H123" s="70">
        <f t="shared" si="56"/>
        <v>371.36001505044572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-5.1159076974727213E-13</v>
      </c>
      <c r="O123" s="14">
        <f>N123*VLOOKUP('Données projet'!$B$9,Paramètres!$A$1:$I$89,3,0)*VLOOKUP('Données projet'!$B$9,Paramètres!$A$1:$I$89,5,0)</f>
        <v>-2.3942448024172334E-13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188.51537094662768</v>
      </c>
      <c r="T123" s="62">
        <f t="shared" si="88"/>
        <v>181.95202230446716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78.462834680439798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78.462834680439798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490.00000000000011</v>
      </c>
      <c r="AJ123" s="14">
        <f>AI123*VLOOKUP('Données projet'!$B$10,Paramètres!$A$1:$I$89,3,0)*VLOOKUP('Données projet'!$B$10,Paramètres!$A$1:$I$89,5,0)</f>
        <v>293.0200000000001</v>
      </c>
      <c r="AK123" s="14">
        <f t="shared" si="89"/>
        <v>69.71118854917674</v>
      </c>
      <c r="AL123" s="22">
        <f t="shared" si="58"/>
        <v>631.75682005648298</v>
      </c>
      <c r="AM123" s="62">
        <f t="shared" si="59"/>
        <v>925.09015338981635</v>
      </c>
      <c r="AN123" s="62">
        <f ca="1">AVERAGE(OFFSET($AM$3,0,0,'Données projet'!$E$10+1,1))-AVERAGE(OFFSET($H$3,0,0,'Données projet'!$E$10+1,1))</f>
        <v>318.69447733545013</v>
      </c>
      <c r="AO123" s="62">
        <f t="shared" si="90"/>
        <v>186.33351136372443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7.0071208144523682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6.8168371214296433E-3</v>
      </c>
      <c r="AX123" s="23">
        <f t="shared" si="60"/>
        <v>7.0139376515737979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221</v>
      </c>
      <c r="BB123" s="13">
        <f>VLOOKUP(A123,'Données projet'!$A$87:$I$107,9,0)</f>
        <v>2.6</v>
      </c>
      <c r="BC123" s="13">
        <f t="array" ref="BC123">INDEX(BB:BB,MIN(IF(ISNUMBER(BB123:BB319),ROW(BB123:BB319),"")))</f>
        <v>2.6</v>
      </c>
      <c r="BD123" s="13">
        <f>IF('Données projet'!$A$88&gt;35,BD122+BC123-BL122,IF(A123&lt;'Données projet'!$A$88,$BA$205^A123,IF(A123='Données projet'!$A$88,'Données projet'!$B$88,BD122+BC123-BL122)))</f>
        <v>220.99999999999989</v>
      </c>
      <c r="BE123" s="14">
        <f>BD123*VLOOKUP('Données projet'!$B$11,Paramètres!$A$1:$I$89,3,0)*VLOOKUP('Données projet'!$B$11,Paramètres!$A$1:$I$89,5,0)</f>
        <v>224.09399999999988</v>
      </c>
      <c r="BF123" s="14">
        <f t="shared" si="91"/>
        <v>55.003739293082667</v>
      </c>
      <c r="BG123" s="22">
        <f t="shared" si="61"/>
        <v>486.09522926878549</v>
      </c>
      <c r="BH123" s="62">
        <f t="shared" si="62"/>
        <v>779.42856260211875</v>
      </c>
      <c r="BI123" s="62">
        <f ca="1">AVERAGE(OFFSET($BH$3,0,0,'Données projet'!$E$11+1,1))-AVERAGE(OFFSET($H$3,0,0,'Données projet'!$E$11+1,1))</f>
        <v>238.29088076221427</v>
      </c>
      <c r="BJ123" s="62">
        <f t="shared" si="92"/>
        <v>102.64102748467457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12</v>
      </c>
      <c r="BM123" s="17">
        <f>IF(ISNA(VLOOKUP(A123,'Données projet'!$A$87:$I$107,5,0)),0%,VLOOKUP(A123,'Données projet'!$A$87:$I$107,5,0)*VLOOKUP('Données projet'!$B$11,Paramètres!$A$1:$I$89,7,0))</f>
        <v>0.17200000000000001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15.706412023013993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15.706412023013993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34.606000000000073</v>
      </c>
      <c r="D124" s="12">
        <f t="shared" si="86"/>
        <v>10.557139127539784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348.62774063364105</v>
      </c>
      <c r="H124" s="70">
        <f t="shared" si="56"/>
        <v>371.99246731379856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-5.1159076974727213E-13</v>
      </c>
      <c r="O124" s="14">
        <f>N124*VLOOKUP('Données projet'!$B$9,Paramètres!$A$1:$I$89,3,0)*VLOOKUP('Données projet'!$B$9,Paramètres!$A$1:$I$89,5,0)</f>
        <v>-2.3942448024172334E-13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188.51537094662768</v>
      </c>
      <c r="T124" s="62">
        <f t="shared" si="88"/>
        <v>181.95202230446716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76.92422634995998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76.92422634995998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490.00000000000011</v>
      </c>
      <c r="AJ124" s="14">
        <f>AI124*VLOOKUP('Données projet'!$B$10,Paramètres!$A$1:$I$89,3,0)*VLOOKUP('Données projet'!$B$10,Paramètres!$A$1:$I$89,5,0)</f>
        <v>293.0200000000001</v>
      </c>
      <c r="AK124" s="14">
        <f t="shared" si="89"/>
        <v>69.71118854917674</v>
      </c>
      <c r="AL124" s="22">
        <f t="shared" si="58"/>
        <v>631.75682005648298</v>
      </c>
      <c r="AM124" s="62">
        <f t="shared" si="59"/>
        <v>925.09015338981635</v>
      </c>
      <c r="AN124" s="62">
        <f ca="1">AVERAGE(OFFSET($AM$3,0,0,'Données projet'!$E$10+1,1))-AVERAGE(OFFSET($H$3,0,0,'Données projet'!$E$10+1,1))</f>
        <v>318.69447733545013</v>
      </c>
      <c r="AO124" s="62">
        <f t="shared" si="90"/>
        <v>186.33351136372443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6.8697154492026398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4.8202317548070852E-3</v>
      </c>
      <c r="AX124" s="23">
        <f t="shared" si="60"/>
        <v>6.8745356809574467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208.99999999999989</v>
      </c>
      <c r="BE124" s="14">
        <f>BD124*VLOOKUP('Données projet'!$B$11,Paramètres!$A$1:$I$89,3,0)*VLOOKUP('Données projet'!$B$11,Paramètres!$A$1:$I$89,5,0)</f>
        <v>211.9259999999999</v>
      </c>
      <c r="BF124" s="14">
        <f t="shared" si="91"/>
        <v>52.356241262970116</v>
      </c>
      <c r="BG124" s="22">
        <f t="shared" si="61"/>
        <v>460.29157019967283</v>
      </c>
      <c r="BH124" s="62">
        <f t="shared" si="62"/>
        <v>753.62490353300609</v>
      </c>
      <c r="BI124" s="62">
        <f ca="1">AVERAGE(OFFSET($BH$3,0,0,'Données projet'!$E$11+1,1))-AVERAGE(OFFSET($H$3,0,0,'Données projet'!$E$11+1,1))</f>
        <v>238.29088076221427</v>
      </c>
      <c r="BJ124" s="62">
        <f t="shared" si="92"/>
        <v>102.64102748467457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15.398418863208079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15.398418863208079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34.892000000000074</v>
      </c>
      <c r="D125" s="12">
        <f t="shared" si="86"/>
        <v>10.634195450206962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351.43028066826486</v>
      </c>
      <c r="H125" s="70">
        <f t="shared" si="56"/>
        <v>372.62479040911057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-5.1159076974727213E-13</v>
      </c>
      <c r="O125" s="14">
        <f>N125*VLOOKUP('Données projet'!$B$9,Paramètres!$A$1:$I$89,3,0)*VLOOKUP('Données projet'!$B$9,Paramètres!$A$1:$I$89,5,0)</f>
        <v>-2.3942448024172334E-13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188.51537094662768</v>
      </c>
      <c r="T125" s="62">
        <f t="shared" si="88"/>
        <v>181.95202230446716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75.415789190382455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75.415789190382455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490.00000000000011</v>
      </c>
      <c r="AJ125" s="14">
        <f>AI125*VLOOKUP('Données projet'!$B$10,Paramètres!$A$1:$I$89,3,0)*VLOOKUP('Données projet'!$B$10,Paramètres!$A$1:$I$89,5,0)</f>
        <v>293.0200000000001</v>
      </c>
      <c r="AK125" s="14">
        <f t="shared" si="89"/>
        <v>69.71118854917674</v>
      </c>
      <c r="AL125" s="22">
        <f t="shared" si="58"/>
        <v>631.75682005648298</v>
      </c>
      <c r="AM125" s="62">
        <f t="shared" si="59"/>
        <v>925.09015338981635</v>
      </c>
      <c r="AN125" s="62">
        <f ca="1">AVERAGE(OFFSET($AM$3,0,0,'Données projet'!$E$10+1,1))-AVERAGE(OFFSET($H$3,0,0,'Données projet'!$E$10+1,1))</f>
        <v>318.69447733545013</v>
      </c>
      <c r="AO125" s="62">
        <f t="shared" si="90"/>
        <v>186.33351136372443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6.7350045193564609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3.4084185607148217E-3</v>
      </c>
      <c r="AX125" s="23">
        <f t="shared" si="60"/>
        <v>6.7384129379171753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208.99999999999989</v>
      </c>
      <c r="BE125" s="14">
        <f>BD125*VLOOKUP('Données projet'!$B$11,Paramètres!$A$1:$I$89,3,0)*VLOOKUP('Données projet'!$B$11,Paramètres!$A$1:$I$89,5,0)</f>
        <v>211.9259999999999</v>
      </c>
      <c r="BF125" s="14">
        <f t="shared" si="91"/>
        <v>52.356241262970116</v>
      </c>
      <c r="BG125" s="22">
        <f t="shared" si="61"/>
        <v>460.29157019967283</v>
      </c>
      <c r="BH125" s="62">
        <f t="shared" si="62"/>
        <v>753.62490353300609</v>
      </c>
      <c r="BI125" s="62">
        <f ca="1">AVERAGE(OFFSET($BH$3,0,0,'Données projet'!$E$11+1,1))-AVERAGE(OFFSET($H$3,0,0,'Données projet'!$E$11+1,1))</f>
        <v>238.29088076221427</v>
      </c>
      <c r="BJ125" s="62">
        <f t="shared" si="92"/>
        <v>102.64102748467457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15.096465261408682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15.096465261408682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35.178000000000075</v>
      </c>
      <c r="D126" s="12">
        <f t="shared" si="86"/>
        <v>10.711178287753828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354.23225344932843</v>
      </c>
      <c r="H126" s="70">
        <f t="shared" si="56"/>
        <v>373.25698551783802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-5.1159076974727213E-13</v>
      </c>
      <c r="O126" s="14">
        <f>N126*VLOOKUP('Données projet'!$B$9,Paramètres!$A$1:$I$89,3,0)*VLOOKUP('Données projet'!$B$9,Paramètres!$A$1:$I$89,5,0)</f>
        <v>-2.3942448024172334E-13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188.51537094662768</v>
      </c>
      <c r="T126" s="62">
        <f t="shared" si="88"/>
        <v>181.95202230446716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73.936931563448425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73.936931563448425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490.00000000000011</v>
      </c>
      <c r="AJ126" s="14">
        <f>AI126*VLOOKUP('Données projet'!$B$10,Paramètres!$A$1:$I$89,3,0)*VLOOKUP('Données projet'!$B$10,Paramètres!$A$1:$I$89,5,0)</f>
        <v>293.0200000000001</v>
      </c>
      <c r="AK126" s="14">
        <f t="shared" si="89"/>
        <v>69.71118854917674</v>
      </c>
      <c r="AL126" s="22">
        <f t="shared" si="58"/>
        <v>631.75682005648298</v>
      </c>
      <c r="AM126" s="62">
        <f t="shared" si="59"/>
        <v>925.09015338981635</v>
      </c>
      <c r="AN126" s="62">
        <f ca="1">AVERAGE(OFFSET($AM$3,0,0,'Données projet'!$E$10+1,1))-AVERAGE(OFFSET($H$3,0,0,'Données projet'!$E$10+1,1))</f>
        <v>318.69447733545013</v>
      </c>
      <c r="AO126" s="62">
        <f t="shared" si="90"/>
        <v>186.33351136372443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6.6029351886790115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2.4101158774035426E-3</v>
      </c>
      <c r="AX126" s="23">
        <f t="shared" si="60"/>
        <v>6.6053453045564154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208.99999999999989</v>
      </c>
      <c r="BE126" s="14">
        <f>BD126*VLOOKUP('Données projet'!$B$11,Paramètres!$A$1:$I$89,3,0)*VLOOKUP('Données projet'!$B$11,Paramètres!$A$1:$I$89,5,0)</f>
        <v>211.9259999999999</v>
      </c>
      <c r="BF126" s="14">
        <f t="shared" si="91"/>
        <v>52.356241262970116</v>
      </c>
      <c r="BG126" s="22">
        <f t="shared" si="61"/>
        <v>460.29157019967283</v>
      </c>
      <c r="BH126" s="62">
        <f t="shared" si="62"/>
        <v>753.62490353300609</v>
      </c>
      <c r="BI126" s="62">
        <f ca="1">AVERAGE(OFFSET($BH$3,0,0,'Données projet'!$E$11+1,1))-AVERAGE(OFFSET($H$3,0,0,'Données projet'!$E$11+1,1))</f>
        <v>238.29088076221427</v>
      </c>
      <c r="BJ126" s="62">
        <f t="shared" si="92"/>
        <v>102.64102748467457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14.800432785567059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14.800432785567059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35.464000000000077</v>
      </c>
      <c r="D127" s="12">
        <f t="shared" si="86"/>
        <v>10.788088306861637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357.03366412314307</v>
      </c>
      <c r="H127" s="70">
        <f t="shared" si="56"/>
        <v>373.88905380111748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-5.1159076974727213E-13</v>
      </c>
      <c r="O127" s="14">
        <f>N127*VLOOKUP('Données projet'!$B$9,Paramètres!$A$1:$I$89,3,0)*VLOOKUP('Données projet'!$B$9,Paramètres!$A$1:$I$89,5,0)</f>
        <v>-2.3942448024172334E-13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188.51537094662768</v>
      </c>
      <c r="T127" s="62">
        <f t="shared" si="88"/>
        <v>181.95202230446716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72.487073432564486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72.487073432564486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490.00000000000011</v>
      </c>
      <c r="AJ127" s="14">
        <f>AI127*VLOOKUP('Données projet'!$B$10,Paramètres!$A$1:$I$89,3,0)*VLOOKUP('Données projet'!$B$10,Paramètres!$A$1:$I$89,5,0)</f>
        <v>293.0200000000001</v>
      </c>
      <c r="AK127" s="14">
        <f t="shared" si="89"/>
        <v>69.71118854917674</v>
      </c>
      <c r="AL127" s="22">
        <f t="shared" si="58"/>
        <v>631.75682005648298</v>
      </c>
      <c r="AM127" s="62">
        <f t="shared" si="59"/>
        <v>925.09015338981635</v>
      </c>
      <c r="AN127" s="62">
        <f ca="1">AVERAGE(OFFSET($AM$3,0,0,'Données projet'!$E$10+1,1))-AVERAGE(OFFSET($H$3,0,0,'Données projet'!$E$10+1,1))</f>
        <v>318.69447733545013</v>
      </c>
      <c r="AO127" s="62">
        <f t="shared" si="90"/>
        <v>186.33351136372443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6.4734556570218089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1.7042092803574108E-3</v>
      </c>
      <c r="AX127" s="23">
        <f t="shared" si="60"/>
        <v>6.4751598663021666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208.99999999999989</v>
      </c>
      <c r="BE127" s="14">
        <f>BD127*VLOOKUP('Données projet'!$B$11,Paramètres!$A$1:$I$89,3,0)*VLOOKUP('Données projet'!$B$11,Paramètres!$A$1:$I$89,5,0)</f>
        <v>211.9259999999999</v>
      </c>
      <c r="BF127" s="14">
        <f t="shared" si="91"/>
        <v>52.356241262970116</v>
      </c>
      <c r="BG127" s="22">
        <f t="shared" si="61"/>
        <v>460.29157019967283</v>
      </c>
      <c r="BH127" s="62">
        <f t="shared" si="62"/>
        <v>753.62490353300609</v>
      </c>
      <c r="BI127" s="62">
        <f ca="1">AVERAGE(OFFSET($BH$3,0,0,'Données projet'!$E$11+1,1))-AVERAGE(OFFSET($H$3,0,0,'Données projet'!$E$11+1,1))</f>
        <v>238.29088076221427</v>
      </c>
      <c r="BJ127" s="62">
        <f t="shared" si="92"/>
        <v>102.64102748467457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14.510205326014709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14.510205326014709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35.750000000000078</v>
      </c>
      <c r="D128" s="12">
        <f t="shared" si="86"/>
        <v>10.864926162837898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359.83451774822294</v>
      </c>
      <c r="H128" s="70">
        <f t="shared" si="56"/>
        <v>374.52099640027615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-5.1159076974727213E-13</v>
      </c>
      <c r="O128" s="14">
        <f>N128*VLOOKUP('Données projet'!$B$9,Paramètres!$A$1:$I$89,3,0)*VLOOKUP('Données projet'!$B$9,Paramètres!$A$1:$I$89,5,0)</f>
        <v>-2.3942448024172334E-13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188.51537094662768</v>
      </c>
      <c r="T128" s="62">
        <f t="shared" si="88"/>
        <v>181.95202230446716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71.065646135301037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71.065646135301037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490.00000000000011</v>
      </c>
      <c r="AJ128" s="14">
        <f>AI128*VLOOKUP('Données projet'!$B$10,Paramètres!$A$1:$I$89,3,0)*VLOOKUP('Données projet'!$B$10,Paramètres!$A$1:$I$89,5,0)</f>
        <v>293.0200000000001</v>
      </c>
      <c r="AK128" s="14">
        <f t="shared" si="89"/>
        <v>69.71118854917674</v>
      </c>
      <c r="AL128" s="22">
        <f t="shared" si="58"/>
        <v>631.75682005648298</v>
      </c>
      <c r="AM128" s="62">
        <f t="shared" si="59"/>
        <v>925.09015338981635</v>
      </c>
      <c r="AN128" s="62">
        <f ca="1">AVERAGE(OFFSET($AM$3,0,0,'Données projet'!$E$10+1,1))-AVERAGE(OFFSET($H$3,0,0,'Données projet'!$E$10+1,1))</f>
        <v>318.69447733545013</v>
      </c>
      <c r="AO128" s="62">
        <f t="shared" si="90"/>
        <v>186.33351136372443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6.3465151400056881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1.2050579387017713E-3</v>
      </c>
      <c r="AX128" s="23">
        <f t="shared" si="60"/>
        <v>6.3477201979443896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208.99999999999989</v>
      </c>
      <c r="BE128" s="14">
        <f>BD128*VLOOKUP('Données projet'!$B$11,Paramètres!$A$1:$I$89,3,0)*VLOOKUP('Données projet'!$B$11,Paramètres!$A$1:$I$89,5,0)</f>
        <v>211.9259999999999</v>
      </c>
      <c r="BF128" s="14">
        <f t="shared" si="91"/>
        <v>52.356241262970116</v>
      </c>
      <c r="BG128" s="22">
        <f t="shared" si="61"/>
        <v>460.29157019967283</v>
      </c>
      <c r="BH128" s="62">
        <f t="shared" si="62"/>
        <v>753.62490353300609</v>
      </c>
      <c r="BI128" s="62">
        <f ca="1">AVERAGE(OFFSET($BH$3,0,0,'Données projet'!$E$11+1,1))-AVERAGE(OFFSET($H$3,0,0,'Données projet'!$E$11+1,1))</f>
        <v>238.29088076221427</v>
      </c>
      <c r="BJ128" s="62">
        <f t="shared" si="92"/>
        <v>102.64102748467457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14.22566904992291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14.22566904992291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36.03600000000008</v>
      </c>
      <c r="D129" s="12">
        <f t="shared" si="86"/>
        <v>10.941692499899762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362.63481929747246</v>
      </c>
      <c r="H129" s="70">
        <f t="shared" si="56"/>
        <v>375.15281443732556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-5.1159076974727213E-13</v>
      </c>
      <c r="O129" s="14">
        <f>N129*VLOOKUP('Données projet'!$B$9,Paramètres!$A$1:$I$89,3,0)*VLOOKUP('Données projet'!$B$9,Paramètres!$A$1:$I$89,5,0)</f>
        <v>-2.3942448024172334E-13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188.51537094662768</v>
      </c>
      <c r="T129" s="62">
        <f t="shared" si="88"/>
        <v>181.95202230446716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69.672092160351895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69.672092160351895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490.00000000000011</v>
      </c>
      <c r="AJ129" s="14">
        <f>AI129*VLOOKUP('Données projet'!$B$10,Paramètres!$A$1:$I$89,3,0)*VLOOKUP('Données projet'!$B$10,Paramètres!$A$1:$I$89,5,0)</f>
        <v>293.0200000000001</v>
      </c>
      <c r="AK129" s="14">
        <f t="shared" si="89"/>
        <v>69.71118854917674</v>
      </c>
      <c r="AL129" s="22">
        <f t="shared" si="58"/>
        <v>631.75682005648298</v>
      </c>
      <c r="AM129" s="62">
        <f t="shared" si="59"/>
        <v>925.09015338981635</v>
      </c>
      <c r="AN129" s="62">
        <f ca="1">AVERAGE(OFFSET($AM$3,0,0,'Données projet'!$E$10+1,1))-AVERAGE(OFFSET($H$3,0,0,'Données projet'!$E$10+1,1))</f>
        <v>318.69447733545013</v>
      </c>
      <c r="AO129" s="62">
        <f t="shared" si="90"/>
        <v>186.33351136372443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6.2220638491021836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8.5210464017870542E-4</v>
      </c>
      <c r="AX129" s="23">
        <f t="shared" si="60"/>
        <v>6.2229159537423619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208.99999999999989</v>
      </c>
      <c r="BE129" s="14">
        <f>BD129*VLOOKUP('Données projet'!$B$11,Paramètres!$A$1:$I$89,3,0)*VLOOKUP('Données projet'!$B$11,Paramètres!$A$1:$I$89,5,0)</f>
        <v>211.9259999999999</v>
      </c>
      <c r="BF129" s="14">
        <f t="shared" si="91"/>
        <v>52.356241262970116</v>
      </c>
      <c r="BG129" s="22">
        <f t="shared" si="61"/>
        <v>460.29157019967283</v>
      </c>
      <c r="BH129" s="62">
        <f t="shared" si="62"/>
        <v>753.62490353300609</v>
      </c>
      <c r="BI129" s="62">
        <f ca="1">AVERAGE(OFFSET($BH$3,0,0,'Données projet'!$E$11+1,1))-AVERAGE(OFFSET($H$3,0,0,'Données projet'!$E$11+1,1))</f>
        <v>238.29088076221427</v>
      </c>
      <c r="BJ129" s="62">
        <f t="shared" si="92"/>
        <v>102.64102748467457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13.946712356655279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13.946712356655279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36.322000000000081</v>
      </c>
      <c r="D130" s="12">
        <f t="shared" si="86"/>
        <v>11.018387951448261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365.43457366030299</v>
      </c>
      <c r="H130" s="70">
        <f t="shared" si="56"/>
        <v>375.7845090154392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-5.1159076974727213E-13</v>
      </c>
      <c r="O130" s="14">
        <f>N130*VLOOKUP('Données projet'!$B$9,Paramètres!$A$1:$I$89,3,0)*VLOOKUP('Données projet'!$B$9,Paramètres!$A$1:$I$89,5,0)</f>
        <v>-2.3942448024172334E-13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188.51537094662768</v>
      </c>
      <c r="T130" s="62">
        <f t="shared" si="88"/>
        <v>181.95202230446716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68.305864928867507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68.305864928867507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490.00000000000011</v>
      </c>
      <c r="AJ130" s="14">
        <f>AI130*VLOOKUP('Données projet'!$B$10,Paramètres!$A$1:$I$89,3,0)*VLOOKUP('Données projet'!$B$10,Paramètres!$A$1:$I$89,5,0)</f>
        <v>293.0200000000001</v>
      </c>
      <c r="AK130" s="14">
        <f t="shared" si="89"/>
        <v>69.71118854917674</v>
      </c>
      <c r="AL130" s="22">
        <f t="shared" si="58"/>
        <v>631.75682005648298</v>
      </c>
      <c r="AM130" s="62">
        <f t="shared" si="59"/>
        <v>925.09015338981635</v>
      </c>
      <c r="AN130" s="62">
        <f ca="1">AVERAGE(OFFSET($AM$3,0,0,'Données projet'!$E$10+1,1))-AVERAGE(OFFSET($H$3,0,0,'Données projet'!$E$10+1,1))</f>
        <v>318.69447733545013</v>
      </c>
      <c r="AO130" s="62">
        <f t="shared" si="90"/>
        <v>186.33351136372443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6.1000529721055043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6.0252896935088565E-4</v>
      </c>
      <c r="AX130" s="23">
        <f t="shared" si="60"/>
        <v>6.1006555010748551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208.99999999999989</v>
      </c>
      <c r="BE130" s="14">
        <f>BD130*VLOOKUP('Données projet'!$B$11,Paramètres!$A$1:$I$89,3,0)*VLOOKUP('Données projet'!$B$11,Paramètres!$A$1:$I$89,5,0)</f>
        <v>211.9259999999999</v>
      </c>
      <c r="BF130" s="14">
        <f t="shared" si="91"/>
        <v>52.356241262970116</v>
      </c>
      <c r="BG130" s="22">
        <f t="shared" si="61"/>
        <v>460.29157019967283</v>
      </c>
      <c r="BH130" s="62">
        <f t="shared" si="62"/>
        <v>753.62490353300609</v>
      </c>
      <c r="BI130" s="62">
        <f ca="1">AVERAGE(OFFSET($BH$3,0,0,'Données projet'!$E$11+1,1))-AVERAGE(OFFSET($H$3,0,0,'Données projet'!$E$11+1,1))</f>
        <v>238.29088076221427</v>
      </c>
      <c r="BJ130" s="62">
        <f t="shared" si="92"/>
        <v>102.64102748467457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13.673225833995845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13.673225833995845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36.608000000000082</v>
      </c>
      <c r="D131" s="12">
        <f t="shared" si="86"/>
        <v>11.095013140333576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368.23378564468089</v>
      </c>
      <c r="H131" s="70">
        <f t="shared" si="56"/>
        <v>376.41608121941442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-5.1159076974727213E-13</v>
      </c>
      <c r="O131" s="14">
        <f>N131*VLOOKUP('Données projet'!$B$9,Paramètres!$A$1:$I$89,3,0)*VLOOKUP('Données projet'!$B$9,Paramètres!$A$1:$I$89,5,0)</f>
        <v>-2.3942448024172334E-13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188.51537094662768</v>
      </c>
      <c r="T131" s="62">
        <f t="shared" si="88"/>
        <v>181.95202230446716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66.966428580076197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66.966428580076197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490.00000000000011</v>
      </c>
      <c r="AJ131" s="14">
        <f>AI131*VLOOKUP('Données projet'!$B$10,Paramètres!$A$1:$I$89,3,0)*VLOOKUP('Données projet'!$B$10,Paramètres!$A$1:$I$89,5,0)</f>
        <v>293.0200000000001</v>
      </c>
      <c r="AK131" s="14">
        <f t="shared" si="89"/>
        <v>69.71118854917674</v>
      </c>
      <c r="AL131" s="22">
        <f t="shared" si="58"/>
        <v>631.75682005648298</v>
      </c>
      <c r="AM131" s="62">
        <f t="shared" si="59"/>
        <v>925.09015338981635</v>
      </c>
      <c r="AN131" s="62">
        <f ca="1">AVERAGE(OFFSET($AM$3,0,0,'Données projet'!$E$10+1,1))-AVERAGE(OFFSET($H$3,0,0,'Données projet'!$E$10+1,1))</f>
        <v>318.69447733545013</v>
      </c>
      <c r="AO131" s="62">
        <f t="shared" si="90"/>
        <v>186.33351136372443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5.9804346539874436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4.2605232008935271E-4</v>
      </c>
      <c r="AX131" s="23">
        <f t="shared" si="60"/>
        <v>5.9808607063075332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208.99999999999989</v>
      </c>
      <c r="BE131" s="14">
        <f>BD131*VLOOKUP('Données projet'!$B$11,Paramètres!$A$1:$I$89,3,0)*VLOOKUP('Données projet'!$B$11,Paramètres!$A$1:$I$89,5,0)</f>
        <v>211.9259999999999</v>
      </c>
      <c r="BF131" s="14">
        <f t="shared" si="91"/>
        <v>52.356241262970116</v>
      </c>
      <c r="BG131" s="22">
        <f t="shared" si="61"/>
        <v>460.29157019967283</v>
      </c>
      <c r="BH131" s="62">
        <f t="shared" si="62"/>
        <v>753.62490353300609</v>
      </c>
      <c r="BI131" s="62">
        <f ca="1">AVERAGE(OFFSET($BH$3,0,0,'Données projet'!$E$11+1,1))-AVERAGE(OFFSET($H$3,0,0,'Données projet'!$E$11+1,1))</f>
        <v>238.29088076221427</v>
      </c>
      <c r="BJ131" s="62">
        <f t="shared" si="92"/>
        <v>102.64102748467457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13.405102215235454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13.405102215235454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36.894000000000084</v>
      </c>
      <c r="D132" s="12">
        <f t="shared" si="86"/>
        <v>11.171568679111809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371.03245997910932</v>
      </c>
      <c r="H132" s="70">
        <f t="shared" ref="H132:H195" si="110">(B132+E132+F132)*44/12+(C132+D132)*0.475*44/12</f>
        <v>377.04753211611984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-5.1159076974727213E-13</v>
      </c>
      <c r="O132" s="14">
        <f>N132*VLOOKUP('Données projet'!$B$9,Paramètres!$A$1:$I$89,3,0)*VLOOKUP('Données projet'!$B$9,Paramètres!$A$1:$I$89,5,0)</f>
        <v>-2.3942448024172334E-13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188.51537094662768</v>
      </c>
      <c r="T132" s="62">
        <f t="shared" si="88"/>
        <v>181.95202230446716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65.653257761109174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65.653257761109174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490.00000000000011</v>
      </c>
      <c r="AJ132" s="14">
        <f>AI132*VLOOKUP('Données projet'!$B$10,Paramètres!$A$1:$I$89,3,0)*VLOOKUP('Données projet'!$B$10,Paramètres!$A$1:$I$89,5,0)</f>
        <v>293.0200000000001</v>
      </c>
      <c r="AK132" s="14">
        <f t="shared" si="89"/>
        <v>69.71118854917674</v>
      </c>
      <c r="AL132" s="22">
        <f t="shared" ref="AL132:AL153" si="112">(AJ132+AK132)*0.475*44/12</f>
        <v>631.75682005648298</v>
      </c>
      <c r="AM132" s="62">
        <f t="shared" ref="AM132:AM195" si="113">AL132+(AD132+AE132)*44/12</f>
        <v>925.09015338981635</v>
      </c>
      <c r="AN132" s="62">
        <f ca="1">AVERAGE(OFFSET($AM$3,0,0,'Données projet'!$E$10+1,1))-AVERAGE(OFFSET($H$3,0,0,'Données projet'!$E$10+1,1))</f>
        <v>318.69447733545013</v>
      </c>
      <c r="AO132" s="62">
        <f t="shared" si="90"/>
        <v>186.33351136372443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5.8631619781277076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3.0126448467544283E-4</v>
      </c>
      <c r="AX132" s="23">
        <f t="shared" ref="AX132:AX153" si="114">SUM(AU132:AW132)</f>
        <v>5.8634632426123829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208.99999999999989</v>
      </c>
      <c r="BE132" s="14">
        <f>BD132*VLOOKUP('Données projet'!$B$11,Paramètres!$A$1:$I$89,3,0)*VLOOKUP('Données projet'!$B$11,Paramètres!$A$1:$I$89,5,0)</f>
        <v>211.9259999999999</v>
      </c>
      <c r="BF132" s="14">
        <f t="shared" si="91"/>
        <v>52.356241262970116</v>
      </c>
      <c r="BG132" s="22">
        <f t="shared" ref="BG132:BG153" si="115">(BE132+BF132)*0.475*44/12</f>
        <v>460.29157019967283</v>
      </c>
      <c r="BH132" s="62">
        <f t="shared" ref="BH132:BH195" si="116">BG132+(AY132+AZ132)*44/12</f>
        <v>753.62490353300609</v>
      </c>
      <c r="BI132" s="62">
        <f ca="1">AVERAGE(OFFSET($BH$3,0,0,'Données projet'!$E$11+1,1))-AVERAGE(OFFSET($H$3,0,0,'Données projet'!$E$11+1,1))</f>
        <v>238.29088076221427</v>
      </c>
      <c r="BJ132" s="62">
        <f t="shared" si="92"/>
        <v>102.64102748467457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13.142236337099694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13.142236337099694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37.180000000000085</v>
      </c>
      <c r="D133" s="12">
        <f t="shared" ref="D133:D196" si="140">IFERROR(EXP(-1.0587+0.8836*LN(C133)+0.284),0)</f>
        <v>11.248055170293608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373.83060131454778</v>
      </c>
      <c r="H133" s="70">
        <f t="shared" si="110"/>
        <v>377.67886275492816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-5.1159076974727213E-13</v>
      </c>
      <c r="O133" s="14">
        <f>N133*VLOOKUP('Données projet'!$B$9,Paramètres!$A$1:$I$89,3,0)*VLOOKUP('Données projet'!$B$9,Paramètres!$A$1:$I$89,5,0)</f>
        <v>-2.3942448024172334E-13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188.51537094662768</v>
      </c>
      <c r="T133" s="62">
        <f t="shared" ref="T133:T196" si="142">$T$3</f>
        <v>181.95202230446716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64.365837420946988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64.365837420946988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490.00000000000011</v>
      </c>
      <c r="AJ133" s="14">
        <f>AI133*VLOOKUP('Données projet'!$B$10,Paramètres!$A$1:$I$89,3,0)*VLOOKUP('Données projet'!$B$10,Paramètres!$A$1:$I$89,5,0)</f>
        <v>293.0200000000001</v>
      </c>
      <c r="AK133" s="14">
        <f t="shared" ref="AK133:AK153" si="143">EXP(-1.0587+0.8836*LN(AJ133)+0.284)</f>
        <v>69.71118854917674</v>
      </c>
      <c r="AL133" s="22">
        <f t="shared" si="112"/>
        <v>631.75682005648298</v>
      </c>
      <c r="AM133" s="62">
        <f t="shared" si="113"/>
        <v>925.09015338981635</v>
      </c>
      <c r="AN133" s="62">
        <f ca="1">AVERAGE(OFFSET($AM$3,0,0,'Données projet'!$E$10+1,1))-AVERAGE(OFFSET($H$3,0,0,'Données projet'!$E$10+1,1))</f>
        <v>318.69447733545013</v>
      </c>
      <c r="AO133" s="62">
        <f t="shared" ref="AO133:AO196" si="144">$AO$3</f>
        <v>186.33351136372443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5.7481889479123121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2.1302616004467635E-4</v>
      </c>
      <c r="AX133" s="23">
        <f t="shared" si="114"/>
        <v>5.7484019740723564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208.99999999999989</v>
      </c>
      <c r="BE133" s="14">
        <f>BD133*VLOOKUP('Données projet'!$B$11,Paramètres!$A$1:$I$89,3,0)*VLOOKUP('Données projet'!$B$11,Paramètres!$A$1:$I$89,5,0)</f>
        <v>211.9259999999999</v>
      </c>
      <c r="BF133" s="14">
        <f t="shared" ref="BF133:BF153" si="145">EXP(-1.0587+0.8836*LN(BE133)+0.284)</f>
        <v>52.356241262970116</v>
      </c>
      <c r="BG133" s="22">
        <f t="shared" si="115"/>
        <v>460.29157019967283</v>
      </c>
      <c r="BH133" s="62">
        <f t="shared" si="116"/>
        <v>753.62490353300609</v>
      </c>
      <c r="BI133" s="62">
        <f ca="1">AVERAGE(OFFSET($BH$3,0,0,'Données projet'!$E$11+1,1))-AVERAGE(OFFSET($H$3,0,0,'Données projet'!$E$11+1,1))</f>
        <v>238.29088076221427</v>
      </c>
      <c r="BJ133" s="62">
        <f t="shared" ref="BJ133:BJ196" si="146">$BJ$3</f>
        <v>102.64102748467457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12.884525098501824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12.884525098501824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37.466000000000086</v>
      </c>
      <c r="D134" s="12">
        <f t="shared" si="140"/>
        <v>11.324473206584809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376.62821422626939</v>
      </c>
      <c r="H134" s="70">
        <f t="shared" si="110"/>
        <v>378.31007416813532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-5.1159076974727213E-13</v>
      </c>
      <c r="O134" s="14">
        <f>N134*VLOOKUP('Données projet'!$B$9,Paramètres!$A$1:$I$89,3,0)*VLOOKUP('Données projet'!$B$9,Paramètres!$A$1:$I$89,5,0)</f>
        <v>-2.3942448024172334E-13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188.51537094662768</v>
      </c>
      <c r="T134" s="62">
        <f t="shared" si="142"/>
        <v>181.95202230446716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63.103662608406509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63.103662608406509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490.00000000000011</v>
      </c>
      <c r="AJ134" s="14">
        <f>AI134*VLOOKUP('Données projet'!$B$10,Paramètres!$A$1:$I$89,3,0)*VLOOKUP('Données projet'!$B$10,Paramètres!$A$1:$I$89,5,0)</f>
        <v>293.0200000000001</v>
      </c>
      <c r="AK134" s="14">
        <f t="shared" si="143"/>
        <v>69.71118854917674</v>
      </c>
      <c r="AL134" s="22">
        <f t="shared" si="112"/>
        <v>631.75682005648298</v>
      </c>
      <c r="AM134" s="62">
        <f t="shared" si="113"/>
        <v>925.09015338981635</v>
      </c>
      <c r="AN134" s="62">
        <f ca="1">AVERAGE(OFFSET($AM$3,0,0,'Données projet'!$E$10+1,1))-AVERAGE(OFFSET($H$3,0,0,'Données projet'!$E$10+1,1))</f>
        <v>318.69447733545013</v>
      </c>
      <c r="AO134" s="62">
        <f t="shared" si="144"/>
        <v>186.33351136372443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5.6354704686928159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1.5063224233772141E-4</v>
      </c>
      <c r="AX134" s="23">
        <f t="shared" si="114"/>
        <v>5.635621100935154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208.99999999999989</v>
      </c>
      <c r="BE134" s="14">
        <f>BD134*VLOOKUP('Données projet'!$B$11,Paramètres!$A$1:$I$89,3,0)*VLOOKUP('Données projet'!$B$11,Paramètres!$A$1:$I$89,5,0)</f>
        <v>211.9259999999999</v>
      </c>
      <c r="BF134" s="14">
        <f t="shared" si="145"/>
        <v>52.356241262970116</v>
      </c>
      <c r="BG134" s="22">
        <f t="shared" si="115"/>
        <v>460.29157019967283</v>
      </c>
      <c r="BH134" s="62">
        <f t="shared" si="116"/>
        <v>753.62490353300609</v>
      </c>
      <c r="BI134" s="62">
        <f ca="1">AVERAGE(OFFSET($BH$3,0,0,'Données projet'!$E$11+1,1))-AVERAGE(OFFSET($H$3,0,0,'Données projet'!$E$11+1,1))</f>
        <v>238.29088076221427</v>
      </c>
      <c r="BJ134" s="62">
        <f t="shared" si="146"/>
        <v>102.64102748467457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12.631867420104522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12.631867420104522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37.752000000000088</v>
      </c>
      <c r="D135" s="12">
        <f t="shared" si="140"/>
        <v>11.400823371119673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379.42530321566136</v>
      </c>
      <c r="H135" s="70">
        <f t="shared" si="110"/>
        <v>378.94116737136687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-5.1159076974727213E-13</v>
      </c>
      <c r="O135" s="14">
        <f>N135*VLOOKUP('Données projet'!$B$9,Paramètres!$A$1:$I$89,3,0)*VLOOKUP('Données projet'!$B$9,Paramètres!$A$1:$I$89,5,0)</f>
        <v>-2.3942448024172334E-13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188.51537094662768</v>
      </c>
      <c r="T135" s="62">
        <f t="shared" si="142"/>
        <v>181.95202230446716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61.866238274089334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61.866238274089334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490.00000000000011</v>
      </c>
      <c r="AJ135" s="14">
        <f>AI135*VLOOKUP('Données projet'!$B$10,Paramètres!$A$1:$I$89,3,0)*VLOOKUP('Données projet'!$B$10,Paramètres!$A$1:$I$89,5,0)</f>
        <v>293.0200000000001</v>
      </c>
      <c r="AK135" s="14">
        <f t="shared" si="143"/>
        <v>69.71118854917674</v>
      </c>
      <c r="AL135" s="22">
        <f t="shared" si="112"/>
        <v>631.75682005648298</v>
      </c>
      <c r="AM135" s="62">
        <f t="shared" si="113"/>
        <v>925.09015338981635</v>
      </c>
      <c r="AN135" s="62">
        <f ca="1">AVERAGE(OFFSET($AM$3,0,0,'Données projet'!$E$10+1,1))-AVERAGE(OFFSET($H$3,0,0,'Données projet'!$E$10+1,1))</f>
        <v>318.69447733545013</v>
      </c>
      <c r="AO135" s="62">
        <f t="shared" si="144"/>
        <v>186.33351136372443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5.5249623300993305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1.0651308002233818E-4</v>
      </c>
      <c r="AX135" s="23">
        <f t="shared" si="114"/>
        <v>5.5250688431793531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208.99999999999989</v>
      </c>
      <c r="BE135" s="14">
        <f>BD135*VLOOKUP('Données projet'!$B$11,Paramètres!$A$1:$I$89,3,0)*VLOOKUP('Données projet'!$B$11,Paramètres!$A$1:$I$89,5,0)</f>
        <v>211.9259999999999</v>
      </c>
      <c r="BF135" s="14">
        <f t="shared" si="145"/>
        <v>52.356241262970116</v>
      </c>
      <c r="BG135" s="22">
        <f t="shared" si="115"/>
        <v>460.29157019967283</v>
      </c>
      <c r="BH135" s="62">
        <f t="shared" si="116"/>
        <v>753.62490353300609</v>
      </c>
      <c r="BI135" s="62">
        <f ca="1">AVERAGE(OFFSET($BH$3,0,0,'Données projet'!$E$11+1,1))-AVERAGE(OFFSET($H$3,0,0,'Données projet'!$E$11+1,1))</f>
        <v>238.29088076221427</v>
      </c>
      <c r="BJ135" s="62">
        <f t="shared" si="146"/>
        <v>102.64102748467457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12.384164204674624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12.384164204674624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38.038000000000089</v>
      </c>
      <c r="D136" s="12">
        <f t="shared" si="140"/>
        <v>11.477106237686712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382.22187271196827</v>
      </c>
      <c r="H136" s="70">
        <f t="shared" si="110"/>
        <v>379.57214336397118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-5.1159076974727213E-13</v>
      </c>
      <c r="O136" s="14">
        <f>N136*VLOOKUP('Données projet'!$B$9,Paramètres!$A$1:$I$89,3,0)*VLOOKUP('Données projet'!$B$9,Paramètres!$A$1:$I$89,5,0)</f>
        <v>-2.3942448024172334E-13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188.51537094662768</v>
      </c>
      <c r="T136" s="62">
        <f t="shared" si="142"/>
        <v>181.95202230446716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60.6530790762138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60.6530790762138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490.00000000000011</v>
      </c>
      <c r="AJ136" s="14">
        <f>AI136*VLOOKUP('Données projet'!$B$10,Paramètres!$A$1:$I$89,3,0)*VLOOKUP('Données projet'!$B$10,Paramètres!$A$1:$I$89,5,0)</f>
        <v>293.0200000000001</v>
      </c>
      <c r="AK136" s="14">
        <f t="shared" si="143"/>
        <v>69.71118854917674</v>
      </c>
      <c r="AL136" s="22">
        <f t="shared" si="112"/>
        <v>631.75682005648298</v>
      </c>
      <c r="AM136" s="62">
        <f t="shared" si="113"/>
        <v>925.09015338981635</v>
      </c>
      <c r="AN136" s="62">
        <f ca="1">AVERAGE(OFFSET($AM$3,0,0,'Données projet'!$E$10+1,1))-AVERAGE(OFFSET($H$3,0,0,'Données projet'!$E$10+1,1))</f>
        <v>318.69447733545013</v>
      </c>
      <c r="AO136" s="62">
        <f t="shared" si="144"/>
        <v>186.33351136372443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5.4166211887003541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7.5316121168860707E-5</v>
      </c>
      <c r="AX136" s="23">
        <f t="shared" si="114"/>
        <v>5.4166965048215232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208.99999999999989</v>
      </c>
      <c r="BE136" s="14">
        <f>BD136*VLOOKUP('Données projet'!$B$11,Paramètres!$A$1:$I$89,3,0)*VLOOKUP('Données projet'!$B$11,Paramètres!$A$1:$I$89,5,0)</f>
        <v>211.9259999999999</v>
      </c>
      <c r="BF136" s="14">
        <f t="shared" si="145"/>
        <v>52.356241262970116</v>
      </c>
      <c r="BG136" s="22">
        <f t="shared" si="115"/>
        <v>460.29157019967283</v>
      </c>
      <c r="BH136" s="62">
        <f t="shared" si="116"/>
        <v>753.62490353300609</v>
      </c>
      <c r="BI136" s="62">
        <f ca="1">AVERAGE(OFFSET($BH$3,0,0,'Données projet'!$E$11+1,1))-AVERAGE(OFFSET($H$3,0,0,'Données projet'!$E$11+1,1))</f>
        <v>238.29088076221427</v>
      </c>
      <c r="BJ136" s="62">
        <f t="shared" si="146"/>
        <v>102.64102748467457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12.141318298215264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12.141318298215264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38.32400000000009</v>
      </c>
      <c r="D137" s="12">
        <f t="shared" si="140"/>
        <v>11.553322370947603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385.01792707398226</v>
      </c>
      <c r="H137" s="70">
        <f t="shared" si="110"/>
        <v>380.20300312940054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-5.1159076974727213E-13</v>
      </c>
      <c r="O137" s="14">
        <f>N137*VLOOKUP('Données projet'!$B$9,Paramètres!$A$1:$I$89,3,0)*VLOOKUP('Données projet'!$B$9,Paramètres!$A$1:$I$89,5,0)</f>
        <v>-2.3942448024172334E-13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188.51537094662768</v>
      </c>
      <c r="T137" s="62">
        <f t="shared" si="142"/>
        <v>181.95202230446716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59.463709190254555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59.463709190254555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490.00000000000011</v>
      </c>
      <c r="AJ137" s="14">
        <f>AI137*VLOOKUP('Données projet'!$B$10,Paramètres!$A$1:$I$89,3,0)*VLOOKUP('Données projet'!$B$10,Paramètres!$A$1:$I$89,5,0)</f>
        <v>293.0200000000001</v>
      </c>
      <c r="AK137" s="14">
        <f t="shared" si="143"/>
        <v>69.71118854917674</v>
      </c>
      <c r="AL137" s="22">
        <f t="shared" si="112"/>
        <v>631.75682005648298</v>
      </c>
      <c r="AM137" s="62">
        <f t="shared" si="113"/>
        <v>925.09015338981635</v>
      </c>
      <c r="AN137" s="62">
        <f ca="1">AVERAGE(OFFSET($AM$3,0,0,'Données projet'!$E$10+1,1))-AVERAGE(OFFSET($H$3,0,0,'Données projet'!$E$10+1,1))</f>
        <v>318.69447733545013</v>
      </c>
      <c r="AO137" s="62">
        <f t="shared" si="144"/>
        <v>186.33351136372443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5.310404551002641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5.3256540011169088E-5</v>
      </c>
      <c r="AX137" s="23">
        <f t="shared" si="114"/>
        <v>5.3104578075426518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208.99999999999989</v>
      </c>
      <c r="BE137" s="14">
        <f>BD137*VLOOKUP('Données projet'!$B$11,Paramètres!$A$1:$I$89,3,0)*VLOOKUP('Données projet'!$B$11,Paramètres!$A$1:$I$89,5,0)</f>
        <v>211.9259999999999</v>
      </c>
      <c r="BF137" s="14">
        <f t="shared" si="145"/>
        <v>52.356241262970116</v>
      </c>
      <c r="BG137" s="22">
        <f t="shared" si="115"/>
        <v>460.29157019967283</v>
      </c>
      <c r="BH137" s="62">
        <f t="shared" si="116"/>
        <v>753.62490353300609</v>
      </c>
      <c r="BI137" s="62">
        <f ca="1">AVERAGE(OFFSET($BH$3,0,0,'Données projet'!$E$11+1,1))-AVERAGE(OFFSET($H$3,0,0,'Données projet'!$E$11+1,1))</f>
        <v>238.29088076221427</v>
      </c>
      <c r="BJ137" s="62">
        <f t="shared" si="146"/>
        <v>102.64102748467457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11.903234451860195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11.903234451860195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38.610000000000092</v>
      </c>
      <c r="D138" s="12">
        <f t="shared" si="140"/>
        <v>11.629472326649372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387.81347059168007</v>
      </c>
      <c r="H138" s="70">
        <f t="shared" si="110"/>
        <v>380.83374763558112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-5.1159076974727213E-13</v>
      </c>
      <c r="O138" s="14">
        <f>N138*VLOOKUP('Données projet'!$B$9,Paramètres!$A$1:$I$89,3,0)*VLOOKUP('Données projet'!$B$9,Paramètres!$A$1:$I$89,5,0)</f>
        <v>-2.3942448024172334E-13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188.51537094662768</v>
      </c>
      <c r="T138" s="62">
        <f t="shared" si="142"/>
        <v>181.95202230446716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58.297662122314975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58.297662122314975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490.00000000000011</v>
      </c>
      <c r="AJ138" s="14">
        <f>AI138*VLOOKUP('Données projet'!$B$10,Paramètres!$A$1:$I$89,3,0)*VLOOKUP('Données projet'!$B$10,Paramètres!$A$1:$I$89,5,0)</f>
        <v>293.0200000000001</v>
      </c>
      <c r="AK138" s="14">
        <f t="shared" si="143"/>
        <v>69.71118854917674</v>
      </c>
      <c r="AL138" s="22">
        <f t="shared" si="112"/>
        <v>631.75682005648298</v>
      </c>
      <c r="AM138" s="62">
        <f t="shared" si="113"/>
        <v>925.09015338981635</v>
      </c>
      <c r="AN138" s="62">
        <f ca="1">AVERAGE(OFFSET($AM$3,0,0,'Données projet'!$E$10+1,1))-AVERAGE(OFFSET($H$3,0,0,'Données projet'!$E$10+1,1))</f>
        <v>318.69447733545013</v>
      </c>
      <c r="AO138" s="62">
        <f t="shared" si="144"/>
        <v>186.33351136372443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5.206270756784428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3.7658060584430353E-5</v>
      </c>
      <c r="AX138" s="23">
        <f t="shared" si="114"/>
        <v>5.2063084148450125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208.99999999999989</v>
      </c>
      <c r="BE138" s="14">
        <f>BD138*VLOOKUP('Données projet'!$B$11,Paramètres!$A$1:$I$89,3,0)*VLOOKUP('Données projet'!$B$11,Paramètres!$A$1:$I$89,5,0)</f>
        <v>211.9259999999999</v>
      </c>
      <c r="BF138" s="14">
        <f t="shared" si="145"/>
        <v>52.356241262970116</v>
      </c>
      <c r="BG138" s="22">
        <f t="shared" si="115"/>
        <v>460.29157019967283</v>
      </c>
      <c r="BH138" s="62">
        <f t="shared" si="116"/>
        <v>753.62490353300609</v>
      </c>
      <c r="BI138" s="62">
        <f ca="1">AVERAGE(OFFSET($BH$3,0,0,'Données projet'!$E$11+1,1))-AVERAGE(OFFSET($H$3,0,0,'Données projet'!$E$11+1,1))</f>
        <v>238.29088076221427</v>
      </c>
      <c r="BJ138" s="62">
        <f t="shared" si="146"/>
        <v>102.64102748467457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11.669819284515341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11.669819284515341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38.896000000000093</v>
      </c>
      <c r="D139" s="12">
        <f t="shared" si="140"/>
        <v>11.705556651830102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390.60850748781201</v>
      </c>
      <c r="H139" s="70">
        <f t="shared" si="110"/>
        <v>381.46437783527091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-5.1159076974727213E-13</v>
      </c>
      <c r="O139" s="14">
        <f>N139*VLOOKUP('Données projet'!$B$9,Paramètres!$A$1:$I$89,3,0)*VLOOKUP('Données projet'!$B$9,Paramètres!$A$1:$I$89,5,0)</f>
        <v>-2.3942448024172334E-13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188.51537094662768</v>
      </c>
      <c r="T139" s="62">
        <f t="shared" si="142"/>
        <v>181.95202230446716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57.154480526159205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57.154480526159205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490.00000000000011</v>
      </c>
      <c r="AJ139" s="14">
        <f>AI139*VLOOKUP('Données projet'!$B$10,Paramètres!$A$1:$I$89,3,0)*VLOOKUP('Données projet'!$B$10,Paramètres!$A$1:$I$89,5,0)</f>
        <v>293.0200000000001</v>
      </c>
      <c r="AK139" s="14">
        <f t="shared" si="143"/>
        <v>69.71118854917674</v>
      </c>
      <c r="AL139" s="22">
        <f t="shared" si="112"/>
        <v>631.75682005648298</v>
      </c>
      <c r="AM139" s="62">
        <f t="shared" si="113"/>
        <v>925.09015338981635</v>
      </c>
      <c r="AN139" s="62">
        <f ca="1">AVERAGE(OFFSET($AM$3,0,0,'Données projet'!$E$10+1,1))-AVERAGE(OFFSET($H$3,0,0,'Données projet'!$E$10+1,1))</f>
        <v>318.69447733545013</v>
      </c>
      <c r="AO139" s="62">
        <f t="shared" si="144"/>
        <v>186.33351136372443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5.1041789627554914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2.6628270005584544E-5</v>
      </c>
      <c r="AX139" s="23">
        <f t="shared" si="114"/>
        <v>5.1042055910254973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208.99999999999989</v>
      </c>
      <c r="BE139" s="14">
        <f>BD139*VLOOKUP('Données projet'!$B$11,Paramètres!$A$1:$I$89,3,0)*VLOOKUP('Données projet'!$B$11,Paramètres!$A$1:$I$89,5,0)</f>
        <v>211.9259999999999</v>
      </c>
      <c r="BF139" s="14">
        <f t="shared" si="145"/>
        <v>52.356241262970116</v>
      </c>
      <c r="BG139" s="22">
        <f t="shared" si="115"/>
        <v>460.29157019967283</v>
      </c>
      <c r="BH139" s="62">
        <f t="shared" si="116"/>
        <v>753.62490353300609</v>
      </c>
      <c r="BI139" s="62">
        <f ca="1">AVERAGE(OFFSET($BH$3,0,0,'Données projet'!$E$11+1,1))-AVERAGE(OFFSET($H$3,0,0,'Données projet'!$E$11+1,1))</f>
        <v>238.29088076221427</v>
      </c>
      <c r="BJ139" s="62">
        <f t="shared" si="146"/>
        <v>102.64102748467457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11.440981246232926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11.440981246232926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39.182000000000095</v>
      </c>
      <c r="D140" s="12">
        <f t="shared" si="140"/>
        <v>11.781575885018402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393.40304191944102</v>
      </c>
      <c r="H140" s="70">
        <f t="shared" si="110"/>
        <v>382.09489466640719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-5.1159076974727213E-13</v>
      </c>
      <c r="O140" s="14">
        <f>N140*VLOOKUP('Données projet'!$B$9,Paramètres!$A$1:$I$89,3,0)*VLOOKUP('Données projet'!$B$9,Paramètres!$A$1:$I$89,5,0)</f>
        <v>-2.3942448024172334E-13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188.51537094662768</v>
      </c>
      <c r="T140" s="62">
        <f t="shared" si="142"/>
        <v>181.95202230446716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56.033716023832127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56.033716023832127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490.00000000000011</v>
      </c>
      <c r="AJ140" s="14">
        <f>AI140*VLOOKUP('Données projet'!$B$10,Paramètres!$A$1:$I$89,3,0)*VLOOKUP('Données projet'!$B$10,Paramètres!$A$1:$I$89,5,0)</f>
        <v>293.0200000000001</v>
      </c>
      <c r="AK140" s="14">
        <f t="shared" si="143"/>
        <v>69.71118854917674</v>
      </c>
      <c r="AL140" s="22">
        <f t="shared" si="112"/>
        <v>631.75682005648298</v>
      </c>
      <c r="AM140" s="62">
        <f t="shared" si="113"/>
        <v>925.09015338981635</v>
      </c>
      <c r="AN140" s="62">
        <f ca="1">AVERAGE(OFFSET($AM$3,0,0,'Données projet'!$E$10+1,1))-AVERAGE(OFFSET($H$3,0,0,'Données projet'!$E$10+1,1))</f>
        <v>318.69447733545013</v>
      </c>
      <c r="AO140" s="62">
        <f t="shared" si="144"/>
        <v>186.33351136372443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5.0040891265376164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1.8829030292215177E-5</v>
      </c>
      <c r="AX140" s="23">
        <f t="shared" si="114"/>
        <v>5.0041079555679087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208.99999999999989</v>
      </c>
      <c r="BE140" s="14">
        <f>BD140*VLOOKUP('Données projet'!$B$11,Paramètres!$A$1:$I$89,3,0)*VLOOKUP('Données projet'!$B$11,Paramètres!$A$1:$I$89,5,0)</f>
        <v>211.9259999999999</v>
      </c>
      <c r="BF140" s="14">
        <f t="shared" si="145"/>
        <v>52.356241262970116</v>
      </c>
      <c r="BG140" s="22">
        <f t="shared" si="115"/>
        <v>460.29157019967283</v>
      </c>
      <c r="BH140" s="62">
        <f t="shared" si="116"/>
        <v>753.62490353300609</v>
      </c>
      <c r="BI140" s="62">
        <f ca="1">AVERAGE(OFFSET($BH$3,0,0,'Données projet'!$E$11+1,1))-AVERAGE(OFFSET($H$3,0,0,'Données projet'!$E$11+1,1))</f>
        <v>238.29088076221427</v>
      </c>
      <c r="BJ140" s="62">
        <f t="shared" si="146"/>
        <v>102.64102748467457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11.216630582303807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11.216630582303807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39.468000000000096</v>
      </c>
      <c r="D141" s="12">
        <f t="shared" si="140"/>
        <v>11.857530556426926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396.1970779794367</v>
      </c>
      <c r="H141" s="70">
        <f t="shared" si="110"/>
        <v>382.72529905244375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-5.1159076974727213E-13</v>
      </c>
      <c r="O141" s="14">
        <f>N141*VLOOKUP('Données projet'!$B$9,Paramètres!$A$1:$I$89,3,0)*VLOOKUP('Données projet'!$B$9,Paramètres!$A$1:$I$89,5,0)</f>
        <v>-2.3942448024172334E-13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188.51537094662768</v>
      </c>
      <c r="T141" s="62">
        <f t="shared" si="142"/>
        <v>181.95202230446716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54.934929029796834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54.934929029796834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490.00000000000011</v>
      </c>
      <c r="AJ141" s="14">
        <f>AI141*VLOOKUP('Données projet'!$B$10,Paramètres!$A$1:$I$89,3,0)*VLOOKUP('Données projet'!$B$10,Paramètres!$A$1:$I$89,5,0)</f>
        <v>293.0200000000001</v>
      </c>
      <c r="AK141" s="14">
        <f t="shared" si="143"/>
        <v>69.71118854917674</v>
      </c>
      <c r="AL141" s="22">
        <f t="shared" si="112"/>
        <v>631.75682005648298</v>
      </c>
      <c r="AM141" s="62">
        <f t="shared" si="113"/>
        <v>925.09015338981635</v>
      </c>
      <c r="AN141" s="62">
        <f ca="1">AVERAGE(OFFSET($AM$3,0,0,'Données projet'!$E$10+1,1))-AVERAGE(OFFSET($H$3,0,0,'Données projet'!$E$10+1,1))</f>
        <v>318.69447733545013</v>
      </c>
      <c r="AO141" s="62">
        <f t="shared" si="144"/>
        <v>186.33351136372443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4.9059619909592023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1.3314135002792272E-5</v>
      </c>
      <c r="AX141" s="23">
        <f t="shared" si="114"/>
        <v>4.9059753050942048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208.99999999999989</v>
      </c>
      <c r="BE141" s="14">
        <f>BD141*VLOOKUP('Données projet'!$B$11,Paramètres!$A$1:$I$89,3,0)*VLOOKUP('Données projet'!$B$11,Paramètres!$A$1:$I$89,5,0)</f>
        <v>211.9259999999999</v>
      </c>
      <c r="BF141" s="14">
        <f t="shared" si="145"/>
        <v>52.356241262970116</v>
      </c>
      <c r="BG141" s="22">
        <f t="shared" si="115"/>
        <v>460.29157019967283</v>
      </c>
      <c r="BH141" s="62">
        <f t="shared" si="116"/>
        <v>753.62490353300609</v>
      </c>
      <c r="BI141" s="62">
        <f ca="1">AVERAGE(OFFSET($BH$3,0,0,'Données projet'!$E$11+1,1))-AVERAGE(OFFSET($H$3,0,0,'Données projet'!$E$11+1,1))</f>
        <v>238.29088076221427</v>
      </c>
      <c r="BJ141" s="62">
        <f t="shared" si="146"/>
        <v>102.64102748467457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10.996679298053946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10.996679298053946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39.754000000000097</v>
      </c>
      <c r="D142" s="12">
        <f t="shared" si="140"/>
        <v>11.933421188140063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398.9906196979241</v>
      </c>
      <c r="H142" s="70">
        <f t="shared" si="110"/>
        <v>383.35559190267742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-5.1159076974727213E-13</v>
      </c>
      <c r="O142" s="14">
        <f>N142*VLOOKUP('Données projet'!$B$9,Paramètres!$A$1:$I$89,3,0)*VLOOKUP('Données projet'!$B$9,Paramètres!$A$1:$I$89,5,0)</f>
        <v>-2.3942448024172334E-13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188.51537094662768</v>
      </c>
      <c r="T142" s="62">
        <f t="shared" si="142"/>
        <v>181.95202230446716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53.857688578520687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53.857688578520687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490.00000000000011</v>
      </c>
      <c r="AJ142" s="14">
        <f>AI142*VLOOKUP('Données projet'!$B$10,Paramètres!$A$1:$I$89,3,0)*VLOOKUP('Données projet'!$B$10,Paramètres!$A$1:$I$89,5,0)</f>
        <v>293.0200000000001</v>
      </c>
      <c r="AK142" s="14">
        <f t="shared" si="143"/>
        <v>69.71118854917674</v>
      </c>
      <c r="AL142" s="22">
        <f t="shared" si="112"/>
        <v>631.75682005648298</v>
      </c>
      <c r="AM142" s="62">
        <f t="shared" si="113"/>
        <v>925.09015338981635</v>
      </c>
      <c r="AN142" s="62">
        <f ca="1">AVERAGE(OFFSET($AM$3,0,0,'Données projet'!$E$10+1,1))-AVERAGE(OFFSET($H$3,0,0,'Données projet'!$E$10+1,1))</f>
        <v>318.69447733545013</v>
      </c>
      <c r="AO142" s="62">
        <f t="shared" si="144"/>
        <v>186.33351136372443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4.8097590686578373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9.4145151461075883E-6</v>
      </c>
      <c r="AX142" s="23">
        <f t="shared" si="114"/>
        <v>4.8097684831729834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208.99999999999989</v>
      </c>
      <c r="BE142" s="14">
        <f>BD142*VLOOKUP('Données projet'!$B$11,Paramètres!$A$1:$I$89,3,0)*VLOOKUP('Données projet'!$B$11,Paramètres!$A$1:$I$89,5,0)</f>
        <v>211.9259999999999</v>
      </c>
      <c r="BF142" s="14">
        <f t="shared" si="145"/>
        <v>52.356241262970116</v>
      </c>
      <c r="BG142" s="22">
        <f t="shared" si="115"/>
        <v>460.29157019967283</v>
      </c>
      <c r="BH142" s="62">
        <f t="shared" si="116"/>
        <v>753.62490353300609</v>
      </c>
      <c r="BI142" s="62">
        <f ca="1">AVERAGE(OFFSET($BH$3,0,0,'Données projet'!$E$11+1,1))-AVERAGE(OFFSET($H$3,0,0,'Données projet'!$E$11+1,1))</f>
        <v>238.29088076221427</v>
      </c>
      <c r="BJ142" s="62">
        <f t="shared" si="146"/>
        <v>102.64102748467457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10.781041124331189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10.781041124331189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40.040000000000099</v>
      </c>
      <c r="D143" s="12">
        <f t="shared" si="140"/>
        <v>12.009248294296142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401.78367104369028</v>
      </c>
      <c r="H143" s="70">
        <f t="shared" si="110"/>
        <v>383.98577411256593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-5.1159076974727213E-13</v>
      </c>
      <c r="O143" s="14">
        <f>N143*VLOOKUP('Données projet'!$B$9,Paramètres!$A$1:$I$89,3,0)*VLOOKUP('Données projet'!$B$9,Paramètres!$A$1:$I$89,5,0)</f>
        <v>-2.3942448024172334E-13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188.51537094662768</v>
      </c>
      <c r="T143" s="62">
        <f t="shared" si="142"/>
        <v>181.95202230446716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52.801572155442265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52.801572155442265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490.00000000000011</v>
      </c>
      <c r="AJ143" s="14">
        <f>AI143*VLOOKUP('Données projet'!$B$10,Paramètres!$A$1:$I$89,3,0)*VLOOKUP('Données projet'!$B$10,Paramètres!$A$1:$I$89,5,0)</f>
        <v>293.0200000000001</v>
      </c>
      <c r="AK143" s="14">
        <f t="shared" si="143"/>
        <v>69.71118854917674</v>
      </c>
      <c r="AL143" s="22">
        <f t="shared" si="112"/>
        <v>631.75682005648298</v>
      </c>
      <c r="AM143" s="62">
        <f t="shared" si="113"/>
        <v>925.09015338981635</v>
      </c>
      <c r="AN143" s="62">
        <f ca="1">AVERAGE(OFFSET($AM$3,0,0,'Données projet'!$E$10+1,1))-AVERAGE(OFFSET($H$3,0,0,'Données projet'!$E$10+1,1))</f>
        <v>318.69447733545013</v>
      </c>
      <c r="AO143" s="62">
        <f t="shared" si="144"/>
        <v>186.33351136372443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4.7154426269848138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6.6570675013961361E-6</v>
      </c>
      <c r="AX143" s="23">
        <f t="shared" si="114"/>
        <v>4.7154492840523154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208.99999999999989</v>
      </c>
      <c r="BE143" s="14">
        <f>BD143*VLOOKUP('Données projet'!$B$11,Paramètres!$A$1:$I$89,3,0)*VLOOKUP('Données projet'!$B$11,Paramètres!$A$1:$I$89,5,0)</f>
        <v>211.9259999999999</v>
      </c>
      <c r="BF143" s="14">
        <f t="shared" si="145"/>
        <v>52.356241262970116</v>
      </c>
      <c r="BG143" s="22">
        <f t="shared" si="115"/>
        <v>460.29157019967283</v>
      </c>
      <c r="BH143" s="62">
        <f t="shared" si="116"/>
        <v>753.62490353300609</v>
      </c>
      <c r="BI143" s="62">
        <f ca="1">AVERAGE(OFFSET($BH$3,0,0,'Données projet'!$E$11+1,1))-AVERAGE(OFFSET($H$3,0,0,'Données projet'!$E$11+1,1))</f>
        <v>238.29088076221427</v>
      </c>
      <c r="BJ143" s="62">
        <f t="shared" si="146"/>
        <v>102.64102748467457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10.569631483668836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10.569631483668836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40.3260000000001</v>
      </c>
      <c r="D144" s="12">
        <f t="shared" si="140"/>
        <v>12.085012381264205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404.5762359255491</v>
      </c>
      <c r="H144" s="70">
        <f t="shared" si="110"/>
        <v>384.61584656403534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-5.1159076974727213E-13</v>
      </c>
      <c r="O144" s="14">
        <f>N144*VLOOKUP('Données projet'!$B$9,Paramètres!$A$1:$I$89,3,0)*VLOOKUP('Données projet'!$B$9,Paramètres!$A$1:$I$89,5,0)</f>
        <v>-2.3942448024172334E-13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188.51537094662768</v>
      </c>
      <c r="T144" s="62">
        <f t="shared" si="142"/>
        <v>181.95202230446716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51.766165531253002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51.766165531253002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490.00000000000011</v>
      </c>
      <c r="AJ144" s="14">
        <f>AI144*VLOOKUP('Données projet'!$B$10,Paramètres!$A$1:$I$89,3,0)*VLOOKUP('Données projet'!$B$10,Paramètres!$A$1:$I$89,5,0)</f>
        <v>293.0200000000001</v>
      </c>
      <c r="AK144" s="14">
        <f t="shared" si="143"/>
        <v>69.71118854917674</v>
      </c>
      <c r="AL144" s="22">
        <f t="shared" si="112"/>
        <v>631.75682005648298</v>
      </c>
      <c r="AM144" s="62">
        <f t="shared" si="113"/>
        <v>925.09015338981635</v>
      </c>
      <c r="AN144" s="62">
        <f ca="1">AVERAGE(OFFSET($AM$3,0,0,'Données projet'!$E$10+1,1))-AVERAGE(OFFSET($H$3,0,0,'Données projet'!$E$10+1,1))</f>
        <v>318.69447733545013</v>
      </c>
      <c r="AO144" s="62">
        <f t="shared" si="144"/>
        <v>186.33351136372443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4.6229756732056488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4.7072575730537942E-6</v>
      </c>
      <c r="AX144" s="23">
        <f t="shared" si="114"/>
        <v>4.6229803804632219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208.99999999999989</v>
      </c>
      <c r="BE144" s="14">
        <f>BD144*VLOOKUP('Données projet'!$B$11,Paramètres!$A$1:$I$89,3,0)*VLOOKUP('Données projet'!$B$11,Paramètres!$A$1:$I$89,5,0)</f>
        <v>211.9259999999999</v>
      </c>
      <c r="BF144" s="14">
        <f t="shared" si="145"/>
        <v>52.356241262970116</v>
      </c>
      <c r="BG144" s="22">
        <f t="shared" si="115"/>
        <v>460.29157019967283</v>
      </c>
      <c r="BH144" s="62">
        <f t="shared" si="116"/>
        <v>753.62490353300609</v>
      </c>
      <c r="BI144" s="62">
        <f ca="1">AVERAGE(OFFSET($BH$3,0,0,'Données projet'!$E$11+1,1))-AVERAGE(OFFSET($H$3,0,0,'Données projet'!$E$11+1,1))</f>
        <v>238.29088076221427</v>
      </c>
      <c r="BJ144" s="62">
        <f t="shared" si="146"/>
        <v>102.64102748467457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10.362367457112722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10.362367457112722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40.612000000000101</v>
      </c>
      <c r="D145" s="12">
        <f t="shared" si="140"/>
        <v>12.16071394781569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407.36831819366574</v>
      </c>
      <c r="H145" s="70">
        <f t="shared" si="110"/>
        <v>385.24581012577914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-5.1159076974727213E-13</v>
      </c>
      <c r="O145" s="14">
        <f>N145*VLOOKUP('Données projet'!$B$9,Paramètres!$A$1:$I$89,3,0)*VLOOKUP('Données projet'!$B$9,Paramètres!$A$1:$I$89,5,0)</f>
        <v>-2.3942448024172334E-13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188.51537094662768</v>
      </c>
      <c r="T145" s="62">
        <f t="shared" si="142"/>
        <v>181.95202230446716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50.751062599428408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50.751062599428408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490.00000000000011</v>
      </c>
      <c r="AJ145" s="14">
        <f>AI145*VLOOKUP('Données projet'!$B$10,Paramètres!$A$1:$I$89,3,0)*VLOOKUP('Données projet'!$B$10,Paramètres!$A$1:$I$89,5,0)</f>
        <v>293.0200000000001</v>
      </c>
      <c r="AK145" s="14">
        <f t="shared" si="143"/>
        <v>69.71118854917674</v>
      </c>
      <c r="AL145" s="22">
        <f t="shared" si="112"/>
        <v>631.75682005648298</v>
      </c>
      <c r="AM145" s="62">
        <f t="shared" si="113"/>
        <v>925.09015338981635</v>
      </c>
      <c r="AN145" s="62">
        <f ca="1">AVERAGE(OFFSET($AM$3,0,0,'Données projet'!$E$10+1,1))-AVERAGE(OFFSET($H$3,0,0,'Données projet'!$E$10+1,1))</f>
        <v>318.69447733545013</v>
      </c>
      <c r="AO145" s="62">
        <f t="shared" si="144"/>
        <v>186.33351136372443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4.5323219399908208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3.328533750698068E-6</v>
      </c>
      <c r="AX145" s="23">
        <f t="shared" si="114"/>
        <v>4.5323252685245716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208.99999999999989</v>
      </c>
      <c r="BE145" s="14">
        <f>BD145*VLOOKUP('Données projet'!$B$11,Paramètres!$A$1:$I$89,3,0)*VLOOKUP('Données projet'!$B$11,Paramètres!$A$1:$I$89,5,0)</f>
        <v>211.9259999999999</v>
      </c>
      <c r="BF145" s="14">
        <f t="shared" si="145"/>
        <v>52.356241262970116</v>
      </c>
      <c r="BG145" s="22">
        <f t="shared" si="115"/>
        <v>460.29157019967283</v>
      </c>
      <c r="BH145" s="62">
        <f t="shared" si="116"/>
        <v>753.62490353300609</v>
      </c>
      <c r="BI145" s="62">
        <f ca="1">AVERAGE(OFFSET($BH$3,0,0,'Données projet'!$E$11+1,1))-AVERAGE(OFFSET($H$3,0,0,'Données projet'!$E$11+1,1))</f>
        <v>238.29088076221427</v>
      </c>
      <c r="BJ145" s="62">
        <f t="shared" si="146"/>
        <v>102.64102748467457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10.159167751698801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10.159167751698801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40.898000000000103</v>
      </c>
      <c r="D146" s="12">
        <f t="shared" si="140"/>
        <v>12.236353485291099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410.1599216408444</v>
      </c>
      <c r="H146" s="70">
        <f t="shared" si="110"/>
        <v>385.87566565354882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-5.1159076974727213E-13</v>
      </c>
      <c r="O146" s="14">
        <f>N146*VLOOKUP('Données projet'!$B$9,Paramètres!$A$1:$I$89,3,0)*VLOOKUP('Données projet'!$B$9,Paramètres!$A$1:$I$89,5,0)</f>
        <v>-2.3942448024172334E-13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188.51537094662768</v>
      </c>
      <c r="T146" s="62">
        <f t="shared" si="142"/>
        <v>181.95202230446716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49.755865216945239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49.755865216945239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490.00000000000011</v>
      </c>
      <c r="AJ146" s="14">
        <f>AI146*VLOOKUP('Données projet'!$B$10,Paramètres!$A$1:$I$89,3,0)*VLOOKUP('Données projet'!$B$10,Paramètres!$A$1:$I$89,5,0)</f>
        <v>293.0200000000001</v>
      </c>
      <c r="AK146" s="14">
        <f t="shared" si="143"/>
        <v>69.71118854917674</v>
      </c>
      <c r="AL146" s="22">
        <f t="shared" si="112"/>
        <v>631.75682005648298</v>
      </c>
      <c r="AM146" s="62">
        <f t="shared" si="113"/>
        <v>925.09015338981635</v>
      </c>
      <c r="AN146" s="62">
        <f ca="1">AVERAGE(OFFSET($AM$3,0,0,'Données projet'!$E$10+1,1))-AVERAGE(OFFSET($H$3,0,0,'Données projet'!$E$10+1,1))</f>
        <v>318.69447733545013</v>
      </c>
      <c r="AO146" s="62">
        <f t="shared" si="144"/>
        <v>186.33351136372443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4.4434458711910176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2.3536287865268971E-6</v>
      </c>
      <c r="AX146" s="23">
        <f t="shared" si="114"/>
        <v>4.4434482248198037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208.99999999999989</v>
      </c>
      <c r="BE146" s="14">
        <f>BD146*VLOOKUP('Données projet'!$B$11,Paramètres!$A$1:$I$89,3,0)*VLOOKUP('Données projet'!$B$11,Paramètres!$A$1:$I$89,5,0)</f>
        <v>211.9259999999999</v>
      </c>
      <c r="BF146" s="14">
        <f t="shared" si="145"/>
        <v>52.356241262970116</v>
      </c>
      <c r="BG146" s="22">
        <f t="shared" si="115"/>
        <v>460.29157019967283</v>
      </c>
      <c r="BH146" s="62">
        <f t="shared" si="116"/>
        <v>753.62490353300609</v>
      </c>
      <c r="BI146" s="62">
        <f ca="1">AVERAGE(OFFSET($BH$3,0,0,'Données projet'!$E$11+1,1))-AVERAGE(OFFSET($H$3,0,0,'Données projet'!$E$11+1,1))</f>
        <v>238.29088076221427</v>
      </c>
      <c r="BJ146" s="62">
        <f t="shared" si="146"/>
        <v>102.64102748467457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9.9599526685684641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9.9599526685684641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41.184000000000104</v>
      </c>
      <c r="D147" s="12">
        <f t="shared" si="140"/>
        <v>12.311931477761869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412.95105000377663</v>
      </c>
      <c r="H147" s="70">
        <f t="shared" si="110"/>
        <v>386.50541399043539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-5.1159076974727213E-13</v>
      </c>
      <c r="O147" s="14">
        <f>N147*VLOOKUP('Données projet'!$B$9,Paramètres!$A$1:$I$89,3,0)*VLOOKUP('Données projet'!$B$9,Paramètres!$A$1:$I$89,5,0)</f>
        <v>-2.3942448024172334E-13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188.51537094662768</v>
      </c>
      <c r="T147" s="62">
        <f t="shared" si="142"/>
        <v>181.95202230446716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48.780183048122097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48.780183048122097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490.00000000000011</v>
      </c>
      <c r="AJ147" s="14">
        <f>AI147*VLOOKUP('Données projet'!$B$10,Paramètres!$A$1:$I$89,3,0)*VLOOKUP('Données projet'!$B$10,Paramètres!$A$1:$I$89,5,0)</f>
        <v>293.0200000000001</v>
      </c>
      <c r="AK147" s="14">
        <f t="shared" si="143"/>
        <v>69.71118854917674</v>
      </c>
      <c r="AL147" s="22">
        <f t="shared" si="112"/>
        <v>631.75682005648298</v>
      </c>
      <c r="AM147" s="62">
        <f t="shared" si="113"/>
        <v>925.09015338981635</v>
      </c>
      <c r="AN147" s="62">
        <f ca="1">AVERAGE(OFFSET($AM$3,0,0,'Données projet'!$E$10+1,1))-AVERAGE(OFFSET($H$3,0,0,'Données projet'!$E$10+1,1))</f>
        <v>318.69447733545013</v>
      </c>
      <c r="AO147" s="62">
        <f t="shared" si="144"/>
        <v>186.33351136372443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4.3563126078913301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1.664266875349034E-6</v>
      </c>
      <c r="AX147" s="23">
        <f t="shared" si="114"/>
        <v>4.3563142721582055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208.99999999999989</v>
      </c>
      <c r="BE147" s="14">
        <f>BD147*VLOOKUP('Données projet'!$B$11,Paramètres!$A$1:$I$89,3,0)*VLOOKUP('Données projet'!$B$11,Paramètres!$A$1:$I$89,5,0)</f>
        <v>211.9259999999999</v>
      </c>
      <c r="BF147" s="14">
        <f t="shared" si="145"/>
        <v>52.356241262970116</v>
      </c>
      <c r="BG147" s="22">
        <f t="shared" si="115"/>
        <v>460.29157019967283</v>
      </c>
      <c r="BH147" s="62">
        <f t="shared" si="116"/>
        <v>753.62490353300609</v>
      </c>
      <c r="BI147" s="62">
        <f ca="1">AVERAGE(OFFSET($BH$3,0,0,'Données projet'!$E$11+1,1))-AVERAGE(OFFSET($H$3,0,0,'Données projet'!$E$11+1,1))</f>
        <v>238.29088076221427</v>
      </c>
      <c r="BJ147" s="62">
        <f t="shared" si="146"/>
        <v>102.64102748467457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9.7646440717091103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9.7646440717091103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41.470000000000105</v>
      </c>
      <c r="D148" s="12">
        <f t="shared" si="140"/>
        <v>12.387448402187639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415.74170696425631</v>
      </c>
      <c r="H148" s="70">
        <f t="shared" si="110"/>
        <v>387.13505596714361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-5.1159076974727213E-13</v>
      </c>
      <c r="O148" s="14">
        <f>N148*VLOOKUP('Données projet'!$B$9,Paramètres!$A$1:$I$89,3,0)*VLOOKUP('Données projet'!$B$9,Paramètres!$A$1:$I$89,5,0)</f>
        <v>-2.3942448024172334E-13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188.51537094662768</v>
      </c>
      <c r="T148" s="62">
        <f t="shared" si="142"/>
        <v>181.95202230446716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47.823633411522223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47.823633411522223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490.00000000000011</v>
      </c>
      <c r="AJ148" s="14">
        <f>AI148*VLOOKUP('Données projet'!$B$10,Paramètres!$A$1:$I$89,3,0)*VLOOKUP('Données projet'!$B$10,Paramètres!$A$1:$I$89,5,0)</f>
        <v>293.0200000000001</v>
      </c>
      <c r="AK148" s="14">
        <f t="shared" si="143"/>
        <v>69.71118854917674</v>
      </c>
      <c r="AL148" s="22">
        <f t="shared" si="112"/>
        <v>631.75682005648298</v>
      </c>
      <c r="AM148" s="62">
        <f t="shared" si="113"/>
        <v>925.09015338981635</v>
      </c>
      <c r="AN148" s="62">
        <f ca="1">AVERAGE(OFFSET($AM$3,0,0,'Données projet'!$E$10+1,1))-AVERAGE(OFFSET($H$3,0,0,'Données projet'!$E$10+1,1))</f>
        <v>318.69447733545013</v>
      </c>
      <c r="AO148" s="62">
        <f t="shared" si="144"/>
        <v>186.33351136372443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4.2708879747389066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1.1768143932634485E-6</v>
      </c>
      <c r="AX148" s="23">
        <f t="shared" si="114"/>
        <v>4.2708891515533001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208.99999999999989</v>
      </c>
      <c r="BE148" s="14">
        <f>BD148*VLOOKUP('Données projet'!$B$11,Paramètres!$A$1:$I$89,3,0)*VLOOKUP('Données projet'!$B$11,Paramètres!$A$1:$I$89,5,0)</f>
        <v>211.9259999999999</v>
      </c>
      <c r="BF148" s="14">
        <f t="shared" si="145"/>
        <v>52.356241262970116</v>
      </c>
      <c r="BG148" s="22">
        <f t="shared" si="115"/>
        <v>460.29157019967283</v>
      </c>
      <c r="BH148" s="62">
        <f t="shared" si="116"/>
        <v>753.62490353300609</v>
      </c>
      <c r="BI148" s="62">
        <f ca="1">AVERAGE(OFFSET($BH$3,0,0,'Données projet'!$E$11+1,1))-AVERAGE(OFFSET($H$3,0,0,'Données projet'!$E$11+1,1))</f>
        <v>238.29088076221427</v>
      </c>
      <c r="BJ148" s="62">
        <f t="shared" si="146"/>
        <v>102.64102748467457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9.5731653573076869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9.5731653573076869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41.756000000000107</v>
      </c>
      <c r="D149" s="12">
        <f t="shared" si="140"/>
        <v>12.462904728569047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418.53189615035848</v>
      </c>
      <c r="H149" s="70">
        <f t="shared" si="110"/>
        <v>387.7645924022579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-5.1159076974727213E-13</v>
      </c>
      <c r="O149" s="14">
        <f>N149*VLOOKUP('Données projet'!$B$9,Paramètres!$A$1:$I$89,3,0)*VLOOKUP('Données projet'!$B$9,Paramètres!$A$1:$I$89,5,0)</f>
        <v>-2.3942448024172334E-13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188.51537094662768</v>
      </c>
      <c r="T149" s="62">
        <f t="shared" si="142"/>
        <v>181.95202230446716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46.885841129858399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46.885841129858399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490.00000000000011</v>
      </c>
      <c r="AJ149" s="14">
        <f>AI149*VLOOKUP('Données projet'!$B$10,Paramètres!$A$1:$I$89,3,0)*VLOOKUP('Données projet'!$B$10,Paramètres!$A$1:$I$89,5,0)</f>
        <v>293.0200000000001</v>
      </c>
      <c r="AK149" s="14">
        <f t="shared" si="143"/>
        <v>69.71118854917674</v>
      </c>
      <c r="AL149" s="22">
        <f t="shared" si="112"/>
        <v>631.75682005648298</v>
      </c>
      <c r="AM149" s="62">
        <f t="shared" si="113"/>
        <v>925.09015338981635</v>
      </c>
      <c r="AN149" s="62">
        <f ca="1">AVERAGE(OFFSET($AM$3,0,0,'Données projet'!$E$10+1,1))-AVERAGE(OFFSET($H$3,0,0,'Données projet'!$E$10+1,1))</f>
        <v>318.69447733545013</v>
      </c>
      <c r="AO149" s="62">
        <f t="shared" si="144"/>
        <v>186.33351136372443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4.1871384665387206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8.3213343767451701E-7</v>
      </c>
      <c r="AX149" s="23">
        <f t="shared" si="114"/>
        <v>4.1871392986721583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208.99999999999989</v>
      </c>
      <c r="BE149" s="14">
        <f>BD149*VLOOKUP('Données projet'!$B$11,Paramètres!$A$1:$I$89,3,0)*VLOOKUP('Données projet'!$B$11,Paramètres!$A$1:$I$89,5,0)</f>
        <v>211.9259999999999</v>
      </c>
      <c r="BF149" s="14">
        <f t="shared" si="145"/>
        <v>52.356241262970116</v>
      </c>
      <c r="BG149" s="22">
        <f t="shared" si="115"/>
        <v>460.29157019967283</v>
      </c>
      <c r="BH149" s="62">
        <f t="shared" si="116"/>
        <v>753.62490353300609</v>
      </c>
      <c r="BI149" s="62">
        <f ca="1">AVERAGE(OFFSET($BH$3,0,0,'Données projet'!$E$11+1,1))-AVERAGE(OFFSET($H$3,0,0,'Données projet'!$E$11+1,1))</f>
        <v>238.29088076221427</v>
      </c>
      <c r="BJ149" s="62">
        <f t="shared" si="146"/>
        <v>102.64102748467457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9.385441423705192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9.385441423705192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42.042000000000108</v>
      </c>
      <c r="D150" s="12">
        <f t="shared" si="140"/>
        <v>12.538300920096203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421.32162113758562</v>
      </c>
      <c r="H150" s="70">
        <f t="shared" si="110"/>
        <v>388.39402410250108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-5.1159076974727213E-13</v>
      </c>
      <c r="O150" s="14">
        <f>N150*VLOOKUP('Données projet'!$B$9,Paramètres!$A$1:$I$89,3,0)*VLOOKUP('Données projet'!$B$9,Paramètres!$A$1:$I$89,5,0)</f>
        <v>-2.3942448024172334E-13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188.51537094662768</v>
      </c>
      <c r="T150" s="62">
        <f t="shared" si="142"/>
        <v>181.95202230446716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45.96643838284119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45.96643838284119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490.00000000000011</v>
      </c>
      <c r="AJ150" s="14">
        <f>AI150*VLOOKUP('Données projet'!$B$10,Paramètres!$A$1:$I$89,3,0)*VLOOKUP('Données projet'!$B$10,Paramètres!$A$1:$I$89,5,0)</f>
        <v>293.0200000000001</v>
      </c>
      <c r="AK150" s="14">
        <f t="shared" si="143"/>
        <v>69.71118854917674</v>
      </c>
      <c r="AL150" s="22">
        <f t="shared" si="112"/>
        <v>631.75682005648298</v>
      </c>
      <c r="AM150" s="62">
        <f t="shared" si="113"/>
        <v>925.09015338981635</v>
      </c>
      <c r="AN150" s="62">
        <f ca="1">AVERAGE(OFFSET($AM$3,0,0,'Données projet'!$E$10+1,1))-AVERAGE(OFFSET($H$3,0,0,'Données projet'!$E$10+1,1))</f>
        <v>318.69447733545013</v>
      </c>
      <c r="AO150" s="62">
        <f t="shared" si="144"/>
        <v>186.33351136372443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4.1050312351121843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5.8840719663172427E-7</v>
      </c>
      <c r="AX150" s="23">
        <f t="shared" si="114"/>
        <v>4.105031823519381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208.99999999999989</v>
      </c>
      <c r="BE150" s="14">
        <f>BD150*VLOOKUP('Données projet'!$B$11,Paramètres!$A$1:$I$89,3,0)*VLOOKUP('Données projet'!$B$11,Paramètres!$A$1:$I$89,5,0)</f>
        <v>211.9259999999999</v>
      </c>
      <c r="BF150" s="14">
        <f t="shared" si="145"/>
        <v>52.356241262970116</v>
      </c>
      <c r="BG150" s="22">
        <f t="shared" si="115"/>
        <v>460.29157019967283</v>
      </c>
      <c r="BH150" s="62">
        <f t="shared" si="116"/>
        <v>753.62490353300609</v>
      </c>
      <c r="BI150" s="62">
        <f ca="1">AVERAGE(OFFSET($BH$3,0,0,'Données projet'!$E$11+1,1))-AVERAGE(OFFSET($H$3,0,0,'Données projet'!$E$11+1,1))</f>
        <v>238.29088076221427</v>
      </c>
      <c r="BJ150" s="62">
        <f t="shared" si="146"/>
        <v>102.64102748467457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9.2013986419403491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9.2013986419403491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42.32800000000011</v>
      </c>
      <c r="D151" s="12">
        <f t="shared" si="140"/>
        <v>12.613637433293039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424.11088544998228</v>
      </c>
      <c r="H151" s="70">
        <f t="shared" si="110"/>
        <v>389.02335186298552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-5.1159076974727213E-13</v>
      </c>
      <c r="O151" s="14">
        <f>N151*VLOOKUP('Données projet'!$B$9,Paramètres!$A$1:$I$89,3,0)*VLOOKUP('Données projet'!$B$9,Paramètres!$A$1:$I$89,5,0)</f>
        <v>-2.3942448024172334E-13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188.51537094662768</v>
      </c>
      <c r="T151" s="62">
        <f t="shared" si="142"/>
        <v>181.95202230446716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45.065064562912688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45.065064562912688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490.00000000000011</v>
      </c>
      <c r="AJ151" s="14">
        <f>AI151*VLOOKUP('Données projet'!$B$10,Paramètres!$A$1:$I$89,3,0)*VLOOKUP('Données projet'!$B$10,Paramètres!$A$1:$I$89,5,0)</f>
        <v>293.0200000000001</v>
      </c>
      <c r="AK151" s="14">
        <f t="shared" si="143"/>
        <v>69.71118854917674</v>
      </c>
      <c r="AL151" s="22">
        <f t="shared" si="112"/>
        <v>631.75682005648298</v>
      </c>
      <c r="AM151" s="62">
        <f t="shared" si="113"/>
        <v>925.09015338981635</v>
      </c>
      <c r="AN151" s="62">
        <f ca="1">AVERAGE(OFFSET($AM$3,0,0,'Données projet'!$E$10+1,1))-AVERAGE(OFFSET($H$3,0,0,'Données projet'!$E$10+1,1))</f>
        <v>318.69447733545013</v>
      </c>
      <c r="AO151" s="62">
        <f t="shared" si="144"/>
        <v>186.33351136372443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4.0245340764134561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4.160667188372585E-7</v>
      </c>
      <c r="AX151" s="23">
        <f t="shared" si="114"/>
        <v>4.0245344924801749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208.99999999999989</v>
      </c>
      <c r="BE151" s="14">
        <f>BD151*VLOOKUP('Données projet'!$B$11,Paramètres!$A$1:$I$89,3,0)*VLOOKUP('Données projet'!$B$11,Paramètres!$A$1:$I$89,5,0)</f>
        <v>211.9259999999999</v>
      </c>
      <c r="BF151" s="14">
        <f t="shared" si="145"/>
        <v>52.356241262970116</v>
      </c>
      <c r="BG151" s="22">
        <f t="shared" si="115"/>
        <v>460.29157019967283</v>
      </c>
      <c r="BH151" s="62">
        <f t="shared" si="116"/>
        <v>753.62490353300609</v>
      </c>
      <c r="BI151" s="62">
        <f ca="1">AVERAGE(OFFSET($BH$3,0,0,'Données projet'!$E$11+1,1))-AVERAGE(OFFSET($H$3,0,0,'Données projet'!$E$11+1,1))</f>
        <v>238.29088076221427</v>
      </c>
      <c r="BJ151" s="62">
        <f t="shared" si="146"/>
        <v>102.64102748467457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9.0209648268709017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9.0209648268709017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42.614000000000111</v>
      </c>
      <c r="D152" s="12">
        <f t="shared" si="140"/>
        <v>12.688914718157594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426.89969256121748</v>
      </c>
      <c r="H152" s="70">
        <f t="shared" si="110"/>
        <v>389.652576467458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-5.1159076974727213E-13</v>
      </c>
      <c r="O152" s="14">
        <f>N152*VLOOKUP('Données projet'!$B$9,Paramètres!$A$1:$I$89,3,0)*VLOOKUP('Données projet'!$B$9,Paramètres!$A$1:$I$89,5,0)</f>
        <v>-2.3942448024172334E-13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188.51537094662768</v>
      </c>
      <c r="T152" s="62">
        <f t="shared" si="142"/>
        <v>181.95202230446716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44.181366133809242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44.181366133809242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490.00000000000011</v>
      </c>
      <c r="AJ152" s="14">
        <f>AI152*VLOOKUP('Données projet'!$B$10,Paramètres!$A$1:$I$89,3,0)*VLOOKUP('Données projet'!$B$10,Paramètres!$A$1:$I$89,5,0)</f>
        <v>293.0200000000001</v>
      </c>
      <c r="AK152" s="14">
        <f t="shared" si="143"/>
        <v>69.71118854917674</v>
      </c>
      <c r="AL152" s="22">
        <f t="shared" si="112"/>
        <v>631.75682005648298</v>
      </c>
      <c r="AM152" s="62">
        <f t="shared" si="113"/>
        <v>925.09015338981635</v>
      </c>
      <c r="AN152" s="62">
        <f ca="1">AVERAGE(OFFSET($AM$3,0,0,'Données projet'!$E$10+1,1))-AVERAGE(OFFSET($H$3,0,0,'Données projet'!$E$10+1,1))</f>
        <v>318.69447733545013</v>
      </c>
      <c r="AO152" s="62">
        <f t="shared" si="144"/>
        <v>186.33351136372443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3.9456154178983911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2.9420359831586214E-7</v>
      </c>
      <c r="AX152" s="23">
        <f t="shared" si="114"/>
        <v>3.9456157121019895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208.99999999999989</v>
      </c>
      <c r="BE152" s="14">
        <f>BD152*VLOOKUP('Données projet'!$B$11,Paramètres!$A$1:$I$89,3,0)*VLOOKUP('Données projet'!$B$11,Paramètres!$A$1:$I$89,5,0)</f>
        <v>211.9259999999999</v>
      </c>
      <c r="BF152" s="14">
        <f t="shared" si="145"/>
        <v>52.356241262970116</v>
      </c>
      <c r="BG152" s="22">
        <f t="shared" si="115"/>
        <v>460.29157019967283</v>
      </c>
      <c r="BH152" s="62">
        <f t="shared" si="116"/>
        <v>753.62490353300609</v>
      </c>
      <c r="BI152" s="62">
        <f ca="1">AVERAGE(OFFSET($BH$3,0,0,'Données projet'!$E$11+1,1))-AVERAGE(OFFSET($H$3,0,0,'Données projet'!$E$11+1,1))</f>
        <v>238.29088076221427</v>
      </c>
      <c r="BJ152" s="62">
        <f t="shared" si="146"/>
        <v>102.64102748467457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8.8440692088612067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8.8440692088612067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42.900000000000112</v>
      </c>
      <c r="D153" s="12">
        <f t="shared" si="140"/>
        <v>12.7641332182985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429.68804589563842</v>
      </c>
      <c r="H153" s="70">
        <f t="shared" si="110"/>
        <v>390.28169868853672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-5.1159076974727213E-13</v>
      </c>
      <c r="O153" s="14">
        <f>N153*VLOOKUP('Données projet'!$B$9,Paramètres!$A$1:$I$89,3,0)*VLOOKUP('Données projet'!$B$9,Paramètres!$A$1:$I$89,5,0)</f>
        <v>-2.3942448024172334E-13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188.51537094662768</v>
      </c>
      <c r="T153" s="62">
        <f t="shared" si="142"/>
        <v>181.95202230446716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43.314996491897695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43.314996491897695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490.00000000000011</v>
      </c>
      <c r="AJ153" s="14">
        <f>AI153*VLOOKUP('Données projet'!$B$10,Paramètres!$A$1:$I$89,3,0)*VLOOKUP('Données projet'!$B$10,Paramètres!$A$1:$I$89,5,0)</f>
        <v>293.0200000000001</v>
      </c>
      <c r="AK153" s="14">
        <f t="shared" si="143"/>
        <v>69.71118854917674</v>
      </c>
      <c r="AL153" s="22">
        <f t="shared" si="112"/>
        <v>631.75682005648298</v>
      </c>
      <c r="AM153" s="62">
        <f t="shared" si="113"/>
        <v>925.09015338981635</v>
      </c>
      <c r="AN153" s="62">
        <f ca="1">AVERAGE(OFFSET($AM$3,0,0,'Données projet'!$E$10+1,1))-AVERAGE(OFFSET($H$3,0,0,'Données projet'!$E$10+1,1))</f>
        <v>318.69447733545013</v>
      </c>
      <c r="AO153" s="62">
        <f t="shared" si="144"/>
        <v>186.33351136372443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3.868244306141178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2.0803335941862925E-7</v>
      </c>
      <c r="AX153" s="23">
        <f t="shared" si="114"/>
        <v>3.8682445141745374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208.99999999999989</v>
      </c>
      <c r="BE153" s="14">
        <f>BD153*VLOOKUP('Données projet'!$B$11,Paramètres!$A$1:$I$89,3,0)*VLOOKUP('Données projet'!$B$11,Paramètres!$A$1:$I$89,5,0)</f>
        <v>211.9259999999999</v>
      </c>
      <c r="BF153" s="14">
        <f t="shared" si="145"/>
        <v>52.356241262970116</v>
      </c>
      <c r="BG153" s="22">
        <f t="shared" si="115"/>
        <v>460.29157019967283</v>
      </c>
      <c r="BH153" s="62">
        <f t="shared" si="116"/>
        <v>753.62490353300609</v>
      </c>
      <c r="BI153" s="62">
        <f ca="1">AVERAGE(OFFSET($BH$3,0,0,'Données projet'!$E$11+1,1))-AVERAGE(OFFSET($H$3,0,0,'Données projet'!$E$11+1,1))</f>
        <v>238.29088076221427</v>
      </c>
      <c r="BJ153" s="62">
        <f t="shared" si="146"/>
        <v>102.64102748467457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8.6706424060250082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8.6706424060250082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43.186000000000114</v>
      </c>
      <c r="D154" s="12">
        <f t="shared" si="140"/>
        <v>12.839293371067646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432.47594882929502</v>
      </c>
      <c r="H154" s="70">
        <f t="shared" si="110"/>
        <v>390.91071928794298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-5.1159076974727213E-13</v>
      </c>
      <c r="O154" s="14">
        <f>N154*VLOOKUP('Données projet'!$B$9,Paramètres!$A$1:$I$89,3,0)*VLOOKUP('Données projet'!$B$9,Paramètres!$A$1:$I$89,5,0)</f>
        <v>-2.3942448024172334E-13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188.51537094662768</v>
      </c>
      <c r="T154" s="62">
        <f t="shared" si="142"/>
        <v>181.95202230446716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42.465615830230732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42.465615830230732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490.00000000000011</v>
      </c>
      <c r="AJ154" s="14">
        <f>AI154*VLOOKUP('Données projet'!$B$10,Paramètres!$A$1:$I$89,3,0)*VLOOKUP('Données projet'!$B$10,Paramètres!$A$1:$I$89,5,0)</f>
        <v>293.0200000000001</v>
      </c>
      <c r="AK154" s="14">
        <f t="shared" ref="AK154:AK203" si="164">EXP(-1.0587+0.8836*LN(AJ154)+0.284)</f>
        <v>69.71118854917674</v>
      </c>
      <c r="AL154" s="22">
        <f t="shared" ref="AL154:AL203" si="165">(AJ154+AK154)*0.475*44/12</f>
        <v>631.75682005648298</v>
      </c>
      <c r="AM154" s="62">
        <f t="shared" si="113"/>
        <v>925.09015338981635</v>
      </c>
      <c r="AN154" s="62">
        <f ca="1">AVERAGE(OFFSET($AM$3,0,0,'Données projet'!$E$10+1,1))-AVERAGE(OFFSET($H$3,0,0,'Données projet'!$E$10+1,1))</f>
        <v>318.69447733545013</v>
      </c>
      <c r="AO154" s="62">
        <f t="shared" si="144"/>
        <v>186.33351136372443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3.7923903946938053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1.4710179915793107E-7</v>
      </c>
      <c r="AX154" s="23">
        <f t="shared" ref="AX154:AX203" si="166">SUM(AU154:AW154)</f>
        <v>3.7923905417956045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208.99999999999989</v>
      </c>
      <c r="BE154" s="14">
        <f>BD154*VLOOKUP('Données projet'!$B$11,Paramètres!$A$1:$I$89,3,0)*VLOOKUP('Données projet'!$B$11,Paramètres!$A$1:$I$89,5,0)</f>
        <v>211.9259999999999</v>
      </c>
      <c r="BF154" s="14">
        <f t="shared" ref="BF154:BF203" si="167">EXP(-1.0587+0.8836*LN(BE154)+0.284)</f>
        <v>52.356241262970116</v>
      </c>
      <c r="BG154" s="22">
        <f t="shared" ref="BG154:BG203" si="168">(BE154+BF154)*0.475*44/12</f>
        <v>460.29157019967283</v>
      </c>
      <c r="BH154" s="62">
        <f t="shared" si="116"/>
        <v>753.62490353300609</v>
      </c>
      <c r="BI154" s="62">
        <f ca="1">AVERAGE(OFFSET($BH$3,0,0,'Données projet'!$E$11+1,1))-AVERAGE(OFFSET($H$3,0,0,'Données projet'!$E$11+1,1))</f>
        <v>238.29088076221427</v>
      </c>
      <c r="BJ154" s="62">
        <f t="shared" si="146"/>
        <v>102.64102748467457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8.5006163970125233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8.5006163970125233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43.472000000000115</v>
      </c>
      <c r="D155" s="12">
        <f t="shared" si="140"/>
        <v>12.914395607689263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435.2634046909356</v>
      </c>
      <c r="H155" s="70">
        <f t="shared" si="110"/>
        <v>391.53963901672563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-5.1159076974727213E-13</v>
      </c>
      <c r="O155" s="14">
        <f>N155*VLOOKUP('Données projet'!$B$9,Paramètres!$A$1:$I$89,3,0)*VLOOKUP('Données projet'!$B$9,Paramètres!$A$1:$I$89,5,0)</f>
        <v>-2.3942448024172334E-13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188.51537094662768</v>
      </c>
      <c r="T155" s="62">
        <f t="shared" si="142"/>
        <v>181.95202230446716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41.632891005268007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41.632891005268007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490.00000000000011</v>
      </c>
      <c r="AJ155" s="14">
        <f>AI155*VLOOKUP('Données projet'!$B$10,Paramètres!$A$1:$I$89,3,0)*VLOOKUP('Données projet'!$B$10,Paramètres!$A$1:$I$89,5,0)</f>
        <v>293.0200000000001</v>
      </c>
      <c r="AK155" s="14">
        <f t="shared" si="164"/>
        <v>69.71118854917674</v>
      </c>
      <c r="AL155" s="22">
        <f t="shared" si="165"/>
        <v>631.75682005648298</v>
      </c>
      <c r="AM155" s="62">
        <f t="shared" si="113"/>
        <v>925.09015338981635</v>
      </c>
      <c r="AN155" s="62">
        <f ca="1">AVERAGE(OFFSET($AM$3,0,0,'Données projet'!$E$10+1,1))-AVERAGE(OFFSET($H$3,0,0,'Données projet'!$E$10+1,1))</f>
        <v>318.69447733545013</v>
      </c>
      <c r="AO155" s="62">
        <f t="shared" si="144"/>
        <v>186.33351136372443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3.7180239321835979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1.0401667970931463E-7</v>
      </c>
      <c r="AX155" s="23">
        <f t="shared" si="166"/>
        <v>3.7180240362002777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208.99999999999989</v>
      </c>
      <c r="BE155" s="14">
        <f>BD155*VLOOKUP('Données projet'!$B$11,Paramètres!$A$1:$I$89,3,0)*VLOOKUP('Données projet'!$B$11,Paramètres!$A$1:$I$89,5,0)</f>
        <v>211.9259999999999</v>
      </c>
      <c r="BF155" s="14">
        <f t="shared" si="167"/>
        <v>52.356241262970116</v>
      </c>
      <c r="BG155" s="22">
        <f t="shared" si="168"/>
        <v>460.29157019967283</v>
      </c>
      <c r="BH155" s="62">
        <f t="shared" si="116"/>
        <v>753.62490353300609</v>
      </c>
      <c r="BI155" s="62">
        <f ca="1">AVERAGE(OFFSET($BH$3,0,0,'Données projet'!$E$11+1,1))-AVERAGE(OFFSET($H$3,0,0,'Données projet'!$E$11+1,1))</f>
        <v>238.29088076221427</v>
      </c>
      <c r="BJ155" s="62">
        <f t="shared" si="146"/>
        <v>102.64102748467457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8.3339244943311463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8.3339244943311463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43.758000000000116</v>
      </c>
      <c r="D156" s="12">
        <f t="shared" si="140"/>
        <v>12.989440353385547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438.05041676297714</v>
      </c>
      <c r="H156" s="70">
        <f t="shared" si="110"/>
        <v>392.16845861548001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-5.1159076974727213E-13</v>
      </c>
      <c r="O156" s="14">
        <f>N156*VLOOKUP('Données projet'!$B$9,Paramètres!$A$1:$I$89,3,0)*VLOOKUP('Données projet'!$B$9,Paramètres!$A$1:$I$89,5,0)</f>
        <v>-2.3942448024172334E-13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188.51537094662768</v>
      </c>
      <c r="T156" s="62">
        <f t="shared" si="142"/>
        <v>181.95202230446716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40.816495406210812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40.816495406210812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490.00000000000011</v>
      </c>
      <c r="AJ156" s="14">
        <f>AI156*VLOOKUP('Données projet'!$B$10,Paramètres!$A$1:$I$89,3,0)*VLOOKUP('Données projet'!$B$10,Paramètres!$A$1:$I$89,5,0)</f>
        <v>293.0200000000001</v>
      </c>
      <c r="AK156" s="14">
        <f t="shared" si="164"/>
        <v>69.71118854917674</v>
      </c>
      <c r="AL156" s="22">
        <f t="shared" si="165"/>
        <v>631.75682005648298</v>
      </c>
      <c r="AM156" s="62">
        <f t="shared" si="113"/>
        <v>925.09015338981635</v>
      </c>
      <c r="AN156" s="62">
        <f ca="1">AVERAGE(OFFSET($AM$3,0,0,'Données projet'!$E$10+1,1))-AVERAGE(OFFSET($H$3,0,0,'Données projet'!$E$10+1,1))</f>
        <v>318.69447733545013</v>
      </c>
      <c r="AO156" s="62">
        <f t="shared" si="144"/>
        <v>186.33351136372443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3.6451157506441523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7.3550899578965534E-8</v>
      </c>
      <c r="AX156" s="23">
        <f t="shared" si="166"/>
        <v>3.6451158241950519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208.99999999999989</v>
      </c>
      <c r="BE156" s="14">
        <f>BD156*VLOOKUP('Données projet'!$B$11,Paramètres!$A$1:$I$89,3,0)*VLOOKUP('Données projet'!$B$11,Paramètres!$A$1:$I$89,5,0)</f>
        <v>211.9259999999999</v>
      </c>
      <c r="BF156" s="14">
        <f t="shared" si="167"/>
        <v>52.356241262970116</v>
      </c>
      <c r="BG156" s="22">
        <f t="shared" si="168"/>
        <v>460.29157019967283</v>
      </c>
      <c r="BH156" s="62">
        <f t="shared" si="116"/>
        <v>753.62490353300609</v>
      </c>
      <c r="BI156" s="62">
        <f ca="1">AVERAGE(OFFSET($BH$3,0,0,'Données projet'!$E$11+1,1))-AVERAGE(OFFSET($H$3,0,0,'Données projet'!$E$11+1,1))</f>
        <v>238.29088076221427</v>
      </c>
      <c r="BJ156" s="62">
        <f t="shared" si="146"/>
        <v>102.64102748467457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8.1705013181893307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8.1705013181893307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44.044000000000118</v>
      </c>
      <c r="D157" s="12">
        <f t="shared" si="140"/>
        <v>13.064428027498822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440.83698828244792</v>
      </c>
      <c r="H157" s="70">
        <f t="shared" si="110"/>
        <v>392.79717881456065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-5.1159076974727213E-13</v>
      </c>
      <c r="O157" s="14">
        <f>N157*VLOOKUP('Données projet'!$B$9,Paramètres!$A$1:$I$89,3,0)*VLOOKUP('Données projet'!$B$9,Paramètres!$A$1:$I$89,5,0)</f>
        <v>-2.3942448024172334E-13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188.51537094662768</v>
      </c>
      <c r="T157" s="62">
        <f t="shared" si="142"/>
        <v>181.95202230446716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40.016108826898979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40.016108826898979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490.00000000000011</v>
      </c>
      <c r="AJ157" s="14">
        <f>AI157*VLOOKUP('Données projet'!$B$10,Paramètres!$A$1:$I$89,3,0)*VLOOKUP('Données projet'!$B$10,Paramètres!$A$1:$I$89,5,0)</f>
        <v>293.0200000000001</v>
      </c>
      <c r="AK157" s="14">
        <f t="shared" si="164"/>
        <v>69.71118854917674</v>
      </c>
      <c r="AL157" s="22">
        <f t="shared" si="165"/>
        <v>631.75682005648298</v>
      </c>
      <c r="AM157" s="62">
        <f t="shared" si="113"/>
        <v>925.09015338981635</v>
      </c>
      <c r="AN157" s="62">
        <f ca="1">AVERAGE(OFFSET($AM$3,0,0,'Données projet'!$E$10+1,1))-AVERAGE(OFFSET($H$3,0,0,'Données projet'!$E$10+1,1))</f>
        <v>318.69447733545013</v>
      </c>
      <c r="AO157" s="62">
        <f t="shared" si="144"/>
        <v>186.33351136372443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3.5736372540750958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5.2008339854657313E-8</v>
      </c>
      <c r="AX157" s="23">
        <f t="shared" si="166"/>
        <v>3.5736373060834357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208.99999999999989</v>
      </c>
      <c r="BE157" s="14">
        <f>BD157*VLOOKUP('Données projet'!$B$11,Paramètres!$A$1:$I$89,3,0)*VLOOKUP('Données projet'!$B$11,Paramètres!$A$1:$I$89,5,0)</f>
        <v>211.9259999999999</v>
      </c>
      <c r="BF157" s="14">
        <f t="shared" si="167"/>
        <v>52.356241262970116</v>
      </c>
      <c r="BG157" s="22">
        <f t="shared" si="168"/>
        <v>460.29157019967283</v>
      </c>
      <c r="BH157" s="62">
        <f t="shared" si="116"/>
        <v>753.62490353300609</v>
      </c>
      <c r="BI157" s="62">
        <f ca="1">AVERAGE(OFFSET($BH$3,0,0,'Données projet'!$E$11+1,1))-AVERAGE(OFFSET($H$3,0,0,'Données projet'!$E$11+1,1))</f>
        <v>238.29088076221427</v>
      </c>
      <c r="BJ157" s="62">
        <f t="shared" si="146"/>
        <v>102.64102748467457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8.0102827708533617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8.0102827708533617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44.330000000000119</v>
      </c>
      <c r="D158" s="12">
        <f t="shared" si="140"/>
        <v>13.139359043610519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443.62312244190667</v>
      </c>
      <c r="H158" s="70">
        <f t="shared" si="110"/>
        <v>393.42580033428851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-5.1159076974727213E-13</v>
      </c>
      <c r="O158" s="14">
        <f>N158*VLOOKUP('Données projet'!$B$9,Paramètres!$A$1:$I$89,3,0)*VLOOKUP('Données projet'!$B$9,Paramètres!$A$1:$I$89,5,0)</f>
        <v>-2.3942448024172334E-13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188.51537094662768</v>
      </c>
      <c r="T158" s="62">
        <f t="shared" si="142"/>
        <v>181.95202230446716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39.231417340219842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39.231417340219842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490.00000000000011</v>
      </c>
      <c r="AJ158" s="14">
        <f>AI158*VLOOKUP('Données projet'!$B$10,Paramètres!$A$1:$I$89,3,0)*VLOOKUP('Données projet'!$B$10,Paramètres!$A$1:$I$89,5,0)</f>
        <v>293.0200000000001</v>
      </c>
      <c r="AK158" s="14">
        <f t="shared" si="164"/>
        <v>69.71118854917674</v>
      </c>
      <c r="AL158" s="22">
        <f t="shared" si="165"/>
        <v>631.75682005648298</v>
      </c>
      <c r="AM158" s="62">
        <f t="shared" si="113"/>
        <v>925.09015338981635</v>
      </c>
      <c r="AN158" s="62">
        <f ca="1">AVERAGE(OFFSET($AM$3,0,0,'Données projet'!$E$10+1,1))-AVERAGE(OFFSET($H$3,0,0,'Données projet'!$E$10+1,1))</f>
        <v>318.69447733545013</v>
      </c>
      <c r="AO158" s="62">
        <f t="shared" si="144"/>
        <v>186.33351136372443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3.5035604072261801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3.6775449789482767E-8</v>
      </c>
      <c r="AX158" s="23">
        <f t="shared" si="166"/>
        <v>3.5035604440016299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208.99999999999989</v>
      </c>
      <c r="BE158" s="14">
        <f>BD158*VLOOKUP('Données projet'!$B$11,Paramètres!$A$1:$I$89,3,0)*VLOOKUP('Données projet'!$B$11,Paramètres!$A$1:$I$89,5,0)</f>
        <v>211.9259999999999</v>
      </c>
      <c r="BF158" s="14">
        <f t="shared" si="167"/>
        <v>52.356241262970116</v>
      </c>
      <c r="BG158" s="22">
        <f t="shared" si="168"/>
        <v>460.29157019967283</v>
      </c>
      <c r="BH158" s="62">
        <f t="shared" si="116"/>
        <v>753.62490353300609</v>
      </c>
      <c r="BI158" s="62">
        <f ca="1">AVERAGE(OFFSET($BH$3,0,0,'Données projet'!$E$11+1,1))-AVERAGE(OFFSET($H$3,0,0,'Données projet'!$E$11+1,1))</f>
        <v>238.29088076221427</v>
      </c>
      <c r="BJ158" s="62">
        <f t="shared" si="146"/>
        <v>102.64102748467457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7.8532060115069857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7.8532060115069857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44.61600000000012</v>
      </c>
      <c r="D159" s="12">
        <f t="shared" si="140"/>
        <v>13.214233809656942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446.40882239033522</v>
      </c>
      <c r="H159" s="70">
        <f t="shared" si="110"/>
        <v>394.05432388515271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-5.1159076974727213E-13</v>
      </c>
      <c r="O159" s="14">
        <f>N159*VLOOKUP('Données projet'!$B$9,Paramètres!$A$1:$I$89,3,0)*VLOOKUP('Données projet'!$B$9,Paramètres!$A$1:$I$89,5,0)</f>
        <v>-2.3942448024172334E-13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188.51537094662768</v>
      </c>
      <c r="T159" s="62">
        <f t="shared" si="142"/>
        <v>181.95202230446716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38.462113174979933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38.462113174979933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490.00000000000011</v>
      </c>
      <c r="AJ159" s="14">
        <f>AI159*VLOOKUP('Données projet'!$B$10,Paramètres!$A$1:$I$89,3,0)*VLOOKUP('Données projet'!$B$10,Paramètres!$A$1:$I$89,5,0)</f>
        <v>293.0200000000001</v>
      </c>
      <c r="AK159" s="14">
        <f t="shared" si="164"/>
        <v>69.71118854917674</v>
      </c>
      <c r="AL159" s="22">
        <f t="shared" si="165"/>
        <v>631.75682005648298</v>
      </c>
      <c r="AM159" s="62">
        <f t="shared" si="113"/>
        <v>925.09015338981635</v>
      </c>
      <c r="AN159" s="62">
        <f ca="1">AVERAGE(OFFSET($AM$3,0,0,'Données projet'!$E$10+1,1))-AVERAGE(OFFSET($H$3,0,0,'Données projet'!$E$10+1,1))</f>
        <v>318.69447733545013</v>
      </c>
      <c r="AO159" s="62">
        <f t="shared" si="144"/>
        <v>186.33351136372443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3.4348577246013159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2.6004169927328656E-8</v>
      </c>
      <c r="AX159" s="23">
        <f t="shared" si="166"/>
        <v>3.4348577506054858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208.99999999999989</v>
      </c>
      <c r="BE159" s="14">
        <f>BD159*VLOOKUP('Données projet'!$B$11,Paramètres!$A$1:$I$89,3,0)*VLOOKUP('Données projet'!$B$11,Paramètres!$A$1:$I$89,5,0)</f>
        <v>211.9259999999999</v>
      </c>
      <c r="BF159" s="14">
        <f t="shared" si="167"/>
        <v>52.356241262970116</v>
      </c>
      <c r="BG159" s="22">
        <f t="shared" si="168"/>
        <v>460.29157019967283</v>
      </c>
      <c r="BH159" s="62">
        <f t="shared" si="116"/>
        <v>753.62490353300609</v>
      </c>
      <c r="BI159" s="62">
        <f ca="1">AVERAGE(OFFSET($BH$3,0,0,'Données projet'!$E$11+1,1))-AVERAGE(OFFSET($H$3,0,0,'Données projet'!$E$11+1,1))</f>
        <v>238.29088076221427</v>
      </c>
      <c r="BJ159" s="62">
        <f t="shared" si="146"/>
        <v>102.64102748467457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7.6992094316040296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7.6992094316040296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44.902000000000122</v>
      </c>
      <c r="D160" s="12">
        <f t="shared" si="140"/>
        <v>13.289052728042028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449.19409123400965</v>
      </c>
      <c r="H160" s="70">
        <f t="shared" si="110"/>
        <v>394.68275016800675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-5.1159076974727213E-13</v>
      </c>
      <c r="O160" s="14">
        <f>N160*VLOOKUP('Données projet'!$B$9,Paramètres!$A$1:$I$89,3,0)*VLOOKUP('Données projet'!$B$9,Paramètres!$A$1:$I$89,5,0)</f>
        <v>-2.3942448024172334E-13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188.51537094662768</v>
      </c>
      <c r="T160" s="62">
        <f t="shared" si="142"/>
        <v>181.95202230446716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37.707894595191171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37.707894595191171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490.00000000000011</v>
      </c>
      <c r="AJ160" s="14">
        <f>AI160*VLOOKUP('Données projet'!$B$10,Paramètres!$A$1:$I$89,3,0)*VLOOKUP('Données projet'!$B$10,Paramètres!$A$1:$I$89,5,0)</f>
        <v>293.0200000000001</v>
      </c>
      <c r="AK160" s="14">
        <f t="shared" si="164"/>
        <v>69.71118854917674</v>
      </c>
      <c r="AL160" s="22">
        <f t="shared" si="165"/>
        <v>631.75682005648298</v>
      </c>
      <c r="AM160" s="62">
        <f t="shared" si="113"/>
        <v>925.09015338981635</v>
      </c>
      <c r="AN160" s="62">
        <f ca="1">AVERAGE(OFFSET($AM$3,0,0,'Données projet'!$E$10+1,1))-AVERAGE(OFFSET($H$3,0,0,'Données projet'!$E$10+1,1))</f>
        <v>318.69447733545013</v>
      </c>
      <c r="AO160" s="62">
        <f t="shared" si="144"/>
        <v>186.33351136372443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3.3675022596782265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1.8387724894741383E-8</v>
      </c>
      <c r="AX160" s="23">
        <f t="shared" si="166"/>
        <v>3.3675022780659511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208.99999999999989</v>
      </c>
      <c r="BE160" s="14">
        <f>BD160*VLOOKUP('Données projet'!$B$11,Paramètres!$A$1:$I$89,3,0)*VLOOKUP('Données projet'!$B$11,Paramètres!$A$1:$I$89,5,0)</f>
        <v>211.9259999999999</v>
      </c>
      <c r="BF160" s="14">
        <f t="shared" si="167"/>
        <v>52.356241262970116</v>
      </c>
      <c r="BG160" s="22">
        <f t="shared" si="168"/>
        <v>460.29157019967283</v>
      </c>
      <c r="BH160" s="62">
        <f t="shared" si="116"/>
        <v>753.62490353300609</v>
      </c>
      <c r="BI160" s="62">
        <f ca="1">AVERAGE(OFFSET($BH$3,0,0,'Données projet'!$E$11+1,1))-AVERAGE(OFFSET($H$3,0,0,'Données projet'!$E$11+1,1))</f>
        <v>238.29088076221427</v>
      </c>
      <c r="BJ160" s="62">
        <f t="shared" si="146"/>
        <v>102.64102748467457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7.548232630704331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7.548232630704331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45.188000000000123</v>
      </c>
      <c r="D161" s="12">
        <f t="shared" si="140"/>
        <v>13.363816195747093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451.97893203734696</v>
      </c>
      <c r="H161" s="70">
        <f t="shared" si="110"/>
        <v>395.31107987425969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-5.1159076974727213E-13</v>
      </c>
      <c r="O161" s="14">
        <f>N161*VLOOKUP('Données projet'!$B$9,Paramètres!$A$1:$I$89,3,0)*VLOOKUP('Données projet'!$B$9,Paramètres!$A$1:$I$89,5,0)</f>
        <v>-2.3942448024172334E-13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188.51537094662768</v>
      </c>
      <c r="T161" s="62">
        <f t="shared" si="142"/>
        <v>181.95202230446716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36.968465781724156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36.968465781724156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490.00000000000011</v>
      </c>
      <c r="AJ161" s="14">
        <f>AI161*VLOOKUP('Données projet'!$B$10,Paramètres!$A$1:$I$89,3,0)*VLOOKUP('Données projet'!$B$10,Paramètres!$A$1:$I$89,5,0)</f>
        <v>293.0200000000001</v>
      </c>
      <c r="AK161" s="14">
        <f t="shared" si="164"/>
        <v>69.71118854917674</v>
      </c>
      <c r="AL161" s="22">
        <f t="shared" si="165"/>
        <v>631.75682005648298</v>
      </c>
      <c r="AM161" s="62">
        <f t="shared" si="113"/>
        <v>925.09015338981635</v>
      </c>
      <c r="AN161" s="62">
        <f ca="1">AVERAGE(OFFSET($AM$3,0,0,'Données projet'!$E$10+1,1))-AVERAGE(OFFSET($H$3,0,0,'Données projet'!$E$10+1,1))</f>
        <v>318.69447733545013</v>
      </c>
      <c r="AO161" s="62">
        <f t="shared" si="144"/>
        <v>186.33351136372443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3.3014675943395018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1.3002084963664328E-8</v>
      </c>
      <c r="AX161" s="23">
        <f t="shared" si="166"/>
        <v>3.3014676073415865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208.99999999999989</v>
      </c>
      <c r="BE161" s="14">
        <f>BD161*VLOOKUP('Données projet'!$B$11,Paramètres!$A$1:$I$89,3,0)*VLOOKUP('Données projet'!$B$11,Paramètres!$A$1:$I$89,5,0)</f>
        <v>211.9259999999999</v>
      </c>
      <c r="BF161" s="14">
        <f t="shared" si="167"/>
        <v>52.356241262970116</v>
      </c>
      <c r="BG161" s="22">
        <f t="shared" si="168"/>
        <v>460.29157019967283</v>
      </c>
      <c r="BH161" s="62">
        <f t="shared" si="116"/>
        <v>753.62490353300609</v>
      </c>
      <c r="BI161" s="62">
        <f ca="1">AVERAGE(OFFSET($BH$3,0,0,'Données projet'!$E$11+1,1))-AVERAGE(OFFSET($H$3,0,0,'Données projet'!$E$11+1,1))</f>
        <v>238.29088076221427</v>
      </c>
      <c r="BJ161" s="62">
        <f t="shared" si="146"/>
        <v>102.64102748467457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7.4002163927835198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7.4002163927835198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45.474000000000125</v>
      </c>
      <c r="D162" s="12">
        <f t="shared" si="140"/>
        <v>13.438524604437768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454.76334782373107</v>
      </c>
      <c r="H162" s="70">
        <f t="shared" si="110"/>
        <v>395.93931368606263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-5.1159076974727213E-13</v>
      </c>
      <c r="O162" s="14">
        <f>N162*VLOOKUP('Données projet'!$B$9,Paramètres!$A$1:$I$89,3,0)*VLOOKUP('Données projet'!$B$9,Paramètres!$A$1:$I$89,5,0)</f>
        <v>-2.3942448024172334E-13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188.51537094662768</v>
      </c>
      <c r="T162" s="62">
        <f t="shared" si="142"/>
        <v>181.95202230446716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36.243536716282186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36.243536716282186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490.00000000000011</v>
      </c>
      <c r="AJ162" s="14">
        <f>AI162*VLOOKUP('Données projet'!$B$10,Paramètres!$A$1:$I$89,3,0)*VLOOKUP('Données projet'!$B$10,Paramètres!$A$1:$I$89,5,0)</f>
        <v>293.0200000000001</v>
      </c>
      <c r="AK162" s="14">
        <f t="shared" si="164"/>
        <v>69.71118854917674</v>
      </c>
      <c r="AL162" s="22">
        <f t="shared" si="165"/>
        <v>631.75682005648298</v>
      </c>
      <c r="AM162" s="62">
        <f t="shared" si="113"/>
        <v>925.09015338981635</v>
      </c>
      <c r="AN162" s="62">
        <f ca="1">AVERAGE(OFFSET($AM$3,0,0,'Données projet'!$E$10+1,1))-AVERAGE(OFFSET($H$3,0,0,'Données projet'!$E$10+1,1))</f>
        <v>318.69447733545013</v>
      </c>
      <c r="AO162" s="62">
        <f t="shared" si="144"/>
        <v>186.33351136372443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3.2367278285109005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9.1938624473706917E-9</v>
      </c>
      <c r="AX162" s="23">
        <f t="shared" si="166"/>
        <v>3.236727837704763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208.99999999999989</v>
      </c>
      <c r="BE162" s="14">
        <f>BD162*VLOOKUP('Données projet'!$B$11,Paramètres!$A$1:$I$89,3,0)*VLOOKUP('Données projet'!$B$11,Paramètres!$A$1:$I$89,5,0)</f>
        <v>211.9259999999999</v>
      </c>
      <c r="BF162" s="14">
        <f t="shared" si="167"/>
        <v>52.356241262970116</v>
      </c>
      <c r="BG162" s="22">
        <f t="shared" si="168"/>
        <v>460.29157019967283</v>
      </c>
      <c r="BH162" s="62">
        <f t="shared" si="116"/>
        <v>753.62490353300609</v>
      </c>
      <c r="BI162" s="62">
        <f ca="1">AVERAGE(OFFSET($BH$3,0,0,'Données projet'!$E$11+1,1))-AVERAGE(OFFSET($H$3,0,0,'Données projet'!$E$11+1,1))</f>
        <v>238.29088076221427</v>
      </c>
      <c r="BJ162" s="62">
        <f t="shared" si="146"/>
        <v>102.64102748467457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7.255102663007345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7.255102663007345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45.760000000000126</v>
      </c>
      <c r="D163" s="12">
        <f t="shared" si="140"/>
        <v>13.513178340568167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457.54734157631668</v>
      </c>
      <c r="H163" s="70">
        <f t="shared" si="110"/>
        <v>396.56745227648975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-5.1159076974727213E-13</v>
      </c>
      <c r="O163" s="14">
        <f>N163*VLOOKUP('Données projet'!$B$9,Paramètres!$A$1:$I$89,3,0)*VLOOKUP('Données projet'!$B$9,Paramètres!$A$1:$I$89,5,0)</f>
        <v>-2.3942448024172334E-13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188.51537094662768</v>
      </c>
      <c r="T163" s="62">
        <f t="shared" si="142"/>
        <v>181.95202230446716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35.532823067650469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35.532823067650469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490.00000000000011</v>
      </c>
      <c r="AJ163" s="14">
        <f>AI163*VLOOKUP('Données projet'!$B$10,Paramètres!$A$1:$I$89,3,0)*VLOOKUP('Données projet'!$B$10,Paramètres!$A$1:$I$89,5,0)</f>
        <v>293.0200000000001</v>
      </c>
      <c r="AK163" s="14">
        <f t="shared" si="164"/>
        <v>69.71118854917674</v>
      </c>
      <c r="AL163" s="22">
        <f t="shared" si="165"/>
        <v>631.75682005648298</v>
      </c>
      <c r="AM163" s="62">
        <f t="shared" si="113"/>
        <v>925.09015338981635</v>
      </c>
      <c r="AN163" s="62">
        <f ca="1">AVERAGE(OFFSET($AM$3,0,0,'Données projet'!$E$10+1,1))-AVERAGE(OFFSET($H$3,0,0,'Données projet'!$E$10+1,1))</f>
        <v>318.69447733545013</v>
      </c>
      <c r="AO163" s="62">
        <f t="shared" si="144"/>
        <v>186.33351136372443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3.17325757000284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6.5010424818321641E-9</v>
      </c>
      <c r="AX163" s="23">
        <f t="shared" si="166"/>
        <v>3.1732575765038824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208.99999999999989</v>
      </c>
      <c r="BE163" s="14">
        <f>BD163*VLOOKUP('Données projet'!$B$11,Paramètres!$A$1:$I$89,3,0)*VLOOKUP('Données projet'!$B$11,Paramètres!$A$1:$I$89,5,0)</f>
        <v>211.9259999999999</v>
      </c>
      <c r="BF163" s="14">
        <f t="shared" si="167"/>
        <v>52.356241262970116</v>
      </c>
      <c r="BG163" s="22">
        <f t="shared" si="168"/>
        <v>460.29157019967283</v>
      </c>
      <c r="BH163" s="62">
        <f t="shared" si="116"/>
        <v>753.62490353300609</v>
      </c>
      <c r="BI163" s="62">
        <f ca="1">AVERAGE(OFFSET($BH$3,0,0,'Données projet'!$E$11+1,1))-AVERAGE(OFFSET($H$3,0,0,'Données projet'!$E$11+1,1))</f>
        <v>238.29088076221427</v>
      </c>
      <c r="BJ163" s="62">
        <f t="shared" si="146"/>
        <v>102.64102748467457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7.1128345249614453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7.1128345249614453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46.046000000000127</v>
      </c>
      <c r="D164" s="12">
        <f t="shared" si="140"/>
        <v>13.587777785482322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460.33091623881188</v>
      </c>
      <c r="H164" s="70">
        <f t="shared" si="110"/>
        <v>397.19549630971522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-5.1159076974727213E-13</v>
      </c>
      <c r="O164" s="14">
        <f>N164*VLOOKUP('Données projet'!$B$9,Paramètres!$A$1:$I$89,3,0)*VLOOKUP('Données projet'!$B$9,Paramètres!$A$1:$I$89,5,0)</f>
        <v>-2.3942448024172334E-13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188.51537094662768</v>
      </c>
      <c r="T164" s="62">
        <f t="shared" si="142"/>
        <v>181.95202230446716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34.836046080175898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34.836046080175898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490.00000000000011</v>
      </c>
      <c r="AJ164" s="14">
        <f>AI164*VLOOKUP('Données projet'!$B$10,Paramètres!$A$1:$I$89,3,0)*VLOOKUP('Données projet'!$B$10,Paramètres!$A$1:$I$89,5,0)</f>
        <v>293.0200000000001</v>
      </c>
      <c r="AK164" s="14">
        <f t="shared" si="164"/>
        <v>69.71118854917674</v>
      </c>
      <c r="AL164" s="22">
        <f t="shared" si="165"/>
        <v>631.75682005648298</v>
      </c>
      <c r="AM164" s="62">
        <f t="shared" si="113"/>
        <v>925.09015338981635</v>
      </c>
      <c r="AN164" s="62">
        <f ca="1">AVERAGE(OFFSET($AM$3,0,0,'Données projet'!$E$10+1,1))-AVERAGE(OFFSET($H$3,0,0,'Données projet'!$E$10+1,1))</f>
        <v>318.69447733545013</v>
      </c>
      <c r="AO164" s="62">
        <f t="shared" si="144"/>
        <v>186.33351136372443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3.1110319245510878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4.5969312236853459E-9</v>
      </c>
      <c r="AX164" s="23">
        <f t="shared" si="166"/>
        <v>3.1110319291480191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208.99999999999989</v>
      </c>
      <c r="BE164" s="14">
        <f>BD164*VLOOKUP('Données projet'!$B$11,Paramètres!$A$1:$I$89,3,0)*VLOOKUP('Données projet'!$B$11,Paramètres!$A$1:$I$89,5,0)</f>
        <v>211.9259999999999</v>
      </c>
      <c r="BF164" s="14">
        <f t="shared" si="167"/>
        <v>52.356241262970116</v>
      </c>
      <c r="BG164" s="22">
        <f t="shared" si="168"/>
        <v>460.29157019967283</v>
      </c>
      <c r="BH164" s="62">
        <f t="shared" si="116"/>
        <v>753.62490353300609</v>
      </c>
      <c r="BI164" s="62">
        <f ca="1">AVERAGE(OFFSET($BH$3,0,0,'Données projet'!$E$11+1,1))-AVERAGE(OFFSET($H$3,0,0,'Données projet'!$E$11+1,1))</f>
        <v>238.29088076221427</v>
      </c>
      <c r="BJ164" s="62">
        <f t="shared" si="146"/>
        <v>102.64102748467457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6.9733561783276299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6.9733561783276299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46.332000000000129</v>
      </c>
      <c r="D165" s="12">
        <f t="shared" si="140"/>
        <v>13.662323315513092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463.11407471624238</v>
      </c>
      <c r="H165" s="70">
        <f t="shared" si="110"/>
        <v>397.82344644118552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-5.1159076974727213E-13</v>
      </c>
      <c r="O165" s="14">
        <f>N165*VLOOKUP('Données projet'!$B$9,Paramètres!$A$1:$I$89,3,0)*VLOOKUP('Données projet'!$B$9,Paramètres!$A$1:$I$89,5,0)</f>
        <v>-2.3942448024172334E-13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188.51537094662768</v>
      </c>
      <c r="T165" s="62">
        <f t="shared" si="142"/>
        <v>181.95202230446716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34.152932464433704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34.152932464433704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490.00000000000011</v>
      </c>
      <c r="AJ165" s="14">
        <f>AI165*VLOOKUP('Données projet'!$B$10,Paramètres!$A$1:$I$89,3,0)*VLOOKUP('Données projet'!$B$10,Paramètres!$A$1:$I$89,5,0)</f>
        <v>293.0200000000001</v>
      </c>
      <c r="AK165" s="14">
        <f t="shared" si="164"/>
        <v>69.71118854917674</v>
      </c>
      <c r="AL165" s="22">
        <f t="shared" si="165"/>
        <v>631.75682005648298</v>
      </c>
      <c r="AM165" s="62">
        <f t="shared" si="113"/>
        <v>925.09015338981635</v>
      </c>
      <c r="AN165" s="62">
        <f ca="1">AVERAGE(OFFSET($AM$3,0,0,'Données projet'!$E$10+1,1))-AVERAGE(OFFSET($H$3,0,0,'Données projet'!$E$10+1,1))</f>
        <v>318.69447733545013</v>
      </c>
      <c r="AO165" s="62">
        <f t="shared" si="144"/>
        <v>186.33351136372443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3.0500264860527482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3.2505212409160821E-9</v>
      </c>
      <c r="AX165" s="23">
        <f t="shared" si="166"/>
        <v>3.0500264893032694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208.99999999999989</v>
      </c>
      <c r="BE165" s="14">
        <f>BD165*VLOOKUP('Données projet'!$B$11,Paramètres!$A$1:$I$89,3,0)*VLOOKUP('Données projet'!$B$11,Paramètres!$A$1:$I$89,5,0)</f>
        <v>211.9259999999999</v>
      </c>
      <c r="BF165" s="14">
        <f t="shared" si="167"/>
        <v>52.356241262970116</v>
      </c>
      <c r="BG165" s="22">
        <f t="shared" si="168"/>
        <v>460.29157019967283</v>
      </c>
      <c r="BH165" s="62">
        <f t="shared" si="116"/>
        <v>753.62490353300609</v>
      </c>
      <c r="BI165" s="62">
        <f ca="1">AVERAGE(OFFSET($BH$3,0,0,'Données projet'!$E$11+1,1))-AVERAGE(OFFSET($H$3,0,0,'Données projet'!$E$11+1,1))</f>
        <v>238.29088076221427</v>
      </c>
      <c r="BJ165" s="62">
        <f t="shared" si="146"/>
        <v>102.64102748467457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6.8366129169979128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6.8366129169979128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46.61800000000013</v>
      </c>
      <c r="D166" s="12">
        <f t="shared" si="140"/>
        <v>13.736815302078517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465.8968198756948</v>
      </c>
      <c r="H166" s="70">
        <f t="shared" si="110"/>
        <v>398.45130331778694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-5.1159076974727213E-13</v>
      </c>
      <c r="O166" s="14">
        <f>N166*VLOOKUP('Données projet'!$B$9,Paramètres!$A$1:$I$89,3,0)*VLOOKUP('Données projet'!$B$9,Paramètres!$A$1:$I$89,5,0)</f>
        <v>-2.3942448024172334E-13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188.51537094662768</v>
      </c>
      <c r="T166" s="62">
        <f t="shared" si="142"/>
        <v>181.95202230446716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33.483214290038049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33.483214290038049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490.00000000000011</v>
      </c>
      <c r="AJ166" s="14">
        <f>AI166*VLOOKUP('Données projet'!$B$10,Paramètres!$A$1:$I$89,3,0)*VLOOKUP('Données projet'!$B$10,Paramètres!$A$1:$I$89,5,0)</f>
        <v>293.0200000000001</v>
      </c>
      <c r="AK166" s="14">
        <f t="shared" si="164"/>
        <v>69.71118854917674</v>
      </c>
      <c r="AL166" s="22">
        <f t="shared" si="165"/>
        <v>631.75682005648298</v>
      </c>
      <c r="AM166" s="62">
        <f t="shared" si="113"/>
        <v>925.09015338981635</v>
      </c>
      <c r="AN166" s="62">
        <f ca="1">AVERAGE(OFFSET($AM$3,0,0,'Données projet'!$E$10+1,1))-AVERAGE(OFFSET($H$3,0,0,'Données projet'!$E$10+1,1))</f>
        <v>318.69447733545013</v>
      </c>
      <c r="AO166" s="62">
        <f t="shared" si="144"/>
        <v>186.33351136372443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2.9902173269937178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2.2984656118426729E-9</v>
      </c>
      <c r="AX166" s="23">
        <f t="shared" si="166"/>
        <v>2.9902173292921832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208.99999999999989</v>
      </c>
      <c r="BE166" s="14">
        <f>BD166*VLOOKUP('Données projet'!$B$11,Paramètres!$A$1:$I$89,3,0)*VLOOKUP('Données projet'!$B$11,Paramètres!$A$1:$I$89,5,0)</f>
        <v>211.9259999999999</v>
      </c>
      <c r="BF166" s="14">
        <f t="shared" si="167"/>
        <v>52.356241262970116</v>
      </c>
      <c r="BG166" s="22">
        <f t="shared" si="168"/>
        <v>460.29157019967283</v>
      </c>
      <c r="BH166" s="62">
        <f t="shared" si="116"/>
        <v>753.62490353300609</v>
      </c>
      <c r="BI166" s="62">
        <f ca="1">AVERAGE(OFFSET($BH$3,0,0,'Données projet'!$E$11+1,1))-AVERAGE(OFFSET($H$3,0,0,'Données projet'!$E$11+1,1))</f>
        <v>238.29088076221427</v>
      </c>
      <c r="BJ166" s="62">
        <f t="shared" si="146"/>
        <v>102.64102748467457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6.7025511076177171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6.7025511076177171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46.904000000000131</v>
      </c>
      <c r="D167" s="12">
        <f t="shared" si="140"/>
        <v>13.81125411177578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468.67915454704212</v>
      </c>
      <c r="H167" s="70">
        <f t="shared" si="110"/>
        <v>399.0790675780097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-5.1159076974727213E-13</v>
      </c>
      <c r="O167" s="14">
        <f>N167*VLOOKUP('Données projet'!$B$9,Paramètres!$A$1:$I$89,3,0)*VLOOKUP('Données projet'!$B$9,Paramètres!$A$1:$I$89,5,0)</f>
        <v>-2.3942448024172334E-13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188.51537094662768</v>
      </c>
      <c r="T167" s="62">
        <f t="shared" si="142"/>
        <v>181.95202230446716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32.826628880554544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32.826628880554544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490.00000000000011</v>
      </c>
      <c r="AJ167" s="14">
        <f>AI167*VLOOKUP('Données projet'!$B$10,Paramètres!$A$1:$I$89,3,0)*VLOOKUP('Données projet'!$B$10,Paramètres!$A$1:$I$89,5,0)</f>
        <v>293.0200000000001</v>
      </c>
      <c r="AK167" s="14">
        <f t="shared" si="164"/>
        <v>69.71118854917674</v>
      </c>
      <c r="AL167" s="22">
        <f t="shared" si="165"/>
        <v>631.75682005648298</v>
      </c>
      <c r="AM167" s="62">
        <f t="shared" si="113"/>
        <v>925.09015338981635</v>
      </c>
      <c r="AN167" s="62">
        <f ca="1">AVERAGE(OFFSET($AM$3,0,0,'Données projet'!$E$10+1,1))-AVERAGE(OFFSET($H$3,0,0,'Données projet'!$E$10+1,1))</f>
        <v>318.69447733545013</v>
      </c>
      <c r="AO167" s="62">
        <f t="shared" si="144"/>
        <v>186.33351136372443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2.9315809890638498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1.625260620458041E-9</v>
      </c>
      <c r="AX167" s="23">
        <f t="shared" si="166"/>
        <v>2.9315809906891106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208.99999999999989</v>
      </c>
      <c r="BE167" s="14">
        <f>BD167*VLOOKUP('Données projet'!$B$11,Paramètres!$A$1:$I$89,3,0)*VLOOKUP('Données projet'!$B$11,Paramètres!$A$1:$I$89,5,0)</f>
        <v>211.9259999999999</v>
      </c>
      <c r="BF167" s="14">
        <f t="shared" si="167"/>
        <v>52.356241262970116</v>
      </c>
      <c r="BG167" s="22">
        <f t="shared" si="168"/>
        <v>460.29157019967283</v>
      </c>
      <c r="BH167" s="62">
        <f t="shared" si="116"/>
        <v>753.62490353300609</v>
      </c>
      <c r="BI167" s="62">
        <f ca="1">AVERAGE(OFFSET($BH$3,0,0,'Données projet'!$E$11+1,1))-AVERAGE(OFFSET($H$3,0,0,'Données projet'!$E$11+1,1))</f>
        <v>238.29088076221427</v>
      </c>
      <c r="BJ167" s="62">
        <f t="shared" si="146"/>
        <v>102.64102748467457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6.5711181685498374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6.5711181685498374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47.190000000000133</v>
      </c>
      <c r="D168" s="12">
        <f t="shared" si="140"/>
        <v>13.885640106472724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471.46108152365014</v>
      </c>
      <c r="H168" s="70">
        <f t="shared" si="110"/>
        <v>399.70673985210686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-5.1159076974727213E-13</v>
      </c>
      <c r="O168" s="14">
        <f>N168*VLOOKUP('Données projet'!$B$9,Paramètres!$A$1:$I$89,3,0)*VLOOKUP('Données projet'!$B$9,Paramètres!$A$1:$I$89,5,0)</f>
        <v>-2.3942448024172334E-13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188.51537094662768</v>
      </c>
      <c r="T168" s="62">
        <f t="shared" si="142"/>
        <v>181.95202230446716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32.182918710473452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32.182918710473452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490.00000000000011</v>
      </c>
      <c r="AJ168" s="14">
        <f>AI168*VLOOKUP('Données projet'!$B$10,Paramètres!$A$1:$I$89,3,0)*VLOOKUP('Données projet'!$B$10,Paramètres!$A$1:$I$89,5,0)</f>
        <v>293.0200000000001</v>
      </c>
      <c r="AK168" s="14">
        <f t="shared" si="164"/>
        <v>69.71118854917674</v>
      </c>
      <c r="AL168" s="22">
        <f t="shared" si="165"/>
        <v>631.75682005648298</v>
      </c>
      <c r="AM168" s="62">
        <f t="shared" si="113"/>
        <v>925.09015338981635</v>
      </c>
      <c r="AN168" s="62">
        <f ca="1">AVERAGE(OFFSET($AM$3,0,0,'Données projet'!$E$10+1,1))-AVERAGE(OFFSET($H$3,0,0,'Données projet'!$E$10+1,1))</f>
        <v>318.69447733545013</v>
      </c>
      <c r="AO168" s="62">
        <f t="shared" si="144"/>
        <v>186.33351136372443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2.874094473956152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1.1492328059213365E-9</v>
      </c>
      <c r="AX168" s="23">
        <f t="shared" si="166"/>
        <v>2.8740944751053847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208.99999999999989</v>
      </c>
      <c r="BE168" s="14">
        <f>BD168*VLOOKUP('Données projet'!$B$11,Paramètres!$A$1:$I$89,3,0)*VLOOKUP('Données projet'!$B$11,Paramètres!$A$1:$I$89,5,0)</f>
        <v>211.9259999999999</v>
      </c>
      <c r="BF168" s="14">
        <f t="shared" si="167"/>
        <v>52.356241262970116</v>
      </c>
      <c r="BG168" s="22">
        <f t="shared" si="168"/>
        <v>460.29157019967283</v>
      </c>
      <c r="BH168" s="62">
        <f t="shared" si="116"/>
        <v>753.62490353300609</v>
      </c>
      <c r="BI168" s="62">
        <f ca="1">AVERAGE(OFFSET($BH$3,0,0,'Données projet'!$E$11+1,1))-AVERAGE(OFFSET($H$3,0,0,'Données projet'!$E$11+1,1))</f>
        <v>238.29088076221427</v>
      </c>
      <c r="BJ168" s="62">
        <f t="shared" si="146"/>
        <v>102.64102748467457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6.442262549250902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6.442262549250902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47.476000000000134</v>
      </c>
      <c r="D169" s="12">
        <f t="shared" si="140"/>
        <v>13.959973643397223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474.24260356306735</v>
      </c>
      <c r="H169" s="70">
        <f t="shared" si="110"/>
        <v>400.3343207622504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-5.1159076974727213E-13</v>
      </c>
      <c r="O169" s="14">
        <f>N169*VLOOKUP('Données projet'!$B$9,Paramètres!$A$1:$I$89,3,0)*VLOOKUP('Données projet'!$B$9,Paramètres!$A$1:$I$89,5,0)</f>
        <v>-2.3942448024172334E-13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188.51537094662768</v>
      </c>
      <c r="T169" s="62">
        <f t="shared" si="142"/>
        <v>181.95202230446716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31.551831304203215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31.551831304203215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490.00000000000011</v>
      </c>
      <c r="AJ169" s="14">
        <f>AI169*VLOOKUP('Données projet'!$B$10,Paramètres!$A$1:$I$89,3,0)*VLOOKUP('Données projet'!$B$10,Paramètres!$A$1:$I$89,5,0)</f>
        <v>293.0200000000001</v>
      </c>
      <c r="AK169" s="14">
        <f t="shared" si="164"/>
        <v>69.71118854917674</v>
      </c>
      <c r="AL169" s="22">
        <f t="shared" si="165"/>
        <v>631.75682005648298</v>
      </c>
      <c r="AM169" s="62">
        <f t="shared" si="113"/>
        <v>925.09015338981635</v>
      </c>
      <c r="AN169" s="62">
        <f ca="1">AVERAGE(OFFSET($AM$3,0,0,'Données projet'!$E$10+1,1))-AVERAGE(OFFSET($H$3,0,0,'Données projet'!$E$10+1,1))</f>
        <v>318.69447733545013</v>
      </c>
      <c r="AO169" s="62">
        <f t="shared" si="144"/>
        <v>186.33351136372443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2.8177352343464044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8.1263031022902051E-10</v>
      </c>
      <c r="AX169" s="23">
        <f t="shared" si="166"/>
        <v>2.8177352351590348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208.99999999999989</v>
      </c>
      <c r="BE169" s="14">
        <f>BD169*VLOOKUP('Données projet'!$B$11,Paramètres!$A$1:$I$89,3,0)*VLOOKUP('Données projet'!$B$11,Paramètres!$A$1:$I$89,5,0)</f>
        <v>211.9259999999999</v>
      </c>
      <c r="BF169" s="14">
        <f t="shared" si="167"/>
        <v>52.356241262970116</v>
      </c>
      <c r="BG169" s="22">
        <f t="shared" si="168"/>
        <v>460.29157019967283</v>
      </c>
      <c r="BH169" s="62">
        <f t="shared" si="116"/>
        <v>753.62490353300609</v>
      </c>
      <c r="BI169" s="62">
        <f ca="1">AVERAGE(OFFSET($BH$3,0,0,'Données projet'!$E$11+1,1))-AVERAGE(OFFSET($H$3,0,0,'Données projet'!$E$11+1,1))</f>
        <v>238.29088076221427</v>
      </c>
      <c r="BJ169" s="62">
        <f t="shared" si="146"/>
        <v>102.64102748467457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6.3159337100522519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6.3159337100522519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47.762000000000135</v>
      </c>
      <c r="D170" s="12">
        <f t="shared" si="140"/>
        <v>14.034255075224227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477.02372338769692</v>
      </c>
      <c r="H170" s="70">
        <f t="shared" si="110"/>
        <v>400.96181092268239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-5.1159076974727213E-13</v>
      </c>
      <c r="O170" s="14">
        <f>N170*VLOOKUP('Données projet'!$B$9,Paramètres!$A$1:$I$89,3,0)*VLOOKUP('Données projet'!$B$9,Paramètres!$A$1:$I$89,5,0)</f>
        <v>-2.3942448024172334E-13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188.51537094662768</v>
      </c>
      <c r="T170" s="62">
        <f t="shared" si="142"/>
        <v>181.95202230446716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30.933119137044628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30.933119137044628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490.00000000000011</v>
      </c>
      <c r="AJ170" s="14">
        <f>AI170*VLOOKUP('Données projet'!$B$10,Paramètres!$A$1:$I$89,3,0)*VLOOKUP('Données projet'!$B$10,Paramètres!$A$1:$I$89,5,0)</f>
        <v>293.0200000000001</v>
      </c>
      <c r="AK170" s="14">
        <f t="shared" si="164"/>
        <v>69.71118854917674</v>
      </c>
      <c r="AL170" s="22">
        <f t="shared" si="165"/>
        <v>631.75682005648298</v>
      </c>
      <c r="AM170" s="62">
        <f t="shared" si="113"/>
        <v>925.09015338981635</v>
      </c>
      <c r="AN170" s="62">
        <f ca="1">AVERAGE(OFFSET($AM$3,0,0,'Données projet'!$E$10+1,1))-AVERAGE(OFFSET($H$3,0,0,'Données projet'!$E$10+1,1))</f>
        <v>318.69447733545013</v>
      </c>
      <c r="AO170" s="62">
        <f t="shared" si="144"/>
        <v>186.33351136372443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2.7624811650496617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5.7461640296066823E-10</v>
      </c>
      <c r="AX170" s="23">
        <f t="shared" si="166"/>
        <v>2.762481165624278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208.99999999999989</v>
      </c>
      <c r="BE170" s="14">
        <f>BD170*VLOOKUP('Données projet'!$B$11,Paramètres!$A$1:$I$89,3,0)*VLOOKUP('Données projet'!$B$11,Paramètres!$A$1:$I$89,5,0)</f>
        <v>211.9259999999999</v>
      </c>
      <c r="BF170" s="14">
        <f t="shared" si="167"/>
        <v>52.356241262970116</v>
      </c>
      <c r="BG170" s="22">
        <f t="shared" si="168"/>
        <v>460.29157019967283</v>
      </c>
      <c r="BH170" s="62">
        <f t="shared" si="116"/>
        <v>753.62490353300609</v>
      </c>
      <c r="BI170" s="62">
        <f ca="1">AVERAGE(OFFSET($BH$3,0,0,'Données projet'!$E$11+1,1))-AVERAGE(OFFSET($H$3,0,0,'Données projet'!$E$11+1,1))</f>
        <v>238.29088076221427</v>
      </c>
      <c r="BJ170" s="62">
        <f t="shared" si="146"/>
        <v>102.64102748467457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6.1920821023373032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6.1920821023373032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48.048000000000137</v>
      </c>
      <c r="D171" s="12">
        <f t="shared" si="140"/>
        <v>14.10848475016066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479.80444368545182</v>
      </c>
      <c r="H171" s="70">
        <f t="shared" si="110"/>
        <v>401.58921093986339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-5.1159076974727213E-13</v>
      </c>
      <c r="O171" s="14">
        <f>N171*VLOOKUP('Données projet'!$B$9,Paramètres!$A$1:$I$89,3,0)*VLOOKUP('Données projet'!$B$9,Paramètres!$A$1:$I$89,5,0)</f>
        <v>-2.3942448024172334E-13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188.51537094662768</v>
      </c>
      <c r="T171" s="62">
        <f t="shared" si="142"/>
        <v>181.95202230446716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30.326539538106861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30.326539538106861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490.00000000000011</v>
      </c>
      <c r="AJ171" s="14">
        <f>AI171*VLOOKUP('Données projet'!$B$10,Paramètres!$A$1:$I$89,3,0)*VLOOKUP('Données projet'!$B$10,Paramètres!$A$1:$I$89,5,0)</f>
        <v>293.0200000000001</v>
      </c>
      <c r="AK171" s="14">
        <f t="shared" si="164"/>
        <v>69.71118854917674</v>
      </c>
      <c r="AL171" s="22">
        <f t="shared" si="165"/>
        <v>631.75682005648298</v>
      </c>
      <c r="AM171" s="62">
        <f t="shared" si="113"/>
        <v>925.09015338981635</v>
      </c>
      <c r="AN171" s="62">
        <f ca="1">AVERAGE(OFFSET($AM$3,0,0,'Données projet'!$E$10+1,1))-AVERAGE(OFFSET($H$3,0,0,'Données projet'!$E$10+1,1))</f>
        <v>318.69447733545013</v>
      </c>
      <c r="AO171" s="62">
        <f t="shared" si="144"/>
        <v>186.33351136372443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2.708310594350174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4.0631515511451026E-10</v>
      </c>
      <c r="AX171" s="23">
        <f t="shared" si="166"/>
        <v>2.7083105947564889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208.99999999999989</v>
      </c>
      <c r="BE171" s="14">
        <f>BD171*VLOOKUP('Données projet'!$B$11,Paramètres!$A$1:$I$89,3,0)*VLOOKUP('Données projet'!$B$11,Paramètres!$A$1:$I$89,5,0)</f>
        <v>211.9259999999999</v>
      </c>
      <c r="BF171" s="14">
        <f t="shared" si="167"/>
        <v>52.356241262970116</v>
      </c>
      <c r="BG171" s="22">
        <f t="shared" si="168"/>
        <v>460.29157019967283</v>
      </c>
      <c r="BH171" s="62">
        <f t="shared" si="116"/>
        <v>753.62490353300609</v>
      </c>
      <c r="BI171" s="62">
        <f ca="1">AVERAGE(OFFSET($BH$3,0,0,'Données projet'!$E$11+1,1))-AVERAGE(OFFSET($H$3,0,0,'Données projet'!$E$11+1,1))</f>
        <v>238.29088076221427</v>
      </c>
      <c r="BJ171" s="62">
        <f t="shared" si="146"/>
        <v>102.64102748467457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6.0706591491076232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6.0706591491076232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48.334000000000138</v>
      </c>
      <c r="D172" s="12">
        <f t="shared" si="140"/>
        <v>14.182663012028332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482.58476711039521</v>
      </c>
      <c r="H172" s="70">
        <f t="shared" si="110"/>
        <v>402.21652141261626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-5.1159076974727213E-13</v>
      </c>
      <c r="O172" s="14">
        <f>N172*VLOOKUP('Données projet'!$B$9,Paramètres!$A$1:$I$89,3,0)*VLOOKUP('Données projet'!$B$9,Paramètres!$A$1:$I$89,5,0)</f>
        <v>-2.3942448024172334E-13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188.51537094662768</v>
      </c>
      <c r="T172" s="62">
        <f t="shared" si="142"/>
        <v>181.95202230446716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29.731854595127242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29.731854595127242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490.00000000000011</v>
      </c>
      <c r="AJ172" s="14">
        <f>AI172*VLOOKUP('Données projet'!$B$10,Paramètres!$A$1:$I$89,3,0)*VLOOKUP('Données projet'!$B$10,Paramètres!$A$1:$I$89,5,0)</f>
        <v>293.0200000000001</v>
      </c>
      <c r="AK172" s="14">
        <f t="shared" si="164"/>
        <v>69.71118854917674</v>
      </c>
      <c r="AL172" s="22">
        <f t="shared" si="165"/>
        <v>631.75682005648298</v>
      </c>
      <c r="AM172" s="62">
        <f t="shared" si="113"/>
        <v>925.09015338981635</v>
      </c>
      <c r="AN172" s="62">
        <f ca="1">AVERAGE(OFFSET($AM$3,0,0,'Données projet'!$E$10+1,1))-AVERAGE(OFFSET($H$3,0,0,'Données projet'!$E$10+1,1))</f>
        <v>318.69447733545013</v>
      </c>
      <c r="AO172" s="62">
        <f t="shared" si="144"/>
        <v>186.33351136372443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2.6552022755013174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2.8730820148033412E-10</v>
      </c>
      <c r="AX172" s="23">
        <f t="shared" si="166"/>
        <v>2.6552022757886258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208.99999999999989</v>
      </c>
      <c r="BE172" s="14">
        <f>BD172*VLOOKUP('Données projet'!$B$11,Paramètres!$A$1:$I$89,3,0)*VLOOKUP('Données projet'!$B$11,Paramètres!$A$1:$I$89,5,0)</f>
        <v>211.9259999999999</v>
      </c>
      <c r="BF172" s="14">
        <f t="shared" si="167"/>
        <v>52.356241262970116</v>
      </c>
      <c r="BG172" s="22">
        <f t="shared" si="168"/>
        <v>460.29157019967283</v>
      </c>
      <c r="BH172" s="62">
        <f t="shared" si="116"/>
        <v>753.62490353300609</v>
      </c>
      <c r="BI172" s="62">
        <f ca="1">AVERAGE(OFFSET($BH$3,0,0,'Données projet'!$E$11+1,1))-AVERAGE(OFFSET($H$3,0,0,'Données projet'!$E$11+1,1))</f>
        <v>238.29088076221427</v>
      </c>
      <c r="BJ172" s="62">
        <f t="shared" si="146"/>
        <v>102.64102748467457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5.9516172259300886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5.9516172259300886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48.62000000000014</v>
      </c>
      <c r="D173" s="12">
        <f t="shared" si="140"/>
        <v>14.256790200344776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485.36469628336425</v>
      </c>
      <c r="H173" s="70">
        <f t="shared" si="110"/>
        <v>402.84374293226739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-5.1159076974727213E-13</v>
      </c>
      <c r="O173" s="14">
        <f>N173*VLOOKUP('Données projet'!$B$9,Paramètres!$A$1:$I$89,3,0)*VLOOKUP('Données projet'!$B$9,Paramètres!$A$1:$I$89,5,0)</f>
        <v>-2.3942448024172334E-13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188.51537094662768</v>
      </c>
      <c r="T173" s="62">
        <f t="shared" si="142"/>
        <v>181.95202230446716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29.148831061157452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29.148831061157452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490.00000000000011</v>
      </c>
      <c r="AJ173" s="14">
        <f>AI173*VLOOKUP('Données projet'!$B$10,Paramètres!$A$1:$I$89,3,0)*VLOOKUP('Données projet'!$B$10,Paramètres!$A$1:$I$89,5,0)</f>
        <v>293.0200000000001</v>
      </c>
      <c r="AK173" s="14">
        <f t="shared" si="164"/>
        <v>69.71118854917674</v>
      </c>
      <c r="AL173" s="22">
        <f t="shared" si="165"/>
        <v>631.75682005648298</v>
      </c>
      <c r="AM173" s="62">
        <f t="shared" si="113"/>
        <v>925.09015338981635</v>
      </c>
      <c r="AN173" s="62">
        <f ca="1">AVERAGE(OFFSET($AM$3,0,0,'Données projet'!$E$10+1,1))-AVERAGE(OFFSET($H$3,0,0,'Données projet'!$E$10+1,1))</f>
        <v>318.69447733545013</v>
      </c>
      <c r="AO173" s="62">
        <f t="shared" si="144"/>
        <v>186.33351136372443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2.6031353783922109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2.0315757755725513E-10</v>
      </c>
      <c r="AX173" s="23">
        <f t="shared" si="166"/>
        <v>2.6031353785953684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208.99999999999989</v>
      </c>
      <c r="BE173" s="14">
        <f>BD173*VLOOKUP('Données projet'!$B$11,Paramètres!$A$1:$I$89,3,0)*VLOOKUP('Données projet'!$B$11,Paramètres!$A$1:$I$89,5,0)</f>
        <v>211.9259999999999</v>
      </c>
      <c r="BF173" s="14">
        <f t="shared" si="167"/>
        <v>52.356241262970116</v>
      </c>
      <c r="BG173" s="22">
        <f t="shared" si="168"/>
        <v>460.29157019967283</v>
      </c>
      <c r="BH173" s="62">
        <f t="shared" si="116"/>
        <v>753.62490353300609</v>
      </c>
      <c r="BI173" s="62">
        <f ca="1">AVERAGE(OFFSET($BH$3,0,0,'Données projet'!$E$11+1,1))-AVERAGE(OFFSET($H$3,0,0,'Données projet'!$E$11+1,1))</f>
        <v>238.29088076221427</v>
      </c>
      <c r="BJ173" s="62">
        <f t="shared" si="146"/>
        <v>102.64102748467457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5.8349096422576618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5.8349096422576618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48.906000000000141</v>
      </c>
      <c r="D174" s="12">
        <f t="shared" si="140"/>
        <v>14.330866650402065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488.14423379257846</v>
      </c>
      <c r="H174" s="70">
        <f t="shared" si="110"/>
        <v>403.47087608278383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-5.1159076974727213E-13</v>
      </c>
      <c r="O174" s="14">
        <f>N174*VLOOKUP('Données projet'!$B$9,Paramètres!$A$1:$I$89,3,0)*VLOOKUP('Données projet'!$B$9,Paramètres!$A$1:$I$89,5,0)</f>
        <v>-2.3942448024172334E-13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188.51537094662768</v>
      </c>
      <c r="T174" s="62">
        <f t="shared" si="142"/>
        <v>181.95202230446716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28.577240263079567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28.577240263079567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490.00000000000011</v>
      </c>
      <c r="AJ174" s="14">
        <f>AI174*VLOOKUP('Données projet'!$B$10,Paramètres!$A$1:$I$89,3,0)*VLOOKUP('Données projet'!$B$10,Paramètres!$A$1:$I$89,5,0)</f>
        <v>293.0200000000001</v>
      </c>
      <c r="AK174" s="14">
        <f t="shared" si="164"/>
        <v>69.71118854917674</v>
      </c>
      <c r="AL174" s="22">
        <f t="shared" si="165"/>
        <v>631.75682005648298</v>
      </c>
      <c r="AM174" s="62">
        <f t="shared" si="113"/>
        <v>925.09015338981635</v>
      </c>
      <c r="AN174" s="62">
        <f ca="1">AVERAGE(OFFSET($AM$3,0,0,'Données projet'!$E$10+1,1))-AVERAGE(OFFSET($H$3,0,0,'Données projet'!$E$10+1,1))</f>
        <v>318.69447733545013</v>
      </c>
      <c r="AO174" s="62">
        <f t="shared" si="144"/>
        <v>186.33351136372443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2.5520894813777426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1.4365410074016706E-10</v>
      </c>
      <c r="AX174" s="23">
        <f t="shared" si="166"/>
        <v>2.5520894815213966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208.99999999999989</v>
      </c>
      <c r="BE174" s="14">
        <f>BD174*VLOOKUP('Données projet'!$B$11,Paramètres!$A$1:$I$89,3,0)*VLOOKUP('Données projet'!$B$11,Paramètres!$A$1:$I$89,5,0)</f>
        <v>211.9259999999999</v>
      </c>
      <c r="BF174" s="14">
        <f t="shared" si="167"/>
        <v>52.356241262970116</v>
      </c>
      <c r="BG174" s="22">
        <f t="shared" si="168"/>
        <v>460.29157019967283</v>
      </c>
      <c r="BH174" s="62">
        <f t="shared" si="116"/>
        <v>753.62490353300609</v>
      </c>
      <c r="BI174" s="62">
        <f ca="1">AVERAGE(OFFSET($BH$3,0,0,'Données projet'!$E$11+1,1))-AVERAGE(OFFSET($H$3,0,0,'Données projet'!$E$11+1,1))</f>
        <v>238.29088076221427</v>
      </c>
      <c r="BJ174" s="62">
        <f t="shared" si="146"/>
        <v>102.64102748467457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5.7204906231164543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5.7204906231164543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49.192000000000142</v>
      </c>
      <c r="D175" s="12">
        <f t="shared" si="140"/>
        <v>14.404892693343857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490.92338219423442</v>
      </c>
      <c r="H175" s="70">
        <f t="shared" si="110"/>
        <v>404.09792144090744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-5.1159076974727213E-13</v>
      </c>
      <c r="O175" s="14">
        <f>N175*VLOOKUP('Données projet'!$B$9,Paramètres!$A$1:$I$89,3,0)*VLOOKUP('Données projet'!$B$9,Paramètres!$A$1:$I$89,5,0)</f>
        <v>-2.3942448024172334E-13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188.51537094662768</v>
      </c>
      <c r="T175" s="62">
        <f t="shared" si="142"/>
        <v>181.95202230446716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28.016858011916028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28.016858011916028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490.00000000000011</v>
      </c>
      <c r="AJ175" s="14">
        <f>AI175*VLOOKUP('Données projet'!$B$10,Paramètres!$A$1:$I$89,3,0)*VLOOKUP('Données projet'!$B$10,Paramètres!$A$1:$I$89,5,0)</f>
        <v>293.0200000000001</v>
      </c>
      <c r="AK175" s="14">
        <f t="shared" si="164"/>
        <v>69.71118854917674</v>
      </c>
      <c r="AL175" s="22">
        <f t="shared" si="165"/>
        <v>631.75682005648298</v>
      </c>
      <c r="AM175" s="62">
        <f t="shared" si="113"/>
        <v>925.09015338981635</v>
      </c>
      <c r="AN175" s="62">
        <f ca="1">AVERAGE(OFFSET($AM$3,0,0,'Données projet'!$E$10+1,1))-AVERAGE(OFFSET($H$3,0,0,'Données projet'!$E$10+1,1))</f>
        <v>318.69447733545013</v>
      </c>
      <c r="AO175" s="62">
        <f t="shared" si="144"/>
        <v>186.33351136372443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2.5020445632688051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1.0157878877862756E-10</v>
      </c>
      <c r="AX175" s="23">
        <f t="shared" si="166"/>
        <v>2.5020445633703838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208.99999999999989</v>
      </c>
      <c r="BE175" s="14">
        <f>BD175*VLOOKUP('Données projet'!$B$11,Paramètres!$A$1:$I$89,3,0)*VLOOKUP('Données projet'!$B$11,Paramètres!$A$1:$I$89,5,0)</f>
        <v>211.9259999999999</v>
      </c>
      <c r="BF175" s="14">
        <f t="shared" si="167"/>
        <v>52.356241262970116</v>
      </c>
      <c r="BG175" s="22">
        <f t="shared" si="168"/>
        <v>460.29157019967283</v>
      </c>
      <c r="BH175" s="62">
        <f t="shared" si="116"/>
        <v>753.62490353300609</v>
      </c>
      <c r="BI175" s="62">
        <f ca="1">AVERAGE(OFFSET($BH$3,0,0,'Données projet'!$E$11+1,1))-AVERAGE(OFFSET($H$3,0,0,'Données projet'!$E$11+1,1))</f>
        <v>238.29088076221427</v>
      </c>
      <c r="BJ175" s="62">
        <f t="shared" si="146"/>
        <v>102.64102748467457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5.6083152911518956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5.6083152911518956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49.478000000000144</v>
      </c>
      <c r="D176" s="12">
        <f t="shared" si="140"/>
        <v>14.478868656240522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493.70214401308584</v>
      </c>
      <c r="H176" s="70">
        <f t="shared" si="110"/>
        <v>404.72487957628579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-5.1159076974727213E-13</v>
      </c>
      <c r="O176" s="14">
        <f>N176*VLOOKUP('Données projet'!$B$9,Paramètres!$A$1:$I$89,3,0)*VLOOKUP('Données projet'!$B$9,Paramètres!$A$1:$I$89,5,0)</f>
        <v>-2.3942448024172334E-13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188.51537094662768</v>
      </c>
      <c r="T176" s="62">
        <f t="shared" si="142"/>
        <v>181.95202230446716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27.467464514898385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27.467464514898385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490.00000000000011</v>
      </c>
      <c r="AJ176" s="14">
        <f>AI176*VLOOKUP('Données projet'!$B$10,Paramètres!$A$1:$I$89,3,0)*VLOOKUP('Données projet'!$B$10,Paramètres!$A$1:$I$89,5,0)</f>
        <v>293.0200000000001</v>
      </c>
      <c r="AK176" s="14">
        <f t="shared" si="164"/>
        <v>69.71118854917674</v>
      </c>
      <c r="AL176" s="22">
        <f t="shared" si="165"/>
        <v>631.75682005648298</v>
      </c>
      <c r="AM176" s="62">
        <f t="shared" si="113"/>
        <v>925.09015338981635</v>
      </c>
      <c r="AN176" s="62">
        <f ca="1">AVERAGE(OFFSET($AM$3,0,0,'Données projet'!$E$10+1,1))-AVERAGE(OFFSET($H$3,0,0,'Données projet'!$E$10+1,1))</f>
        <v>318.69447733545013</v>
      </c>
      <c r="AO176" s="62">
        <f t="shared" si="144"/>
        <v>186.33351136372443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2.452980995479598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7.1827050370083529E-11</v>
      </c>
      <c r="AX176" s="23">
        <f t="shared" si="166"/>
        <v>2.452980995551425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208.99999999999989</v>
      </c>
      <c r="BE176" s="14">
        <f>BD176*VLOOKUP('Données projet'!$B$11,Paramètres!$A$1:$I$89,3,0)*VLOOKUP('Données projet'!$B$11,Paramètres!$A$1:$I$89,5,0)</f>
        <v>211.9259999999999</v>
      </c>
      <c r="BF176" s="14">
        <f t="shared" si="167"/>
        <v>52.356241262970116</v>
      </c>
      <c r="BG176" s="22">
        <f t="shared" si="168"/>
        <v>460.29157019967283</v>
      </c>
      <c r="BH176" s="62">
        <f t="shared" si="116"/>
        <v>753.62490353300609</v>
      </c>
      <c r="BI176" s="62">
        <f ca="1">AVERAGE(OFFSET($BH$3,0,0,'Données projet'!$E$11+1,1))-AVERAGE(OFFSET($H$3,0,0,'Données projet'!$E$11+1,1))</f>
        <v>238.29088076221427</v>
      </c>
      <c r="BJ176" s="62">
        <f t="shared" si="146"/>
        <v>102.64102748467457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5.4983396490269651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5.4983396490269651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49.764000000000145</v>
      </c>
      <c r="D177" s="12">
        <f t="shared" si="140"/>
        <v>14.552794862162466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496.48052174300966</v>
      </c>
      <c r="H177" s="70">
        <f t="shared" si="110"/>
        <v>405.35175105159988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-5.1159076974727213E-13</v>
      </c>
      <c r="O177" s="14">
        <f>N177*VLOOKUP('Données projet'!$B$9,Paramètres!$A$1:$I$89,3,0)*VLOOKUP('Données projet'!$B$9,Paramètres!$A$1:$I$89,5,0)</f>
        <v>-2.3942448024172334E-13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188.51537094662768</v>
      </c>
      <c r="T177" s="62">
        <f t="shared" si="142"/>
        <v>181.95202230446716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26.928844289260311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26.928844289260311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490.00000000000011</v>
      </c>
      <c r="AJ177" s="14">
        <f>AI177*VLOOKUP('Données projet'!$B$10,Paramètres!$A$1:$I$89,3,0)*VLOOKUP('Données projet'!$B$10,Paramètres!$A$1:$I$89,5,0)</f>
        <v>293.0200000000001</v>
      </c>
      <c r="AK177" s="14">
        <f t="shared" si="164"/>
        <v>69.71118854917674</v>
      </c>
      <c r="AL177" s="22">
        <f t="shared" si="165"/>
        <v>631.75682005648298</v>
      </c>
      <c r="AM177" s="62">
        <f t="shared" si="113"/>
        <v>925.09015338981635</v>
      </c>
      <c r="AN177" s="62">
        <f ca="1">AVERAGE(OFFSET($AM$3,0,0,'Données projet'!$E$10+1,1))-AVERAGE(OFFSET($H$3,0,0,'Données projet'!$E$10+1,1))</f>
        <v>318.69447733545013</v>
      </c>
      <c r="AO177" s="62">
        <f t="shared" si="144"/>
        <v>186.33351136372443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2.4048795343289155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5.0789394389313782E-11</v>
      </c>
      <c r="AX177" s="23">
        <f t="shared" si="166"/>
        <v>2.4048795343797051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208.99999999999989</v>
      </c>
      <c r="BE177" s="14">
        <f>BD177*VLOOKUP('Données projet'!$B$11,Paramètres!$A$1:$I$89,3,0)*VLOOKUP('Données projet'!$B$11,Paramètres!$A$1:$I$89,5,0)</f>
        <v>211.9259999999999</v>
      </c>
      <c r="BF177" s="14">
        <f t="shared" si="167"/>
        <v>52.356241262970116</v>
      </c>
      <c r="BG177" s="22">
        <f t="shared" si="168"/>
        <v>460.29157019967283</v>
      </c>
      <c r="BH177" s="62">
        <f t="shared" si="116"/>
        <v>753.62490353300609</v>
      </c>
      <c r="BI177" s="62">
        <f ca="1">AVERAGE(OFFSET($BH$3,0,0,'Données projet'!$E$11+1,1))-AVERAGE(OFFSET($H$3,0,0,'Données projet'!$E$11+1,1))</f>
        <v>238.29088076221427</v>
      </c>
      <c r="BJ177" s="62">
        <f t="shared" si="146"/>
        <v>102.64102748467457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5.3905205621655865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5.3905205621655865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50.050000000000146</v>
      </c>
      <c r="D178" s="12">
        <f t="shared" si="140"/>
        <v>14.626671630251787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499.25851784755878</v>
      </c>
      <c r="H178" s="70">
        <f t="shared" si="110"/>
        <v>405.97853642268876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-5.1159076974727213E-13</v>
      </c>
      <c r="O178" s="14">
        <f>N178*VLOOKUP('Données projet'!$B$9,Paramètres!$A$1:$I$89,3,0)*VLOOKUP('Données projet'!$B$9,Paramètres!$A$1:$I$89,5,0)</f>
        <v>-2.3942448024172334E-13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188.51537094662768</v>
      </c>
      <c r="T178" s="62">
        <f t="shared" si="142"/>
        <v>181.95202230446716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26.400786077721101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26.400786077721101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490.00000000000011</v>
      </c>
      <c r="AJ178" s="14">
        <f>AI178*VLOOKUP('Données projet'!$B$10,Paramètres!$A$1:$I$89,3,0)*VLOOKUP('Données projet'!$B$10,Paramètres!$A$1:$I$89,5,0)</f>
        <v>293.0200000000001</v>
      </c>
      <c r="AK178" s="14">
        <f t="shared" si="164"/>
        <v>69.71118854917674</v>
      </c>
      <c r="AL178" s="22">
        <f t="shared" si="165"/>
        <v>631.75682005648298</v>
      </c>
      <c r="AM178" s="62">
        <f t="shared" si="113"/>
        <v>925.09015338981635</v>
      </c>
      <c r="AN178" s="62">
        <f ca="1">AVERAGE(OFFSET($AM$3,0,0,'Données projet'!$E$10+1,1))-AVERAGE(OFFSET($H$3,0,0,'Données projet'!$E$10+1,1))</f>
        <v>318.69447733545013</v>
      </c>
      <c r="AO178" s="62">
        <f t="shared" si="144"/>
        <v>186.33351136372443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2.3577213134924038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3.5913525185041765E-11</v>
      </c>
      <c r="AX178" s="23">
        <f t="shared" si="166"/>
        <v>2.3577213135283173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208.99999999999989</v>
      </c>
      <c r="BE178" s="14">
        <f>BD178*VLOOKUP('Données projet'!$B$11,Paramètres!$A$1:$I$89,3,0)*VLOOKUP('Données projet'!$B$11,Paramètres!$A$1:$I$89,5,0)</f>
        <v>211.9259999999999</v>
      </c>
      <c r="BF178" s="14">
        <f t="shared" si="167"/>
        <v>52.356241262970116</v>
      </c>
      <c r="BG178" s="22">
        <f t="shared" si="168"/>
        <v>460.29157019967283</v>
      </c>
      <c r="BH178" s="62">
        <f t="shared" si="116"/>
        <v>753.62490353300609</v>
      </c>
      <c r="BI178" s="62">
        <f ca="1">AVERAGE(OFFSET($BH$3,0,0,'Données projet'!$E$11+1,1))-AVERAGE(OFFSET($H$3,0,0,'Données projet'!$E$11+1,1))</f>
        <v>238.29088076221427</v>
      </c>
      <c r="BJ178" s="62">
        <f t="shared" si="146"/>
        <v>102.64102748467457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5.2848157418344099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5.2848157418344099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50.336000000000148</v>
      </c>
      <c r="D179" s="12">
        <f t="shared" si="140"/>
        <v>14.700499275792177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502.03613476050214</v>
      </c>
      <c r="H179" s="70">
        <f t="shared" si="110"/>
        <v>406.60523623867164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-5.1159076974727213E-13</v>
      </c>
      <c r="O179" s="14">
        <f>N179*VLOOKUP('Données projet'!$B$9,Paramètres!$A$1:$I$89,3,0)*VLOOKUP('Données projet'!$B$9,Paramètres!$A$1:$I$89,5,0)</f>
        <v>-2.3942448024172334E-13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188.51537094662768</v>
      </c>
      <c r="T179" s="62">
        <f t="shared" si="142"/>
        <v>181.95202230446716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25.883082765626469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25.883082765626469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490.00000000000011</v>
      </c>
      <c r="AJ179" s="14">
        <f>AI179*VLOOKUP('Données projet'!$B$10,Paramètres!$A$1:$I$89,3,0)*VLOOKUP('Données projet'!$B$10,Paramètres!$A$1:$I$89,5,0)</f>
        <v>293.0200000000001</v>
      </c>
      <c r="AK179" s="14">
        <f t="shared" si="164"/>
        <v>69.71118854917674</v>
      </c>
      <c r="AL179" s="22">
        <f t="shared" si="165"/>
        <v>631.75682005648298</v>
      </c>
      <c r="AM179" s="62">
        <f t="shared" si="113"/>
        <v>925.09015338981635</v>
      </c>
      <c r="AN179" s="62">
        <f ca="1">AVERAGE(OFFSET($AM$3,0,0,'Données projet'!$E$10+1,1))-AVERAGE(OFFSET($H$3,0,0,'Données projet'!$E$10+1,1))</f>
        <v>318.69447733545013</v>
      </c>
      <c r="AO179" s="62">
        <f t="shared" si="144"/>
        <v>186.33351136372443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2.3114878366028218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2.5394697194656891E-11</v>
      </c>
      <c r="AX179" s="23">
        <f t="shared" si="166"/>
        <v>2.3114878366282166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208.99999999999989</v>
      </c>
      <c r="BE179" s="14">
        <f>BD179*VLOOKUP('Données projet'!$B$11,Paramètres!$A$1:$I$89,3,0)*VLOOKUP('Données projet'!$B$11,Paramètres!$A$1:$I$89,5,0)</f>
        <v>211.9259999999999</v>
      </c>
      <c r="BF179" s="14">
        <f t="shared" si="167"/>
        <v>52.356241262970116</v>
      </c>
      <c r="BG179" s="22">
        <f t="shared" si="168"/>
        <v>460.29157019967283</v>
      </c>
      <c r="BH179" s="62">
        <f t="shared" si="116"/>
        <v>753.62490353300609</v>
      </c>
      <c r="BI179" s="62">
        <f ca="1">AVERAGE(OFFSET($BH$3,0,0,'Données projet'!$E$11+1,1))-AVERAGE(OFFSET($H$3,0,0,'Données projet'!$E$11+1,1))</f>
        <v>238.29088076221427</v>
      </c>
      <c r="BJ179" s="62">
        <f t="shared" si="146"/>
        <v>102.64102748467457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5.1811837285563538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5.1811837285563538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50.622000000000149</v>
      </c>
      <c r="D180" s="12">
        <f t="shared" si="140"/>
        <v>14.774278110277228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504.81337488635177</v>
      </c>
      <c r="H180" s="70">
        <f t="shared" si="110"/>
        <v>407.23185104206641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-5.1159076974727213E-13</v>
      </c>
      <c r="O180" s="14">
        <f>N180*VLOOKUP('Données projet'!$B$9,Paramètres!$A$1:$I$89,3,0)*VLOOKUP('Données projet'!$B$9,Paramètres!$A$1:$I$89,5,0)</f>
        <v>-2.3942448024172334E-13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188.51537094662768</v>
      </c>
      <c r="T180" s="62">
        <f t="shared" si="142"/>
        <v>181.95202230446716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25.375531299714172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25.375531299714172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490.00000000000011</v>
      </c>
      <c r="AJ180" s="14">
        <f>AI180*VLOOKUP('Données projet'!$B$10,Paramètres!$A$1:$I$89,3,0)*VLOOKUP('Données projet'!$B$10,Paramètres!$A$1:$I$89,5,0)</f>
        <v>293.0200000000001</v>
      </c>
      <c r="AK180" s="14">
        <f t="shared" si="164"/>
        <v>69.71118854917674</v>
      </c>
      <c r="AL180" s="22">
        <f t="shared" si="165"/>
        <v>631.75682005648298</v>
      </c>
      <c r="AM180" s="62">
        <f t="shared" si="113"/>
        <v>925.09015338981635</v>
      </c>
      <c r="AN180" s="62">
        <f ca="1">AVERAGE(OFFSET($AM$3,0,0,'Données projet'!$E$10+1,1))-AVERAGE(OFFSET($H$3,0,0,'Données projet'!$E$10+1,1))</f>
        <v>318.69447733545013</v>
      </c>
      <c r="AO180" s="62">
        <f t="shared" si="144"/>
        <v>186.33351136372443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2.2661609699954077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1.7956762592520882E-11</v>
      </c>
      <c r="AX180" s="23">
        <f t="shared" si="166"/>
        <v>2.2661609700133645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208.99999999999989</v>
      </c>
      <c r="BE180" s="14">
        <f>BD180*VLOOKUP('Données projet'!$B$11,Paramètres!$A$1:$I$89,3,0)*VLOOKUP('Données projet'!$B$11,Paramètres!$A$1:$I$89,5,0)</f>
        <v>211.9259999999999</v>
      </c>
      <c r="BF180" s="14">
        <f t="shared" si="167"/>
        <v>52.356241262970116</v>
      </c>
      <c r="BG180" s="22">
        <f t="shared" si="168"/>
        <v>460.29157019967283</v>
      </c>
      <c r="BH180" s="62">
        <f t="shared" si="116"/>
        <v>753.62490353300609</v>
      </c>
      <c r="BI180" s="62">
        <f ca="1">AVERAGE(OFFSET($BH$3,0,0,'Données projet'!$E$11+1,1))-AVERAGE(OFFSET($H$3,0,0,'Données projet'!$E$11+1,1))</f>
        <v>238.29088076221427</v>
      </c>
      <c r="BJ180" s="62">
        <f t="shared" si="146"/>
        <v>102.64102748467457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5.0795838758493934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5.0795838758493934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50.90800000000015</v>
      </c>
      <c r="D181" s="12">
        <f t="shared" si="140"/>
        <v>14.848008441477184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507.59024060087768</v>
      </c>
      <c r="H181" s="70">
        <f t="shared" si="110"/>
        <v>407.85838136890635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-5.1159076974727213E-13</v>
      </c>
      <c r="O181" s="14">
        <f>N181*VLOOKUP('Données projet'!$B$9,Paramètres!$A$1:$I$89,3,0)*VLOOKUP('Données projet'!$B$9,Paramètres!$A$1:$I$89,5,0)</f>
        <v>-2.3942448024172334E-13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188.51537094662768</v>
      </c>
      <c r="T181" s="62">
        <f t="shared" si="142"/>
        <v>181.95202230446716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24.877932608472591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24.877932608472591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490.00000000000011</v>
      </c>
      <c r="AJ181" s="14">
        <f>AI181*VLOOKUP('Données projet'!$B$10,Paramètres!$A$1:$I$89,3,0)*VLOOKUP('Données projet'!$B$10,Paramètres!$A$1:$I$89,5,0)</f>
        <v>293.0200000000001</v>
      </c>
      <c r="AK181" s="14">
        <f t="shared" si="164"/>
        <v>69.71118854917674</v>
      </c>
      <c r="AL181" s="22">
        <f t="shared" si="165"/>
        <v>631.75682005648298</v>
      </c>
      <c r="AM181" s="62">
        <f t="shared" si="113"/>
        <v>925.09015338981635</v>
      </c>
      <c r="AN181" s="62">
        <f ca="1">AVERAGE(OFFSET($AM$3,0,0,'Données projet'!$E$10+1,1))-AVERAGE(OFFSET($H$3,0,0,'Données projet'!$E$10+1,1))</f>
        <v>318.69447733545013</v>
      </c>
      <c r="AO181" s="62">
        <f t="shared" si="144"/>
        <v>186.33351136372443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2.2217229355955066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1.2697348597328446E-11</v>
      </c>
      <c r="AX181" s="23">
        <f t="shared" si="166"/>
        <v>2.221722935608204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208.99999999999989</v>
      </c>
      <c r="BE181" s="14">
        <f>BD181*VLOOKUP('Données projet'!$B$11,Paramètres!$A$1:$I$89,3,0)*VLOOKUP('Données projet'!$B$11,Paramètres!$A$1:$I$89,5,0)</f>
        <v>211.9259999999999</v>
      </c>
      <c r="BF181" s="14">
        <f t="shared" si="167"/>
        <v>52.356241262970116</v>
      </c>
      <c r="BG181" s="22">
        <f t="shared" si="168"/>
        <v>460.29157019967283</v>
      </c>
      <c r="BH181" s="62">
        <f t="shared" si="116"/>
        <v>753.62490353300609</v>
      </c>
      <c r="BI181" s="62">
        <f ca="1">AVERAGE(OFFSET($BH$3,0,0,'Données projet'!$E$11+1,1))-AVERAGE(OFFSET($H$3,0,0,'Données projet'!$E$11+1,1))</f>
        <v>238.29088076221427</v>
      </c>
      <c r="BJ181" s="62">
        <f t="shared" si="146"/>
        <v>102.64102748467457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4.9799763342842249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4.9799763342842249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51.194000000000152</v>
      </c>
      <c r="D182" s="12">
        <f t="shared" si="140"/>
        <v>14.921690573504048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510.36673425161126</v>
      </c>
      <c r="H182" s="70">
        <f t="shared" si="110"/>
        <v>408.48482774885309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-5.1159076974727213E-13</v>
      </c>
      <c r="O182" s="14">
        <f>N182*VLOOKUP('Données projet'!$B$9,Paramètres!$A$1:$I$89,3,0)*VLOOKUP('Données projet'!$B$9,Paramètres!$A$1:$I$89,5,0)</f>
        <v>-2.3942448024172334E-13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188.51537094662768</v>
      </c>
      <c r="T182" s="62">
        <f t="shared" si="142"/>
        <v>181.95202230446716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24.390091524061024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24.390091524061024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490.00000000000011</v>
      </c>
      <c r="AJ182" s="14">
        <f>AI182*VLOOKUP('Données projet'!$B$10,Paramètres!$A$1:$I$89,3,0)*VLOOKUP('Données projet'!$B$10,Paramètres!$A$1:$I$89,5,0)</f>
        <v>293.0200000000001</v>
      </c>
      <c r="AK182" s="14">
        <f t="shared" si="164"/>
        <v>69.71118854917674</v>
      </c>
      <c r="AL182" s="22">
        <f t="shared" si="165"/>
        <v>631.75682005648298</v>
      </c>
      <c r="AM182" s="62">
        <f t="shared" si="113"/>
        <v>925.09015338981635</v>
      </c>
      <c r="AN182" s="62">
        <f ca="1">AVERAGE(OFFSET($AM$3,0,0,'Données projet'!$E$10+1,1))-AVERAGE(OFFSET($H$3,0,0,'Données projet'!$E$10+1,1))</f>
        <v>318.69447733545013</v>
      </c>
      <c r="AO182" s="62">
        <f t="shared" si="144"/>
        <v>186.33351136372443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2.1781563039456628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8.9783812962604412E-12</v>
      </c>
      <c r="AX182" s="23">
        <f t="shared" si="166"/>
        <v>2.1781563039546414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208.99999999999989</v>
      </c>
      <c r="BE182" s="14">
        <f>BD182*VLOOKUP('Données projet'!$B$11,Paramètres!$A$1:$I$89,3,0)*VLOOKUP('Données projet'!$B$11,Paramètres!$A$1:$I$89,5,0)</f>
        <v>211.9259999999999</v>
      </c>
      <c r="BF182" s="14">
        <f t="shared" si="167"/>
        <v>52.356241262970116</v>
      </c>
      <c r="BG182" s="22">
        <f t="shared" si="168"/>
        <v>460.29157019967283</v>
      </c>
      <c r="BH182" s="62">
        <f t="shared" si="116"/>
        <v>753.62490353300609</v>
      </c>
      <c r="BI182" s="62">
        <f ca="1">AVERAGE(OFFSET($BH$3,0,0,'Données projet'!$E$11+1,1))-AVERAGE(OFFSET($H$3,0,0,'Données projet'!$E$11+1,1))</f>
        <v>238.29088076221427</v>
      </c>
      <c r="BJ182" s="62">
        <f t="shared" si="146"/>
        <v>102.64102748467457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4.882322035854548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4.882322035854548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51.480000000000153</v>
      </c>
      <c r="D183" s="12">
        <f t="shared" si="140"/>
        <v>14.995324806875272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513.14285815833648</v>
      </c>
      <c r="H183" s="70">
        <f t="shared" si="110"/>
        <v>409.11119070530799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-5.1159076974727213E-13</v>
      </c>
      <c r="O183" s="14">
        <f>N183*VLOOKUP('Données projet'!$B$9,Paramètres!$A$1:$I$89,3,0)*VLOOKUP('Données projet'!$B$9,Paramètres!$A$1:$I$89,5,0)</f>
        <v>-2.3942448024172334E-13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188.51537094662768</v>
      </c>
      <c r="T183" s="62">
        <f t="shared" si="142"/>
        <v>181.95202230446716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23.911816705761087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23.911816705761087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490.00000000000011</v>
      </c>
      <c r="AJ183" s="14">
        <f>AI183*VLOOKUP('Données projet'!$B$10,Paramètres!$A$1:$I$89,3,0)*VLOOKUP('Données projet'!$B$10,Paramètres!$A$1:$I$89,5,0)</f>
        <v>293.0200000000001</v>
      </c>
      <c r="AK183" s="14">
        <f t="shared" si="164"/>
        <v>69.71118854917674</v>
      </c>
      <c r="AL183" s="22">
        <f t="shared" si="165"/>
        <v>631.75682005648298</v>
      </c>
      <c r="AM183" s="62">
        <f t="shared" si="113"/>
        <v>925.09015338981635</v>
      </c>
      <c r="AN183" s="62">
        <f ca="1">AVERAGE(OFFSET($AM$3,0,0,'Données projet'!$E$10+1,1))-AVERAGE(OFFSET($H$3,0,0,'Données projet'!$E$10+1,1))</f>
        <v>318.69447733545013</v>
      </c>
      <c r="AO183" s="62">
        <f t="shared" si="144"/>
        <v>186.33351136372443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2.1354439873694511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6.3486742986642228E-12</v>
      </c>
      <c r="AX183" s="23">
        <f t="shared" si="166"/>
        <v>2.1354439873757998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208.99999999999989</v>
      </c>
      <c r="BE183" s="14">
        <f>BD183*VLOOKUP('Données projet'!$B$11,Paramètres!$A$1:$I$89,3,0)*VLOOKUP('Données projet'!$B$11,Paramètres!$A$1:$I$89,5,0)</f>
        <v>211.9259999999999</v>
      </c>
      <c r="BF183" s="14">
        <f t="shared" si="167"/>
        <v>52.356241262970116</v>
      </c>
      <c r="BG183" s="22">
        <f t="shared" si="168"/>
        <v>460.29157019967283</v>
      </c>
      <c r="BH183" s="62">
        <f t="shared" si="116"/>
        <v>753.62490353300609</v>
      </c>
      <c r="BI183" s="62">
        <f ca="1">AVERAGE(OFFSET($BH$3,0,0,'Données projet'!$E$11+1,1))-AVERAGE(OFFSET($H$3,0,0,'Données projet'!$E$11+1,1))</f>
        <v>238.29088076221427</v>
      </c>
      <c r="BJ183" s="62">
        <f t="shared" si="146"/>
        <v>102.64102748467457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4.7865826786538372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4.7865826786538372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51.766000000000155</v>
      </c>
      <c r="D184" s="12">
        <f t="shared" si="140"/>
        <v>15.068911438575993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515.91861461357018</v>
      </c>
      <c r="H184" s="70">
        <f t="shared" si="110"/>
        <v>409.73747075552006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-5.1159076974727213E-13</v>
      </c>
      <c r="O184" s="14">
        <f>N184*VLOOKUP('Données projet'!$B$9,Paramètres!$A$1:$I$89,3,0)*VLOOKUP('Données projet'!$B$9,Paramètres!$A$1:$I$89,5,0)</f>
        <v>-2.3942448024172334E-13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188.51537094662768</v>
      </c>
      <c r="T184" s="62">
        <f t="shared" si="142"/>
        <v>181.95202230446716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23.442920564929175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23.442920564929175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490.00000000000011</v>
      </c>
      <c r="AJ184" s="14">
        <f>AI184*VLOOKUP('Données projet'!$B$10,Paramètres!$A$1:$I$89,3,0)*VLOOKUP('Données projet'!$B$10,Paramètres!$A$1:$I$89,5,0)</f>
        <v>293.0200000000001</v>
      </c>
      <c r="AK184" s="14">
        <f t="shared" si="164"/>
        <v>69.71118854917674</v>
      </c>
      <c r="AL184" s="22">
        <f t="shared" si="165"/>
        <v>631.75682005648298</v>
      </c>
      <c r="AM184" s="62">
        <f t="shared" si="113"/>
        <v>925.09015338981635</v>
      </c>
      <c r="AN184" s="62">
        <f ca="1">AVERAGE(OFFSET($AM$3,0,0,'Données projet'!$E$10+1,1))-AVERAGE(OFFSET($H$3,0,0,'Données projet'!$E$10+1,1))</f>
        <v>318.69447733545013</v>
      </c>
      <c r="AO184" s="62">
        <f t="shared" si="144"/>
        <v>186.33351136372443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2.0935692332693581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4.4891906481302206E-12</v>
      </c>
      <c r="AX184" s="23">
        <f t="shared" si="166"/>
        <v>2.0935692332738474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208.99999999999989</v>
      </c>
      <c r="BE184" s="14">
        <f>BD184*VLOOKUP('Données projet'!$B$11,Paramètres!$A$1:$I$89,3,0)*VLOOKUP('Données projet'!$B$11,Paramètres!$A$1:$I$89,5,0)</f>
        <v>211.9259999999999</v>
      </c>
      <c r="BF184" s="14">
        <f t="shared" si="167"/>
        <v>52.356241262970116</v>
      </c>
      <c r="BG184" s="22">
        <f t="shared" si="168"/>
        <v>460.29157019967283</v>
      </c>
      <c r="BH184" s="62">
        <f t="shared" si="116"/>
        <v>753.62490353300609</v>
      </c>
      <c r="BI184" s="62">
        <f ca="1">AVERAGE(OFFSET($BH$3,0,0,'Données projet'!$E$11+1,1))-AVERAGE(OFFSET($H$3,0,0,'Données projet'!$E$11+1,1))</f>
        <v>238.29088076221427</v>
      </c>
      <c r="BJ184" s="62">
        <f t="shared" si="146"/>
        <v>102.64102748467457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4.6927207118525898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4.6927207118525898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52.052000000000156</v>
      </c>
      <c r="D185" s="12">
        <f t="shared" si="140"/>
        <v>15.142450762119827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518.69400588303142</v>
      </c>
      <c r="H185" s="70">
        <f t="shared" si="110"/>
        <v>410.3636684106923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-5.1159076974727213E-13</v>
      </c>
      <c r="O185" s="14">
        <f>N185*VLOOKUP('Données projet'!$B$9,Paramètres!$A$1:$I$89,3,0)*VLOOKUP('Données projet'!$B$9,Paramètres!$A$1:$I$89,5,0)</f>
        <v>-2.3942448024172334E-13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188.51537094662768</v>
      </c>
      <c r="T185" s="62">
        <f t="shared" si="142"/>
        <v>181.95202230446716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22.98321919142057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22.98321919142057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490.00000000000011</v>
      </c>
      <c r="AJ185" s="14">
        <f>AI185*VLOOKUP('Données projet'!$B$10,Paramètres!$A$1:$I$89,3,0)*VLOOKUP('Données projet'!$B$10,Paramètres!$A$1:$I$89,5,0)</f>
        <v>293.0200000000001</v>
      </c>
      <c r="AK185" s="14">
        <f t="shared" si="164"/>
        <v>69.71118854917674</v>
      </c>
      <c r="AL185" s="22">
        <f t="shared" si="165"/>
        <v>631.75682005648298</v>
      </c>
      <c r="AM185" s="62">
        <f t="shared" si="113"/>
        <v>925.09015338981635</v>
      </c>
      <c r="AN185" s="62">
        <f ca="1">AVERAGE(OFFSET($AM$3,0,0,'Données projet'!$E$10+1,1))-AVERAGE(OFFSET($H$3,0,0,'Données projet'!$E$10+1,1))</f>
        <v>318.69447733545013</v>
      </c>
      <c r="AO185" s="62">
        <f t="shared" si="144"/>
        <v>186.33351136372443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2.0525156175560899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3.1743371493321114E-12</v>
      </c>
      <c r="AX185" s="23">
        <f t="shared" si="166"/>
        <v>2.0525156175592643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208.99999999999989</v>
      </c>
      <c r="BE185" s="14">
        <f>BD185*VLOOKUP('Données projet'!$B$11,Paramètres!$A$1:$I$89,3,0)*VLOOKUP('Données projet'!$B$11,Paramètres!$A$1:$I$89,5,0)</f>
        <v>211.9259999999999</v>
      </c>
      <c r="BF185" s="14">
        <f t="shared" si="167"/>
        <v>52.356241262970116</v>
      </c>
      <c r="BG185" s="22">
        <f t="shared" si="168"/>
        <v>460.29157019967283</v>
      </c>
      <c r="BH185" s="62">
        <f t="shared" si="116"/>
        <v>753.62490353300609</v>
      </c>
      <c r="BI185" s="62">
        <f ca="1">AVERAGE(OFFSET($BH$3,0,0,'Données projet'!$E$11+1,1))-AVERAGE(OFFSET($H$3,0,0,'Données projet'!$E$11+1,1))</f>
        <v>238.29088076221427</v>
      </c>
      <c r="BJ185" s="62">
        <f t="shared" si="146"/>
        <v>102.64102748467457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4.6006993209701683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4.6006993209701683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52.338000000000157</v>
      </c>
      <c r="D186" s="12">
        <f t="shared" si="140"/>
        <v>15.215943067608274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521.46903420610022</v>
      </c>
      <c r="H186" s="70">
        <f t="shared" si="110"/>
        <v>410.98978417608464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-5.1159076974727213E-13</v>
      </c>
      <c r="O186" s="14">
        <f>N186*VLOOKUP('Données projet'!$B$9,Paramètres!$A$1:$I$89,3,0)*VLOOKUP('Données projet'!$B$9,Paramètres!$A$1:$I$89,5,0)</f>
        <v>-2.3942448024172334E-13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188.51537094662768</v>
      </c>
      <c r="T186" s="62">
        <f t="shared" si="142"/>
        <v>181.95202230446716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22.532532281456319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22.532532281456319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490.00000000000011</v>
      </c>
      <c r="AJ186" s="14">
        <f>AI186*VLOOKUP('Données projet'!$B$10,Paramètres!$A$1:$I$89,3,0)*VLOOKUP('Données projet'!$B$10,Paramètres!$A$1:$I$89,5,0)</f>
        <v>293.0200000000001</v>
      </c>
      <c r="AK186" s="14">
        <f t="shared" si="164"/>
        <v>69.71118854917674</v>
      </c>
      <c r="AL186" s="22">
        <f t="shared" si="165"/>
        <v>631.75682005648298</v>
      </c>
      <c r="AM186" s="62">
        <f t="shared" si="113"/>
        <v>925.09015338981635</v>
      </c>
      <c r="AN186" s="62">
        <f ca="1">AVERAGE(OFFSET($AM$3,0,0,'Données projet'!$E$10+1,1))-AVERAGE(OFFSET($H$3,0,0,'Données projet'!$E$10+1,1))</f>
        <v>318.69447733545013</v>
      </c>
      <c r="AO186" s="62">
        <f t="shared" si="144"/>
        <v>186.33351136372443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2.0122670382067258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2.2445953240651103E-12</v>
      </c>
      <c r="AX186" s="23">
        <f t="shared" si="166"/>
        <v>2.0122670382089702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208.99999999999989</v>
      </c>
      <c r="BE186" s="14">
        <f>BD186*VLOOKUP('Données projet'!$B$11,Paramètres!$A$1:$I$89,3,0)*VLOOKUP('Données projet'!$B$11,Paramètres!$A$1:$I$89,5,0)</f>
        <v>211.9259999999999</v>
      </c>
      <c r="BF186" s="14">
        <f t="shared" si="167"/>
        <v>52.356241262970116</v>
      </c>
      <c r="BG186" s="22">
        <f t="shared" si="168"/>
        <v>460.29157019967283</v>
      </c>
      <c r="BH186" s="62">
        <f t="shared" si="116"/>
        <v>753.62490353300609</v>
      </c>
      <c r="BI186" s="62">
        <f ca="1">AVERAGE(OFFSET($BH$3,0,0,'Données projet'!$E$11+1,1))-AVERAGE(OFFSET($H$3,0,0,'Données projet'!$E$11+1,1))</f>
        <v>238.29088076221427</v>
      </c>
      <c r="BJ186" s="62">
        <f t="shared" si="146"/>
        <v>102.64102748467457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4.5104824134354446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4.5104824134354446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52.624000000000159</v>
      </c>
      <c r="D187" s="12">
        <f t="shared" si="140"/>
        <v>15.289388641788806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524.24370179626578</v>
      </c>
      <c r="H187" s="70">
        <f t="shared" si="110"/>
        <v>411.61581855111575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-5.1159076974727213E-13</v>
      </c>
      <c r="O187" s="14">
        <f>N187*VLOOKUP('Données projet'!$B$9,Paramètres!$A$1:$I$89,3,0)*VLOOKUP('Données projet'!$B$9,Paramètres!$A$1:$I$89,5,0)</f>
        <v>-2.3942448024172334E-13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188.51537094662768</v>
      </c>
      <c r="T187" s="62">
        <f t="shared" si="142"/>
        <v>181.95202230446716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22.090683066904596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22.090683066904596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490.00000000000011</v>
      </c>
      <c r="AJ187" s="14">
        <f>AI187*VLOOKUP('Données projet'!$B$10,Paramètres!$A$1:$I$89,3,0)*VLOOKUP('Données projet'!$B$10,Paramètres!$A$1:$I$89,5,0)</f>
        <v>293.0200000000001</v>
      </c>
      <c r="AK187" s="14">
        <f t="shared" si="164"/>
        <v>69.71118854917674</v>
      </c>
      <c r="AL187" s="22">
        <f t="shared" si="165"/>
        <v>631.75682005648298</v>
      </c>
      <c r="AM187" s="62">
        <f t="shared" si="113"/>
        <v>925.09015338981635</v>
      </c>
      <c r="AN187" s="62">
        <f ca="1">AVERAGE(OFFSET($AM$3,0,0,'Données projet'!$E$10+1,1))-AVERAGE(OFFSET($H$3,0,0,'Données projet'!$E$10+1,1))</f>
        <v>318.69447733545013</v>
      </c>
      <c r="AO187" s="62">
        <f t="shared" si="144"/>
        <v>186.33351136372443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1.9728077089491933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1.5871685746660557E-12</v>
      </c>
      <c r="AX187" s="23">
        <f t="shared" si="166"/>
        <v>1.9728077089507805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208.99999999999989</v>
      </c>
      <c r="BE187" s="14">
        <f>BD187*VLOOKUP('Données projet'!$B$11,Paramètres!$A$1:$I$89,3,0)*VLOOKUP('Données projet'!$B$11,Paramètres!$A$1:$I$89,5,0)</f>
        <v>211.9259999999999</v>
      </c>
      <c r="BF187" s="14">
        <f t="shared" si="167"/>
        <v>52.356241262970116</v>
      </c>
      <c r="BG187" s="22">
        <f t="shared" si="168"/>
        <v>460.29157019967283</v>
      </c>
      <c r="BH187" s="62">
        <f t="shared" si="116"/>
        <v>753.62490353300609</v>
      </c>
      <c r="BI187" s="62">
        <f ca="1">AVERAGE(OFFSET($BH$3,0,0,'Données projet'!$E$11+1,1))-AVERAGE(OFFSET($H$3,0,0,'Données projet'!$E$11+1,1))</f>
        <v>238.29088076221427</v>
      </c>
      <c r="BJ187" s="62">
        <f t="shared" si="146"/>
        <v>102.64102748467457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4.4220346044305971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4.4220346044305971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52.91000000000016</v>
      </c>
      <c r="D188" s="12">
        <f t="shared" si="140"/>
        <v>15.36278776811171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527.01801084156534</v>
      </c>
      <c r="H188" s="70">
        <f t="shared" si="110"/>
        <v>412.24177202946146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-5.1159076974727213E-13</v>
      </c>
      <c r="O188" s="14">
        <f>N188*VLOOKUP('Données projet'!$B$9,Paramètres!$A$1:$I$89,3,0)*VLOOKUP('Données projet'!$B$9,Paramètres!$A$1:$I$89,5,0)</f>
        <v>-2.3942448024172334E-13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188.51537094662768</v>
      </c>
      <c r="T188" s="62">
        <f t="shared" si="142"/>
        <v>181.95202230446716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21.657498245948823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21.657498245948823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490.00000000000011</v>
      </c>
      <c r="AJ188" s="14">
        <f>AI188*VLOOKUP('Données projet'!$B$10,Paramètres!$A$1:$I$89,3,0)*VLOOKUP('Données projet'!$B$10,Paramètres!$A$1:$I$89,5,0)</f>
        <v>293.0200000000001</v>
      </c>
      <c r="AK188" s="14">
        <f t="shared" si="164"/>
        <v>69.71118854917674</v>
      </c>
      <c r="AL188" s="22">
        <f t="shared" si="165"/>
        <v>631.75682005648298</v>
      </c>
      <c r="AM188" s="62">
        <f t="shared" si="113"/>
        <v>925.09015338981635</v>
      </c>
      <c r="AN188" s="62">
        <f ca="1">AVERAGE(OFFSET($AM$3,0,0,'Données projet'!$E$10+1,1))-AVERAGE(OFFSET($H$3,0,0,'Données projet'!$E$10+1,1))</f>
        <v>318.69447733545013</v>
      </c>
      <c r="AO188" s="62">
        <f t="shared" si="144"/>
        <v>186.33351136372443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1.9341221530705868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1.1222976620325551E-12</v>
      </c>
      <c r="AX188" s="23">
        <f t="shared" si="166"/>
        <v>1.934122153071709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208.99999999999989</v>
      </c>
      <c r="BE188" s="14">
        <f>BD188*VLOOKUP('Données projet'!$B$11,Paramètres!$A$1:$I$89,3,0)*VLOOKUP('Données projet'!$B$11,Paramètres!$A$1:$I$89,5,0)</f>
        <v>211.9259999999999</v>
      </c>
      <c r="BF188" s="14">
        <f t="shared" si="167"/>
        <v>52.356241262970116</v>
      </c>
      <c r="BG188" s="22">
        <f t="shared" si="168"/>
        <v>460.29157019967283</v>
      </c>
      <c r="BH188" s="62">
        <f t="shared" si="116"/>
        <v>753.62490353300609</v>
      </c>
      <c r="BI188" s="62">
        <f ca="1">AVERAGE(OFFSET($BH$3,0,0,'Données projet'!$E$11+1,1))-AVERAGE(OFFSET($H$3,0,0,'Données projet'!$E$11+1,1))</f>
        <v>238.29088076221427</v>
      </c>
      <c r="BJ188" s="62">
        <f t="shared" si="146"/>
        <v>102.64102748467457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4.3353212030124979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4.3353212030124979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53.196000000000161</v>
      </c>
      <c r="D189" s="12">
        <f t="shared" si="140"/>
        <v>15.43614072678554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529.79196350501252</v>
      </c>
      <c r="H189" s="70">
        <f t="shared" si="110"/>
        <v>412.86764509915173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-5.1159076974727213E-13</v>
      </c>
      <c r="O189" s="14">
        <f>N189*VLOOKUP('Données projet'!$B$9,Paramètres!$A$1:$I$89,3,0)*VLOOKUP('Données projet'!$B$9,Paramètres!$A$1:$I$89,5,0)</f>
        <v>-2.3942448024172334E-13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188.51537094662768</v>
      </c>
      <c r="T189" s="62">
        <f t="shared" si="142"/>
        <v>181.95202230446716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21.232807915115341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21.232807915115341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490.00000000000011</v>
      </c>
      <c r="AJ189" s="14">
        <f>AI189*VLOOKUP('Données projet'!$B$10,Paramètres!$A$1:$I$89,3,0)*VLOOKUP('Données projet'!$B$10,Paramètres!$A$1:$I$89,5,0)</f>
        <v>293.0200000000001</v>
      </c>
      <c r="AK189" s="14">
        <f t="shared" si="164"/>
        <v>69.71118854917674</v>
      </c>
      <c r="AL189" s="22">
        <f t="shared" si="165"/>
        <v>631.75682005648298</v>
      </c>
      <c r="AM189" s="62">
        <f t="shared" si="113"/>
        <v>925.09015338981635</v>
      </c>
      <c r="AN189" s="62">
        <f ca="1">AVERAGE(OFFSET($AM$3,0,0,'Données projet'!$E$10+1,1))-AVERAGE(OFFSET($H$3,0,0,'Données projet'!$E$10+1,1))</f>
        <v>318.69447733545013</v>
      </c>
      <c r="AO189" s="62">
        <f t="shared" si="144"/>
        <v>186.33351136372443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1.8961951973469005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7.9358428733302785E-13</v>
      </c>
      <c r="AX189" s="23">
        <f t="shared" si="166"/>
        <v>1.896195197347694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208.99999999999989</v>
      </c>
      <c r="BE189" s="14">
        <f>BD189*VLOOKUP('Données projet'!$B$11,Paramètres!$A$1:$I$89,3,0)*VLOOKUP('Données projet'!$B$11,Paramètres!$A$1:$I$89,5,0)</f>
        <v>211.9259999999999</v>
      </c>
      <c r="BF189" s="14">
        <f t="shared" si="167"/>
        <v>52.356241262970116</v>
      </c>
      <c r="BG189" s="22">
        <f t="shared" si="168"/>
        <v>460.29157019967283</v>
      </c>
      <c r="BH189" s="62">
        <f t="shared" si="116"/>
        <v>753.62490353300609</v>
      </c>
      <c r="BI189" s="62">
        <f ca="1">AVERAGE(OFFSET($BH$3,0,0,'Données projet'!$E$11+1,1))-AVERAGE(OFFSET($H$3,0,0,'Données projet'!$E$11+1,1))</f>
        <v>238.29088076221427</v>
      </c>
      <c r="BJ189" s="62">
        <f t="shared" si="146"/>
        <v>102.64102748467457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4.2503081985062554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4.2503081985062554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53.482000000000163</v>
      </c>
      <c r="D190" s="12">
        <f t="shared" si="140"/>
        <v>15.509447794831459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532.56556192501614</v>
      </c>
      <c r="H190" s="70">
        <f t="shared" si="110"/>
        <v>413.49343824266504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-5.1159076974727213E-13</v>
      </c>
      <c r="O190" s="14">
        <f>N190*VLOOKUP('Données projet'!$B$9,Paramètres!$A$1:$I$89,3,0)*VLOOKUP('Données projet'!$B$9,Paramètres!$A$1:$I$89,5,0)</f>
        <v>-2.3942448024172334E-13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188.51537094662768</v>
      </c>
      <c r="T190" s="62">
        <f t="shared" si="142"/>
        <v>181.95202230446716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20.816445502633979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20.816445502633979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490.00000000000011</v>
      </c>
      <c r="AJ190" s="14">
        <f>AI190*VLOOKUP('Données projet'!$B$10,Paramètres!$A$1:$I$89,3,0)*VLOOKUP('Données projet'!$B$10,Paramètres!$A$1:$I$89,5,0)</f>
        <v>293.0200000000001</v>
      </c>
      <c r="AK190" s="14">
        <f t="shared" si="164"/>
        <v>69.71118854917674</v>
      </c>
      <c r="AL190" s="22">
        <f t="shared" si="165"/>
        <v>631.75682005648298</v>
      </c>
      <c r="AM190" s="62">
        <f t="shared" si="113"/>
        <v>925.09015338981635</v>
      </c>
      <c r="AN190" s="62">
        <f ca="1">AVERAGE(OFFSET($AM$3,0,0,'Données projet'!$E$10+1,1))-AVERAGE(OFFSET($H$3,0,0,'Données projet'!$E$10+1,1))</f>
        <v>318.69447733545013</v>
      </c>
      <c r="AO190" s="62">
        <f t="shared" si="144"/>
        <v>186.33351136372443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1.8590119660917968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5.6114883101627757E-13</v>
      </c>
      <c r="AX190" s="23">
        <f t="shared" si="166"/>
        <v>1.8590119660923579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208.99999999999989</v>
      </c>
      <c r="BE190" s="14">
        <f>BD190*VLOOKUP('Données projet'!$B$11,Paramètres!$A$1:$I$89,3,0)*VLOOKUP('Données projet'!$B$11,Paramètres!$A$1:$I$89,5,0)</f>
        <v>211.9259999999999</v>
      </c>
      <c r="BF190" s="14">
        <f t="shared" si="167"/>
        <v>52.356241262970116</v>
      </c>
      <c r="BG190" s="22">
        <f t="shared" si="168"/>
        <v>460.29157019967283</v>
      </c>
      <c r="BH190" s="62">
        <f t="shared" si="116"/>
        <v>753.62490353300609</v>
      </c>
      <c r="BI190" s="62">
        <f ca="1">AVERAGE(OFFSET($BH$3,0,0,'Données projet'!$E$11+1,1))-AVERAGE(OFFSET($H$3,0,0,'Données projet'!$E$11+1,1))</f>
        <v>238.29088076221427</v>
      </c>
      <c r="BJ190" s="62">
        <f t="shared" si="146"/>
        <v>102.64102748467457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4.1669622471655678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4.1669622471655678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53.768000000000164</v>
      </c>
      <c r="D191" s="12">
        <f t="shared" si="140"/>
        <v>15.582709246136346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535.33880821579066</v>
      </c>
      <c r="H191" s="70">
        <f t="shared" si="110"/>
        <v>414.11915193702106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-5.1159076974727213E-13</v>
      </c>
      <c r="O191" s="14">
        <f>N191*VLOOKUP('Données projet'!$B$9,Paramètres!$A$1:$I$89,3,0)*VLOOKUP('Données projet'!$B$9,Paramètres!$A$1:$I$89,5,0)</f>
        <v>-2.3942448024172334E-13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188.51537094662768</v>
      </c>
      <c r="T191" s="62">
        <f t="shared" si="142"/>
        <v>181.95202230446716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20.408247703105381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20.408247703105381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490.00000000000011</v>
      </c>
      <c r="AJ191" s="14">
        <f>AI191*VLOOKUP('Données projet'!$B$10,Paramètres!$A$1:$I$89,3,0)*VLOOKUP('Données projet'!$B$10,Paramètres!$A$1:$I$89,5,0)</f>
        <v>293.0200000000001</v>
      </c>
      <c r="AK191" s="14">
        <f t="shared" si="164"/>
        <v>69.71118854917674</v>
      </c>
      <c r="AL191" s="22">
        <f t="shared" si="165"/>
        <v>631.75682005648298</v>
      </c>
      <c r="AM191" s="62">
        <f t="shared" si="113"/>
        <v>925.09015338981635</v>
      </c>
      <c r="AN191" s="62">
        <f ca="1">AVERAGE(OFFSET($AM$3,0,0,'Données projet'!$E$10+1,1))-AVERAGE(OFFSET($H$3,0,0,'Données projet'!$E$10+1,1))</f>
        <v>318.69447733545013</v>
      </c>
      <c r="AO191" s="62">
        <f t="shared" si="144"/>
        <v>186.33351136372443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1.8225578753220741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3.9679214366651392E-13</v>
      </c>
      <c r="AX191" s="23">
        <f t="shared" si="166"/>
        <v>1.8225578753224709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208.99999999999989</v>
      </c>
      <c r="BE191" s="14">
        <f>BD191*VLOOKUP('Données projet'!$B$11,Paramètres!$A$1:$I$89,3,0)*VLOOKUP('Données projet'!$B$11,Paramètres!$A$1:$I$89,5,0)</f>
        <v>211.9259999999999</v>
      </c>
      <c r="BF191" s="14">
        <f t="shared" si="167"/>
        <v>52.356241262970116</v>
      </c>
      <c r="BG191" s="22">
        <f t="shared" si="168"/>
        <v>460.29157019967283</v>
      </c>
      <c r="BH191" s="62">
        <f t="shared" si="116"/>
        <v>753.62490353300609</v>
      </c>
      <c r="BI191" s="62">
        <f ca="1">AVERAGE(OFFSET($BH$3,0,0,'Données projet'!$E$11+1,1))-AVERAGE(OFFSET($H$3,0,0,'Données projet'!$E$11+1,1))</f>
        <v>238.29088076221427</v>
      </c>
      <c r="BJ191" s="62">
        <f t="shared" si="146"/>
        <v>102.64102748467457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4.08525065909466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4.08525065909466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54.054000000000165</v>
      </c>
      <c r="D192" s="12">
        <f t="shared" si="140"/>
        <v>15.655925351504703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538.11170446775679</v>
      </c>
      <c r="H192" s="70">
        <f t="shared" si="110"/>
        <v>414.74478665387096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-5.1159076974727213E-13</v>
      </c>
      <c r="O192" s="14">
        <f>N192*VLOOKUP('Données projet'!$B$9,Paramètres!$A$1:$I$89,3,0)*VLOOKUP('Données projet'!$B$9,Paramètres!$A$1:$I$89,5,0)</f>
        <v>-2.3942448024172334E-13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188.51537094662768</v>
      </c>
      <c r="T192" s="62">
        <f t="shared" si="142"/>
        <v>181.95202230446716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20.008054413449464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20.008054413449464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490.00000000000011</v>
      </c>
      <c r="AJ192" s="14">
        <f>AI192*VLOOKUP('Données projet'!$B$10,Paramètres!$A$1:$I$89,3,0)*VLOOKUP('Données projet'!$B$10,Paramètres!$A$1:$I$89,5,0)</f>
        <v>293.0200000000001</v>
      </c>
      <c r="AK192" s="14">
        <f t="shared" si="164"/>
        <v>69.71118854917674</v>
      </c>
      <c r="AL192" s="22">
        <f t="shared" si="165"/>
        <v>631.75682005648298</v>
      </c>
      <c r="AM192" s="62">
        <f t="shared" si="113"/>
        <v>925.09015338981635</v>
      </c>
      <c r="AN192" s="62">
        <f ca="1">AVERAGE(OFFSET($AM$3,0,0,'Données projet'!$E$10+1,1))-AVERAGE(OFFSET($H$3,0,0,'Données projet'!$E$10+1,1))</f>
        <v>318.69447733545013</v>
      </c>
      <c r="AO192" s="62">
        <f t="shared" si="144"/>
        <v>186.33351136372443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1.7868186270375459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2.8057441550813879E-13</v>
      </c>
      <c r="AX192" s="23">
        <f t="shared" si="166"/>
        <v>1.7868186270378266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208.99999999999989</v>
      </c>
      <c r="BE192" s="14">
        <f>BD192*VLOOKUP('Données projet'!$B$11,Paramètres!$A$1:$I$89,3,0)*VLOOKUP('Données projet'!$B$11,Paramètres!$A$1:$I$89,5,0)</f>
        <v>211.9259999999999</v>
      </c>
      <c r="BF192" s="14">
        <f t="shared" si="167"/>
        <v>52.356241262970116</v>
      </c>
      <c r="BG192" s="22">
        <f t="shared" si="168"/>
        <v>460.29157019967283</v>
      </c>
      <c r="BH192" s="62">
        <f t="shared" si="116"/>
        <v>753.62490353300609</v>
      </c>
      <c r="BI192" s="62">
        <f ca="1">AVERAGE(OFFSET($BH$3,0,0,'Données projet'!$E$11+1,1))-AVERAGE(OFFSET($H$3,0,0,'Données projet'!$E$11+1,1))</f>
        <v>238.29088076221427</v>
      </c>
      <c r="BJ192" s="62">
        <f t="shared" si="146"/>
        <v>102.64102748467457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4.0051413854266755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4.0051413854266755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54.340000000000167</v>
      </c>
      <c r="D193" s="12">
        <f t="shared" si="140"/>
        <v>15.729096378709514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540.88425274793428</v>
      </c>
      <c r="H193" s="70">
        <f t="shared" si="110"/>
        <v>415.370342859586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-5.1159076974727213E-13</v>
      </c>
      <c r="O193" s="14">
        <f>N193*VLOOKUP('Données projet'!$B$9,Paramètres!$A$1:$I$89,3,0)*VLOOKUP('Données projet'!$B$9,Paramètres!$A$1:$I$89,5,0)</f>
        <v>-2.3942448024172334E-13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188.51537094662768</v>
      </c>
      <c r="T193" s="62">
        <f t="shared" si="142"/>
        <v>181.95202230446716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19.615708670109896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19.615708670109896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490.00000000000011</v>
      </c>
      <c r="AJ193" s="14">
        <f>AI193*VLOOKUP('Données projet'!$B$10,Paramètres!$A$1:$I$89,3,0)*VLOOKUP('Données projet'!$B$10,Paramètres!$A$1:$I$89,5,0)</f>
        <v>293.0200000000001</v>
      </c>
      <c r="AK193" s="14">
        <f t="shared" si="164"/>
        <v>69.71118854917674</v>
      </c>
      <c r="AL193" s="22">
        <f t="shared" si="165"/>
        <v>631.75682005648298</v>
      </c>
      <c r="AM193" s="62">
        <f t="shared" si="113"/>
        <v>925.09015338981635</v>
      </c>
      <c r="AN193" s="62">
        <f ca="1">AVERAGE(OFFSET($AM$3,0,0,'Données projet'!$E$10+1,1))-AVERAGE(OFFSET($H$3,0,0,'Données projet'!$E$10+1,1))</f>
        <v>318.69447733545013</v>
      </c>
      <c r="AO193" s="62">
        <f t="shared" si="144"/>
        <v>186.33351136372443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1.7517802036130883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1.9839607183325696E-13</v>
      </c>
      <c r="AX193" s="23">
        <f t="shared" si="166"/>
        <v>1.7517802036132866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208.99999999999989</v>
      </c>
      <c r="BE193" s="14">
        <f>BD193*VLOOKUP('Données projet'!$B$11,Paramètres!$A$1:$I$89,3,0)*VLOOKUP('Données projet'!$B$11,Paramètres!$A$1:$I$89,5,0)</f>
        <v>211.9259999999999</v>
      </c>
      <c r="BF193" s="14">
        <f t="shared" si="167"/>
        <v>52.356241262970116</v>
      </c>
      <c r="BG193" s="22">
        <f t="shared" si="168"/>
        <v>460.29157019967283</v>
      </c>
      <c r="BH193" s="62">
        <f t="shared" si="116"/>
        <v>753.62490353300609</v>
      </c>
      <c r="BI193" s="62">
        <f ca="1">AVERAGE(OFFSET($BH$3,0,0,'Données projet'!$E$11+1,1))-AVERAGE(OFFSET($H$3,0,0,'Données projet'!$E$11+1,1))</f>
        <v>238.29088076221427</v>
      </c>
      <c r="BJ193" s="62">
        <f t="shared" si="146"/>
        <v>102.64102748467457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3.9266030057534875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3.9266030057534875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54.626000000000168</v>
      </c>
      <c r="D194" s="12">
        <f t="shared" si="140"/>
        <v>15.802222592541893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543.65645510032471</v>
      </c>
      <c r="H194" s="70">
        <f t="shared" si="110"/>
        <v>415.99582101534406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-5.1159076974727213E-13</v>
      </c>
      <c r="O194" s="14">
        <f>N194*VLOOKUP('Données projet'!$B$9,Paramètres!$A$1:$I$89,3,0)*VLOOKUP('Données projet'!$B$9,Paramètres!$A$1:$I$89,5,0)</f>
        <v>-2.3942448024172334E-13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188.51537094662768</v>
      </c>
      <c r="T194" s="62">
        <f t="shared" si="142"/>
        <v>181.95202230446716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19.231056587489942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19.231056587489942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490.00000000000011</v>
      </c>
      <c r="AJ194" s="14">
        <f>AI194*VLOOKUP('Données projet'!$B$10,Paramètres!$A$1:$I$89,3,0)*VLOOKUP('Données projet'!$B$10,Paramètres!$A$1:$I$89,5,0)</f>
        <v>293.0200000000001</v>
      </c>
      <c r="AK194" s="14">
        <f t="shared" si="164"/>
        <v>69.71118854917674</v>
      </c>
      <c r="AL194" s="22">
        <f t="shared" si="165"/>
        <v>631.75682005648298</v>
      </c>
      <c r="AM194" s="62">
        <f t="shared" si="113"/>
        <v>925.09015338981635</v>
      </c>
      <c r="AN194" s="62">
        <f ca="1">AVERAGE(OFFSET($AM$3,0,0,'Données projet'!$E$10+1,1))-AVERAGE(OFFSET($H$3,0,0,'Données projet'!$E$10+1,1))</f>
        <v>318.69447733545013</v>
      </c>
      <c r="AO194" s="62">
        <f t="shared" si="144"/>
        <v>186.33351136372443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1.7174288623006562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1.4028720775406939E-13</v>
      </c>
      <c r="AX194" s="23">
        <f t="shared" si="166"/>
        <v>1.7174288623007965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208.99999999999989</v>
      </c>
      <c r="BE194" s="14">
        <f>BD194*VLOOKUP('Données projet'!$B$11,Paramètres!$A$1:$I$89,3,0)*VLOOKUP('Données projet'!$B$11,Paramètres!$A$1:$I$89,5,0)</f>
        <v>211.9259999999999</v>
      </c>
      <c r="BF194" s="14">
        <f t="shared" si="167"/>
        <v>52.356241262970116</v>
      </c>
      <c r="BG194" s="22">
        <f t="shared" si="168"/>
        <v>460.29157019967283</v>
      </c>
      <c r="BH194" s="62">
        <f t="shared" si="116"/>
        <v>753.62490353300609</v>
      </c>
      <c r="BI194" s="62">
        <f ca="1">AVERAGE(OFFSET($BH$3,0,0,'Données projet'!$E$11+1,1))-AVERAGE(OFFSET($H$3,0,0,'Données projet'!$E$11+1,1))</f>
        <v>238.29088076221427</v>
      </c>
      <c r="BJ194" s="62">
        <f t="shared" si="146"/>
        <v>102.64102748467457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3.8496047158020095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3.8496047158020095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54.91200000000017</v>
      </c>
      <c r="D195" s="12">
        <f t="shared" si="140"/>
        <v>15.875304254859806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546.42831354628754</v>
      </c>
      <c r="H195" s="70">
        <f t="shared" si="110"/>
        <v>416.62122157721444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-5.1159076974727213E-13</v>
      </c>
      <c r="O195" s="14">
        <f>N195*VLOOKUP('Données projet'!$B$9,Paramètres!$A$1:$I$89,3,0)*VLOOKUP('Données projet'!$B$9,Paramètres!$A$1:$I$89,5,0)</f>
        <v>-2.3942448024172334E-13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188.51537094662768</v>
      </c>
      <c r="T195" s="62">
        <f t="shared" si="142"/>
        <v>181.95202230446716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18.85394729759556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18.85394729759556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490.00000000000011</v>
      </c>
      <c r="AJ195" s="14">
        <f>AI195*VLOOKUP('Données projet'!$B$10,Paramètres!$A$1:$I$89,3,0)*VLOOKUP('Données projet'!$B$10,Paramètres!$A$1:$I$89,5,0)</f>
        <v>293.0200000000001</v>
      </c>
      <c r="AK195" s="14">
        <f t="shared" si="164"/>
        <v>69.71118854917674</v>
      </c>
      <c r="AL195" s="22">
        <f t="shared" si="165"/>
        <v>631.75682005648298</v>
      </c>
      <c r="AM195" s="62">
        <f t="shared" si="113"/>
        <v>925.09015338981635</v>
      </c>
      <c r="AN195" s="62">
        <f ca="1">AVERAGE(OFFSET($AM$3,0,0,'Données projet'!$E$10+1,1))-AVERAGE(OFFSET($H$3,0,0,'Données projet'!$E$10+1,1))</f>
        <v>318.69447733545013</v>
      </c>
      <c r="AO195" s="62">
        <f t="shared" si="144"/>
        <v>186.33351136372443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1.6837511298391115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9.9198035916628481E-14</v>
      </c>
      <c r="AX195" s="23">
        <f t="shared" si="166"/>
        <v>1.6837511298392107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208.99999999999989</v>
      </c>
      <c r="BE195" s="14">
        <f>BD195*VLOOKUP('Données projet'!$B$11,Paramètres!$A$1:$I$89,3,0)*VLOOKUP('Données projet'!$B$11,Paramètres!$A$1:$I$89,5,0)</f>
        <v>211.9259999999999</v>
      </c>
      <c r="BF195" s="14">
        <f t="shared" si="167"/>
        <v>52.356241262970116</v>
      </c>
      <c r="BG195" s="22">
        <f t="shared" si="168"/>
        <v>460.29157019967283</v>
      </c>
      <c r="BH195" s="62">
        <f t="shared" si="116"/>
        <v>753.62490353300609</v>
      </c>
      <c r="BI195" s="62">
        <f ca="1">AVERAGE(OFFSET($BH$3,0,0,'Données projet'!$E$11+1,1))-AVERAGE(OFFSET($H$3,0,0,'Données projet'!$E$11+1,1))</f>
        <v>238.29088076221427</v>
      </c>
      <c r="BJ195" s="62">
        <f t="shared" si="146"/>
        <v>102.64102748467457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3.7741163153521602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3.7741163153521602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55.198000000000171</v>
      </c>
      <c r="D196" s="12">
        <f t="shared" si="140"/>
        <v>15.948341624635532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549.19983008490726</v>
      </c>
      <c r="H196" s="70">
        <f t="shared" ref="H196:H203" si="192">(B196+E196+F196)*44/12+(C196+D196)*0.475*44/12</f>
        <v>417.24654499624052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-5.1159076974727213E-13</v>
      </c>
      <c r="O196" s="14">
        <f>N196*VLOOKUP('Données projet'!$B$9,Paramètres!$A$1:$I$89,3,0)*VLOOKUP('Données projet'!$B$9,Paramètres!$A$1:$I$89,5,0)</f>
        <v>-2.3942448024172334E-13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188.51537094662768</v>
      </c>
      <c r="T196" s="62">
        <f t="shared" si="142"/>
        <v>181.95202230446716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18.484232890862057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18.484232890862057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490.00000000000011</v>
      </c>
      <c r="AJ196" s="14">
        <f>AI196*VLOOKUP('Données projet'!$B$10,Paramètres!$A$1:$I$89,3,0)*VLOOKUP('Données projet'!$B$10,Paramètres!$A$1:$I$89,5,0)</f>
        <v>293.0200000000001</v>
      </c>
      <c r="AK196" s="14">
        <f t="shared" si="164"/>
        <v>69.71118854917674</v>
      </c>
      <c r="AL196" s="22">
        <f t="shared" si="165"/>
        <v>631.75682005648298</v>
      </c>
      <c r="AM196" s="62">
        <f t="shared" ref="AM196:AM203" si="193">AL196+(AD196+AE196)*44/12</f>
        <v>925.09015338981635</v>
      </c>
      <c r="AN196" s="62">
        <f ca="1">AVERAGE(OFFSET($AM$3,0,0,'Données projet'!$E$10+1,1))-AVERAGE(OFFSET($H$3,0,0,'Données projet'!$E$10+1,1))</f>
        <v>318.69447733545013</v>
      </c>
      <c r="AO196" s="62">
        <f t="shared" si="144"/>
        <v>186.33351136372443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1.6507337971697491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7.0143603877034697E-14</v>
      </c>
      <c r="AX196" s="23">
        <f t="shared" si="166"/>
        <v>1.6507337971698193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208.99999999999989</v>
      </c>
      <c r="BE196" s="14">
        <f>BD196*VLOOKUP('Données projet'!$B$11,Paramètres!$A$1:$I$89,3,0)*VLOOKUP('Données projet'!$B$11,Paramètres!$A$1:$I$89,5,0)</f>
        <v>211.9259999999999</v>
      </c>
      <c r="BF196" s="14">
        <f t="shared" si="167"/>
        <v>52.356241262970116</v>
      </c>
      <c r="BG196" s="22">
        <f t="shared" si="168"/>
        <v>460.29157019967283</v>
      </c>
      <c r="BH196" s="62">
        <f t="shared" ref="BH196:BH203" si="194">BG196+(AY196+AZ196)*44/12</f>
        <v>753.62490353300609</v>
      </c>
      <c r="BI196" s="62">
        <f ca="1">AVERAGE(OFFSET($BH$3,0,0,'Données projet'!$E$11+1,1))-AVERAGE(OFFSET($H$3,0,0,'Données projet'!$E$11+1,1))</f>
        <v>238.29088076221427</v>
      </c>
      <c r="BJ196" s="62">
        <f t="shared" si="146"/>
        <v>102.64102748467457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3.7001081963917546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3.7001081963917546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55.484000000000172</v>
      </c>
      <c r="D197" s="12">
        <f t="shared" ref="D197:D203" si="202">IFERROR(EXP(-1.0587+0.8836*LN(C197)+0.284),0)</f>
        <v>16.021334958002438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551.9710066933535</v>
      </c>
      <c r="H197" s="70">
        <f t="shared" si="192"/>
        <v>417.87179171852119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-5.1159076974727213E-13</v>
      </c>
      <c r="O197" s="14">
        <f>N197*VLOOKUP('Données projet'!$B$9,Paramètres!$A$1:$I$89,3,0)*VLOOKUP('Données projet'!$B$9,Paramètres!$A$1:$I$89,5,0)</f>
        <v>-2.3942448024172334E-13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188.51537094662768</v>
      </c>
      <c r="T197" s="62">
        <f t="shared" ref="T197:T203" si="204">$T$3</f>
        <v>181.95202230446716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18.121768358141072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18.121768358141072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490.00000000000011</v>
      </c>
      <c r="AJ197" s="14">
        <f>AI197*VLOOKUP('Données projet'!$B$10,Paramètres!$A$1:$I$89,3,0)*VLOOKUP('Données projet'!$B$10,Paramètres!$A$1:$I$89,5,0)</f>
        <v>293.0200000000001</v>
      </c>
      <c r="AK197" s="14">
        <f t="shared" si="164"/>
        <v>69.71118854917674</v>
      </c>
      <c r="AL197" s="22">
        <f t="shared" si="165"/>
        <v>631.75682005648298</v>
      </c>
      <c r="AM197" s="62">
        <f t="shared" si="193"/>
        <v>925.09015338981635</v>
      </c>
      <c r="AN197" s="62">
        <f ca="1">AVERAGE(OFFSET($AM$3,0,0,'Données projet'!$E$10+1,1))-AVERAGE(OFFSET($H$3,0,0,'Données projet'!$E$10+1,1))</f>
        <v>318.69447733545013</v>
      </c>
      <c r="AO197" s="62">
        <f t="shared" ref="AO197:AO203" si="205">$AO$3</f>
        <v>186.33351136372443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1.6183639142554487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4.959901795831424E-14</v>
      </c>
      <c r="AX197" s="23">
        <f t="shared" si="166"/>
        <v>1.6183639142554982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208.99999999999989</v>
      </c>
      <c r="BE197" s="14">
        <f>BD197*VLOOKUP('Données projet'!$B$11,Paramètres!$A$1:$I$89,3,0)*VLOOKUP('Données projet'!$B$11,Paramètres!$A$1:$I$89,5,0)</f>
        <v>211.9259999999999</v>
      </c>
      <c r="BF197" s="14">
        <f t="shared" si="167"/>
        <v>52.356241262970116</v>
      </c>
      <c r="BG197" s="22">
        <f t="shared" si="168"/>
        <v>460.29157019967283</v>
      </c>
      <c r="BH197" s="62">
        <f t="shared" si="194"/>
        <v>753.62490353300609</v>
      </c>
      <c r="BI197" s="62">
        <f ca="1">AVERAGE(OFFSET($BH$3,0,0,'Données projet'!$E$11+1,1))-AVERAGE(OFFSET($H$3,0,0,'Données projet'!$E$11+1,1))</f>
        <v>238.29088076221427</v>
      </c>
      <c r="BJ197" s="62">
        <f t="shared" ref="BJ197:BJ203" si="206">$BJ$3</f>
        <v>102.64102748467457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3.6275513315036672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3.6275513315036672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55.770000000000174</v>
      </c>
      <c r="D198" s="12">
        <f t="shared" si="202"/>
        <v>16.094284508300369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554.74184532723223</v>
      </c>
      <c r="H198" s="70">
        <f t="shared" si="192"/>
        <v>418.4969621852901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-5.1159076974727213E-13</v>
      </c>
      <c r="O198" s="14">
        <f>N198*VLOOKUP('Données projet'!$B$9,Paramètres!$A$1:$I$89,3,0)*VLOOKUP('Données projet'!$B$9,Paramètres!$A$1:$I$89,5,0)</f>
        <v>-2.3942448024172334E-13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188.51537094662768</v>
      </c>
      <c r="T198" s="62">
        <f t="shared" si="204"/>
        <v>181.95202230446716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17.766411533825213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17.766411533825213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490.00000000000011</v>
      </c>
      <c r="AJ198" s="14">
        <f>AI198*VLOOKUP('Données projet'!$B$10,Paramètres!$A$1:$I$89,3,0)*VLOOKUP('Données projet'!$B$10,Paramètres!$A$1:$I$89,5,0)</f>
        <v>293.0200000000001</v>
      </c>
      <c r="AK198" s="14">
        <f t="shared" si="164"/>
        <v>69.71118854917674</v>
      </c>
      <c r="AL198" s="22">
        <f t="shared" si="165"/>
        <v>631.75682005648298</v>
      </c>
      <c r="AM198" s="62">
        <f t="shared" si="193"/>
        <v>925.09015338981635</v>
      </c>
      <c r="AN198" s="62">
        <f ca="1">AVERAGE(OFFSET($AM$3,0,0,'Données projet'!$E$10+1,1))-AVERAGE(OFFSET($H$3,0,0,'Données projet'!$E$10+1,1))</f>
        <v>318.69447733545013</v>
      </c>
      <c r="AO198" s="62">
        <f t="shared" si="205"/>
        <v>186.33351136372443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1.5866287850014185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3.5071801938517348E-14</v>
      </c>
      <c r="AX198" s="23">
        <f t="shared" si="166"/>
        <v>1.5866287850014535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208.99999999999989</v>
      </c>
      <c r="BE198" s="14">
        <f>BD198*VLOOKUP('Données projet'!$B$11,Paramètres!$A$1:$I$89,3,0)*VLOOKUP('Données projet'!$B$11,Paramètres!$A$1:$I$89,5,0)</f>
        <v>211.9259999999999</v>
      </c>
      <c r="BF198" s="14">
        <f t="shared" si="167"/>
        <v>52.356241262970116</v>
      </c>
      <c r="BG198" s="22">
        <f t="shared" si="168"/>
        <v>460.29157019967283</v>
      </c>
      <c r="BH198" s="62">
        <f t="shared" si="194"/>
        <v>753.62490353300609</v>
      </c>
      <c r="BI198" s="62">
        <f ca="1">AVERAGE(OFFSET($BH$3,0,0,'Données projet'!$E$11+1,1))-AVERAGE(OFFSET($H$3,0,0,'Données projet'!$E$11+1,1))</f>
        <v>238.29088076221427</v>
      </c>
      <c r="BJ198" s="62">
        <f t="shared" si="206"/>
        <v>102.64102748467457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3.5564172624807178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3.5564172624807178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56.056000000000175</v>
      </c>
      <c r="D199" s="12">
        <f t="shared" si="202"/>
        <v>16.167190526120446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557.51234792093112</v>
      </c>
      <c r="H199" s="70">
        <f t="shared" si="192"/>
        <v>419.12205683299339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-5.1159076974727213E-13</v>
      </c>
      <c r="O199" s="14">
        <f>N199*VLOOKUP('Données projet'!$B$9,Paramètres!$A$1:$I$89,3,0)*VLOOKUP('Données projet'!$B$9,Paramètres!$A$1:$I$89,5,0)</f>
        <v>-2.3942448024172334E-13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188.51537094662768</v>
      </c>
      <c r="T199" s="62">
        <f t="shared" si="204"/>
        <v>181.95202230446716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17.418023040087927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17.418023040087927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490.00000000000011</v>
      </c>
      <c r="AJ199" s="14">
        <f>AI199*VLOOKUP('Données projet'!$B$10,Paramètres!$A$1:$I$89,3,0)*VLOOKUP('Données projet'!$B$10,Paramètres!$A$1:$I$89,5,0)</f>
        <v>293.0200000000001</v>
      </c>
      <c r="AK199" s="14">
        <f t="shared" si="164"/>
        <v>69.71118854917674</v>
      </c>
      <c r="AL199" s="22">
        <f t="shared" si="165"/>
        <v>631.75682005648298</v>
      </c>
      <c r="AM199" s="62">
        <f t="shared" si="193"/>
        <v>925.09015338981635</v>
      </c>
      <c r="AN199" s="62">
        <f ca="1">AVERAGE(OFFSET($AM$3,0,0,'Données projet'!$E$10+1,1))-AVERAGE(OFFSET($H$3,0,0,'Données projet'!$E$10+1,1))</f>
        <v>318.69447733545013</v>
      </c>
      <c r="AO199" s="62">
        <f t="shared" si="205"/>
        <v>186.33351136372443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1.5555159622755423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2.479950897915712E-14</v>
      </c>
      <c r="AX199" s="23">
        <f t="shared" si="166"/>
        <v>1.5555159622755672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208.99999999999989</v>
      </c>
      <c r="BE199" s="14">
        <f>BD199*VLOOKUP('Données projet'!$B$11,Paramètres!$A$1:$I$89,3,0)*VLOOKUP('Données projet'!$B$11,Paramètres!$A$1:$I$89,5,0)</f>
        <v>211.9259999999999</v>
      </c>
      <c r="BF199" s="14">
        <f t="shared" si="167"/>
        <v>52.356241262970116</v>
      </c>
      <c r="BG199" s="22">
        <f t="shared" si="168"/>
        <v>460.29157019967283</v>
      </c>
      <c r="BH199" s="62">
        <f t="shared" si="194"/>
        <v>753.62490353300609</v>
      </c>
      <c r="BI199" s="62">
        <f ca="1">AVERAGE(OFFSET($BH$3,0,0,'Données projet'!$E$11+1,1))-AVERAGE(OFFSET($H$3,0,0,'Données projet'!$E$11+1,1))</f>
        <v>238.29088076221427</v>
      </c>
      <c r="BJ199" s="62">
        <f t="shared" si="206"/>
        <v>102.64102748467457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3.4866780891638101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3.4866780891638101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56.342000000000176</v>
      </c>
      <c r="D200" s="12">
        <f t="shared" si="202"/>
        <v>16.24005325934862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560.28251638795564</v>
      </c>
      <c r="H200" s="70">
        <f t="shared" si="192"/>
        <v>419.74707609336582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-5.1159076974727213E-13</v>
      </c>
      <c r="O200" s="14">
        <f>N200*VLOOKUP('Données projet'!$B$9,Paramètres!$A$1:$I$89,3,0)*VLOOKUP('Données projet'!$B$9,Paramètres!$A$1:$I$89,5,0)</f>
        <v>-2.3942448024172334E-13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188.51537094662768</v>
      </c>
      <c r="T200" s="62">
        <f t="shared" si="204"/>
        <v>181.95202230446716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17.076466232216831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17.076466232216831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490.00000000000011</v>
      </c>
      <c r="AJ200" s="14">
        <f>AI200*VLOOKUP('Données projet'!$B$10,Paramètres!$A$1:$I$89,3,0)*VLOOKUP('Données projet'!$B$10,Paramètres!$A$1:$I$89,5,0)</f>
        <v>293.0200000000001</v>
      </c>
      <c r="AK200" s="14">
        <f t="shared" si="164"/>
        <v>69.71118854917674</v>
      </c>
      <c r="AL200" s="22">
        <f t="shared" si="165"/>
        <v>631.75682005648298</v>
      </c>
      <c r="AM200" s="62">
        <f t="shared" si="193"/>
        <v>925.09015338981635</v>
      </c>
      <c r="AN200" s="62">
        <f ca="1">AVERAGE(OFFSET($AM$3,0,0,'Données projet'!$E$10+1,1))-AVERAGE(OFFSET($H$3,0,0,'Données projet'!$E$10+1,1))</f>
        <v>318.69447733545013</v>
      </c>
      <c r="AO200" s="62">
        <f t="shared" si="205"/>
        <v>186.33351136372443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1.5250132430263725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1.7535900969258674E-14</v>
      </c>
      <c r="AX200" s="23">
        <f t="shared" si="166"/>
        <v>1.5250132430263901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208.99999999999989</v>
      </c>
      <c r="BE200" s="14">
        <f>BD200*VLOOKUP('Données projet'!$B$11,Paramètres!$A$1:$I$89,3,0)*VLOOKUP('Données projet'!$B$11,Paramètres!$A$1:$I$89,5,0)</f>
        <v>211.9259999999999</v>
      </c>
      <c r="BF200" s="14">
        <f t="shared" si="167"/>
        <v>52.356241262970116</v>
      </c>
      <c r="BG200" s="22">
        <f t="shared" si="168"/>
        <v>460.29157019967283</v>
      </c>
      <c r="BH200" s="62">
        <f t="shared" si="194"/>
        <v>753.62490353300609</v>
      </c>
      <c r="BI200" s="62">
        <f ca="1">AVERAGE(OFFSET($BH$3,0,0,'Données projet'!$E$11+1,1))-AVERAGE(OFFSET($H$3,0,0,'Données projet'!$E$11+1,1))</f>
        <v>238.29088076221427</v>
      </c>
      <c r="BJ200" s="62">
        <f t="shared" si="206"/>
        <v>102.64102748467457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3.4183064584989515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3.4183064584989515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56.628000000000178</v>
      </c>
      <c r="D201" s="12">
        <f t="shared" si="202"/>
        <v>16.312872953208569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563.05235262126064</v>
      </c>
      <c r="H201" s="70">
        <f t="shared" si="192"/>
        <v>420.37202039350524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-5.1159076974727213E-13</v>
      </c>
      <c r="O201" s="14">
        <f>N201*VLOOKUP('Données projet'!$B$9,Paramètres!$A$1:$I$89,3,0)*VLOOKUP('Données projet'!$B$9,Paramètres!$A$1:$I$89,5,0)</f>
        <v>-2.3942448024172334E-13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188.51537094662768</v>
      </c>
      <c r="T201" s="62">
        <f t="shared" si="204"/>
        <v>181.95202230446716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16.741607145019003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16.741607145019003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490.00000000000011</v>
      </c>
      <c r="AJ201" s="14">
        <f>AI201*VLOOKUP('Données projet'!$B$10,Paramètres!$A$1:$I$89,3,0)*VLOOKUP('Données projet'!$B$10,Paramètres!$A$1:$I$89,5,0)</f>
        <v>293.0200000000001</v>
      </c>
      <c r="AK201" s="14">
        <f t="shared" si="164"/>
        <v>69.71118854917674</v>
      </c>
      <c r="AL201" s="22">
        <f t="shared" si="165"/>
        <v>631.75682005648298</v>
      </c>
      <c r="AM201" s="62">
        <f t="shared" si="193"/>
        <v>925.09015338981635</v>
      </c>
      <c r="AN201" s="62">
        <f ca="1">AVERAGE(OFFSET($AM$3,0,0,'Données projet'!$E$10+1,1))-AVERAGE(OFFSET($H$3,0,0,'Données projet'!$E$10+1,1))</f>
        <v>318.69447733545013</v>
      </c>
      <c r="AO201" s="62">
        <f t="shared" si="205"/>
        <v>186.33351136372443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1.4951086634968573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1.239975448957856E-14</v>
      </c>
      <c r="AX201" s="23">
        <f t="shared" si="166"/>
        <v>1.4951086634968698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208.99999999999989</v>
      </c>
      <c r="BE201" s="14">
        <f>BD201*VLOOKUP('Données projet'!$B$11,Paramètres!$A$1:$I$89,3,0)*VLOOKUP('Données projet'!$B$11,Paramètres!$A$1:$I$89,5,0)</f>
        <v>211.9259999999999</v>
      </c>
      <c r="BF201" s="14">
        <f t="shared" si="167"/>
        <v>52.356241262970116</v>
      </c>
      <c r="BG201" s="22">
        <f t="shared" si="168"/>
        <v>460.29157019967283</v>
      </c>
      <c r="BH201" s="62">
        <f t="shared" si="194"/>
        <v>753.62490353300609</v>
      </c>
      <c r="BI201" s="62">
        <f ca="1">AVERAGE(OFFSET($BH$3,0,0,'Données projet'!$E$11+1,1))-AVERAGE(OFFSET($H$3,0,0,'Données projet'!$E$11+1,1))</f>
        <v>238.29088076221427</v>
      </c>
      <c r="BJ201" s="62">
        <f t="shared" si="206"/>
        <v>102.64102748467457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3.3512755538088541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3.3512755538088541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56.914000000000179</v>
      </c>
      <c r="D202" s="12">
        <f t="shared" si="202"/>
        <v>16.385649850303508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565.82185849357245</v>
      </c>
      <c r="H202" s="70">
        <f t="shared" si="192"/>
        <v>420.99689015594555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-5.1159076974727213E-13</v>
      </c>
      <c r="O202" s="14">
        <f>N202*VLOOKUP('Données projet'!$B$9,Paramètres!$A$1:$I$89,3,0)*VLOOKUP('Données projet'!$B$9,Paramètres!$A$1:$I$89,5,0)</f>
        <v>-2.3942448024172334E-13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188.51537094662768</v>
      </c>
      <c r="T202" s="62">
        <f t="shared" si="204"/>
        <v>181.95202230446716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16.413314440277251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16.413314440277251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490.00000000000011</v>
      </c>
      <c r="AJ202" s="14">
        <f>AI202*VLOOKUP('Données projet'!$B$10,Paramètres!$A$1:$I$89,3,0)*VLOOKUP('Données projet'!$B$10,Paramètres!$A$1:$I$89,5,0)</f>
        <v>293.0200000000001</v>
      </c>
      <c r="AK202" s="14">
        <f t="shared" si="164"/>
        <v>69.71118854917674</v>
      </c>
      <c r="AL202" s="22">
        <f t="shared" si="165"/>
        <v>631.75682005648298</v>
      </c>
      <c r="AM202" s="62">
        <f t="shared" si="193"/>
        <v>925.09015338981635</v>
      </c>
      <c r="AN202" s="62">
        <f ca="1">AVERAGE(OFFSET($AM$3,0,0,'Données projet'!$E$10+1,1))-AVERAGE(OFFSET($H$3,0,0,'Données projet'!$E$10+1,1))</f>
        <v>318.69447733545013</v>
      </c>
      <c r="AO202" s="62">
        <f t="shared" si="205"/>
        <v>186.33351136372443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1.4657904945319236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8.7679504846293371E-15</v>
      </c>
      <c r="AX202" s="23">
        <f t="shared" si="166"/>
        <v>1.4657904945319322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208.99999999999989</v>
      </c>
      <c r="BE202" s="14">
        <f>BD202*VLOOKUP('Données projet'!$B$11,Paramètres!$A$1:$I$89,3,0)*VLOOKUP('Données projet'!$B$11,Paramètres!$A$1:$I$89,5,0)</f>
        <v>211.9259999999999</v>
      </c>
      <c r="BF202" s="14">
        <f t="shared" si="167"/>
        <v>52.356241262970116</v>
      </c>
      <c r="BG202" s="22">
        <f t="shared" si="168"/>
        <v>460.29157019967283</v>
      </c>
      <c r="BH202" s="62">
        <f t="shared" si="194"/>
        <v>753.62490353300609</v>
      </c>
      <c r="BI202" s="62">
        <f ca="1">AVERAGE(OFFSET($BH$3,0,0,'Données projet'!$E$11+1,1))-AVERAGE(OFFSET($H$3,0,0,'Données projet'!$E$11+1,1))</f>
        <v>238.29088076221427</v>
      </c>
      <c r="BJ202" s="62">
        <f t="shared" si="206"/>
        <v>102.64102748467457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3.2855590842749147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3.2855590842749147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57.20000000000018</v>
      </c>
      <c r="D203" s="12">
        <f t="shared" si="202"/>
        <v>16.458384190657263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568.59103585770663</v>
      </c>
      <c r="H203" s="70">
        <f t="shared" si="192"/>
        <v>421.62168579872832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-5.1159076974727213E-13</v>
      </c>
      <c r="O203" s="14">
        <f>N203*VLOOKUP('Données projet'!$B$9,Paramètres!$A$1:$I$89,3,0)*VLOOKUP('Données projet'!$B$9,Paramètres!$A$1:$I$89,5,0)</f>
        <v>-2.3942448024172334E-13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188.51537094662768</v>
      </c>
      <c r="T203" s="62">
        <f t="shared" si="204"/>
        <v>181.95202230446716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16.091459355236704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16.091459355236704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490.00000000000011</v>
      </c>
      <c r="AJ203" s="14">
        <f>AI203*VLOOKUP('Données projet'!$B$10,Paramètres!$A$1:$I$89,3,0)*VLOOKUP('Données projet'!$B$10,Paramètres!$A$1:$I$89,5,0)</f>
        <v>293.0200000000001</v>
      </c>
      <c r="AK203" s="14">
        <f t="shared" si="164"/>
        <v>69.71118854917674</v>
      </c>
      <c r="AL203" s="22">
        <f t="shared" si="165"/>
        <v>631.75682005648298</v>
      </c>
      <c r="AM203" s="62">
        <f t="shared" si="193"/>
        <v>925.09015338981635</v>
      </c>
      <c r="AN203" s="62">
        <f ca="1">AVERAGE(OFFSET($AM$3,0,0,'Données projet'!$E$10+1,1))-AVERAGE(OFFSET($H$3,0,0,'Données projet'!$E$10+1,1))</f>
        <v>318.69447733545013</v>
      </c>
      <c r="AO203" s="62">
        <f t="shared" si="205"/>
        <v>186.33351136372443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1.4370472369780747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6.19987724478928E-15</v>
      </c>
      <c r="AX203" s="23">
        <f t="shared" si="166"/>
        <v>1.4370472369780809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208.99999999999989</v>
      </c>
      <c r="BE203" s="14">
        <f>BD203*VLOOKUP('Données projet'!$B$11,Paramètres!$A$1:$I$89,3,0)*VLOOKUP('Données projet'!$B$11,Paramètres!$A$1:$I$89,5,0)</f>
        <v>211.9259999999999</v>
      </c>
      <c r="BF203" s="14">
        <f t="shared" si="167"/>
        <v>52.356241262970116</v>
      </c>
      <c r="BG203" s="22">
        <f t="shared" si="168"/>
        <v>460.29157019967283</v>
      </c>
      <c r="BH203" s="62">
        <f t="shared" si="194"/>
        <v>753.62490353300609</v>
      </c>
      <c r="BI203" s="62">
        <f ca="1">AVERAGE(OFFSET($BH$3,0,0,'Données projet'!$E$11+1,1))-AVERAGE(OFFSET($H$3,0,0,'Données projet'!$E$11+1,1))</f>
        <v>238.29088076221427</v>
      </c>
      <c r="BJ203" s="62">
        <f t="shared" si="206"/>
        <v>102.64102748467457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3.221131274625447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3.221131274625447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1.278898353844806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1.226147171351889</v>
      </c>
      <c r="BA205" s="88">
        <f>EXP(LN('Données projet'!B88)/'Données projet'!A88)</f>
        <v>1.1457367676485573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20.118227999999998</v>
      </c>
      <c r="C6" s="156">
        <f ca="1">IF(OR('Données projet'!B9="",'Données projet'!C9="",'Données projet'!C9=0%),0,Calculateur!S3)</f>
        <v>188.51537094662768</v>
      </c>
      <c r="D6" s="156">
        <f>IF(OR('Données projet'!B9="",'Données projet'!C9="",'Données projet'!C9=0%),0,Calculateur!T3)</f>
        <v>181.95202230446716</v>
      </c>
      <c r="E6" s="156">
        <f ca="1">MIN(C6,D6)</f>
        <v>181.95202230446716</v>
      </c>
      <c r="F6" s="156">
        <f ca="1">E6*B6</f>
        <v>3660.5522697823553</v>
      </c>
      <c r="G6" s="156">
        <f ca="1">F6*(100%-'Données projet'!$C$24)*(100%-'Données projet'!$C$25)*(100%-'Données projet'!$C$26)*(100%-'Données projet'!$C$27)</f>
        <v>2965.0473385237078</v>
      </c>
      <c r="H6" s="157">
        <f>IF(OR('Données projet'!B9="",'Données projet'!C9="",'Données projet'!C9=0%),0,AVERAGE(Calculateur!$AC$3:$AC$33)*B6)</f>
        <v>0.44319507590156243</v>
      </c>
      <c r="I6" s="158">
        <f>H6*(100%-'Données projet'!$C$24)*(100%-'Données projet'!$C$25)*(100%-'Données projet'!$C$26)*(100%-'Données projet'!$C$27)</f>
        <v>0.3589880114802656</v>
      </c>
      <c r="J6" s="159">
        <f>IF(OR('Données projet'!B9="",'Données projet'!C9="",'Données projet'!C9=0%),0,SUM(Calculateur!$V$3:$V$33)*VLOOKUP('Données projet'!$B$9,Paramètres!$A$1:$I$89,9,0)*B6)</f>
        <v>519.05028240000001</v>
      </c>
      <c r="K6" s="160">
        <f>J6*(100%-'Données projet'!$C$24)*(100%-'Données projet'!$C$25)*(100%-'Données projet'!$C$26)*(100%-'Données projet'!$C$27)</f>
        <v>420.43072874400002</v>
      </c>
      <c r="L6" s="161">
        <f ca="1">G6+I6+K6</f>
        <v>3385.837055279188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noir d'Autriche</v>
      </c>
      <c r="B7" s="163">
        <f>'Données projet'!D10</f>
        <v>23.334792000000004</v>
      </c>
      <c r="C7" s="156">
        <f ca="1">IF(OR('Données projet'!B10="",'Données projet'!C10="",'Données projet'!C10=0%),0,Calculateur!AN3)</f>
        <v>318.69447733545013</v>
      </c>
      <c r="D7" s="156">
        <f>IF(OR('Données projet'!B10="",'Données projet'!C10="",'Données projet'!C10=0%),0,Calculateur!AO3)</f>
        <v>186.33351136372443</v>
      </c>
      <c r="E7" s="156">
        <f t="shared" ref="E7:E15" ca="1" si="0">MIN(C7,D7)</f>
        <v>186.33351136372443</v>
      </c>
      <c r="F7" s="156">
        <f t="shared" ref="F7:F15" ca="1" si="1">E7*B7</f>
        <v>4348.0537303021465</v>
      </c>
      <c r="G7" s="156">
        <f ca="1">F7*(100%-'Données projet'!$C$24)*(100%-'Données projet'!$C$25)*(100%-'Données projet'!$C$26)*(100%-'Données projet'!$C$27)</f>
        <v>3521.9235215447388</v>
      </c>
      <c r="H7" s="164">
        <f>IF(OR('Données projet'!B10="",'Données projet'!C10="",'Données projet'!C10=0%),0,AVERAGE(Calculateur!$AX$3:$AX$33)*B7)</f>
        <v>3.5274633618482083</v>
      </c>
      <c r="I7" s="158">
        <f>H7*(100%-'Données projet'!$C$24)*(100%-'Données projet'!$C$25)*(100%-'Données projet'!$C$26)*(100%-'Données projet'!$C$27)</f>
        <v>2.8572453230970489</v>
      </c>
      <c r="J7" s="159">
        <f>IF(OR('Données projet'!B10="",'Données projet'!C10="",'Données projet'!C10=0%),0,SUM(Calculateur!$AQ$3:$AQ$33)*VLOOKUP('Données projet'!$B$10,Paramètres!$A$1:$I$89,9,0)*B7)</f>
        <v>150.50940840000004</v>
      </c>
      <c r="K7" s="160">
        <f>J7*(100%-'Données projet'!$C$24)*(100%-'Données projet'!$C$25)*(100%-'Données projet'!$C$26)*(100%-'Données projet'!$C$27)</f>
        <v>121.91262080400003</v>
      </c>
      <c r="L7" s="161">
        <f t="shared" ref="L7:L15" ca="1" si="2">G7+I7+K7</f>
        <v>3646.6933876718363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pubescent</v>
      </c>
      <c r="B8" s="163">
        <f>'Données projet'!D11</f>
        <v>1.78698</v>
      </c>
      <c r="C8" s="156">
        <f ca="1">IF(OR('Données projet'!B11="",'Données projet'!C11="",'Données projet'!C11=0%),0,Calculateur!BI3)</f>
        <v>238.29088076221427</v>
      </c>
      <c r="D8" s="156">
        <f>IF(OR('Données projet'!B11="",'Données projet'!C11="",'Données projet'!C11=0%),0,Calculateur!BJ3)</f>
        <v>102.64102748467457</v>
      </c>
      <c r="E8" s="156">
        <f t="shared" ca="1" si="0"/>
        <v>102.64102748467457</v>
      </c>
      <c r="F8" s="156">
        <f t="shared" ca="1" si="1"/>
        <v>183.41746329456376</v>
      </c>
      <c r="G8" s="156">
        <f ca="1">F8*(100%-'Données projet'!$C$24)*(100%-'Données projet'!$C$25)*(100%-'Données projet'!$C$26)*(100%-'Données projet'!$C$27)</f>
        <v>148.56814526859665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148.56814526859665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8192.023463379066</v>
      </c>
      <c r="G16" s="175">
        <f t="shared" ca="1" si="3"/>
        <v>6635.5390053370429</v>
      </c>
      <c r="H16" s="176">
        <f t="shared" si="3"/>
        <v>3.9706584377497709</v>
      </c>
      <c r="I16" s="176">
        <f t="shared" si="3"/>
        <v>3.2162333345773146</v>
      </c>
      <c r="J16" s="177">
        <f t="shared" si="3"/>
        <v>669.5596908</v>
      </c>
      <c r="K16" s="177">
        <f t="shared" si="3"/>
        <v>542.34334954800011</v>
      </c>
      <c r="L16" s="178">
        <f t="shared" ca="1" si="3"/>
        <v>7181.098588219621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noir d'Autriche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16" zoomScale="90" zoomScaleNormal="9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1575.3623235360594</v>
      </c>
      <c r="U10" s="190">
        <f>'Données projet'!D9</f>
        <v>20.118227999999998</v>
      </c>
      <c r="V10" s="189">
        <f>U10*T10</f>
        <v>31693.498407508207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noir d'Autriche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283.60028918332335</v>
      </c>
      <c r="U11" s="190">
        <f>'Données projet'!D10</f>
        <v>23.334792000000004</v>
      </c>
      <c r="V11" s="189">
        <f t="shared" ref="V11" si="0">U11*T11</f>
        <v>6617.7537592327017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1.78698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>
        <v>0</v>
      </c>
      <c r="I15" s="204">
        <v>884.17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100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50.000000000000078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1000.0000000000016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6904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20</v>
      </c>
      <c r="C23" s="206">
        <v>15</v>
      </c>
      <c r="D23" s="194">
        <f>B23*C23</f>
        <v>300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-234025.85703325912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40</v>
      </c>
      <c r="C24" s="206">
        <v>20</v>
      </c>
      <c r="D24" s="194">
        <f t="shared" ref="D24:D42" si="2">B24*C24</f>
        <v>800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554.4897871812002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60</v>
      </c>
      <c r="C25" s="206">
        <v>25</v>
      </c>
      <c r="D25" s="194">
        <f t="shared" si="2"/>
        <v>1500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-234580.34682044032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80</v>
      </c>
      <c r="C26" s="206">
        <v>30</v>
      </c>
      <c r="D26" s="194">
        <f t="shared" si="2"/>
        <v>2400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90</v>
      </c>
      <c r="C27" s="206">
        <v>40</v>
      </c>
      <c r="D27" s="194">
        <f t="shared" si="2"/>
        <v>3600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100</v>
      </c>
      <c r="C28" s="206">
        <v>50</v>
      </c>
      <c r="D28" s="194">
        <f t="shared" si="2"/>
        <v>5000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110</v>
      </c>
      <c r="C29" s="206">
        <v>70</v>
      </c>
      <c r="D29" s="194">
        <f t="shared" si="2"/>
        <v>7700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120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130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110</v>
      </c>
      <c r="B32" s="193">
        <f>'Données projet'!D45</f>
        <v>372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noir d'Autriche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3</v>
      </c>
      <c r="C54" s="204">
        <v>15</v>
      </c>
      <c r="D54" s="191">
        <f>B54*C54</f>
        <v>45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12</v>
      </c>
      <c r="C55" s="204">
        <v>20</v>
      </c>
      <c r="D55" s="191">
        <f t="shared" ref="D55:D73" si="4">B55*C55</f>
        <v>240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21</v>
      </c>
      <c r="C56" s="204">
        <v>25</v>
      </c>
      <c r="D56" s="191">
        <f t="shared" si="4"/>
        <v>525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25</v>
      </c>
      <c r="C57" s="204">
        <v>25</v>
      </c>
      <c r="D57" s="191">
        <f t="shared" si="4"/>
        <v>625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27</v>
      </c>
      <c r="C58" s="204">
        <v>30</v>
      </c>
      <c r="D58" s="191">
        <f t="shared" si="4"/>
        <v>810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26</v>
      </c>
      <c r="C59" s="204">
        <v>40</v>
      </c>
      <c r="D59" s="191">
        <f t="shared" si="4"/>
        <v>1040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24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24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25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0</v>
      </c>
      <c r="C85" s="204">
        <v>30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13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14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14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14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14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14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14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14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14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14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14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14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14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14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14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13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13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12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Gilles Martinez</cp:lastModifiedBy>
  <dcterms:created xsi:type="dcterms:W3CDTF">2021-02-01T08:22:39Z</dcterms:created>
  <dcterms:modified xsi:type="dcterms:W3CDTF">2022-06-01T12:06:44Z</dcterms:modified>
</cp:coreProperties>
</file>